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harts/chart5.xml" ContentType="application/vnd.openxmlformats-officedocument.drawingml.chart+xml"/>
  <Override PartName="/xl/charts/chart4.xml" ContentType="application/vnd.openxmlformats-officedocument.drawingml.chart+xml"/>
  <Override PartName="/xl/charts/chart3.xml" ContentType="application/vnd.openxmlformats-officedocument.drawingml.chart+xml"/>
  <Override PartName="/xl/charts/chart1.xml" ContentType="application/vnd.openxmlformats-officedocument.drawingml.chart+xml"/>
  <Override PartName="/xl/charts/chart2.xml" ContentType="application/vnd.openxmlformats-officedocument.drawingml.chart+xml"/>
  <Override PartName="/xl/comments10.xml" ContentType="application/vnd.openxmlformats-officedocument.spreadsheetml.comments+xml"/>
  <Override PartName="/xl/comments6.xml" ContentType="application/vnd.openxmlformats-officedocument.spreadsheetml.comments+xml"/>
  <Override PartName="/xl/comments5.xml" ContentType="application/vnd.openxmlformats-officedocument.spreadsheetml.comments+xml"/>
  <Override PartName="/xl/comments4.xml" ContentType="application/vnd.openxmlformats-officedocument.spreadsheetml.comments+xml"/>
  <Override PartName="/xl/styles.xml" ContentType="application/vnd.openxmlformats-officedocument.spreadsheetml.styles+xml"/>
  <Override PartName="/xl/workbook.xml" ContentType="application/vnd.openxmlformats-officedocument.spreadsheetml.sheet.main+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_rels/sheet11.xml.rels" ContentType="application/vnd.openxmlformats-package.relationships+xml"/>
  <Override PartName="/xl/worksheets/_rels/sheet10.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sheet7.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drawings/drawing5.xml" ContentType="application/vnd.openxmlformats-officedocument.drawing+xml"/>
  <Override PartName="/xl/drawings/vmlDrawing5.vml" ContentType="application/vnd.openxmlformats-officedocument.vmlDrawing"/>
  <Override PartName="/xl/drawings/vmlDrawing4.vml" ContentType="application/vnd.openxmlformats-officedocument.vmlDrawing"/>
  <Override PartName="/xl/drawings/drawing4.xml" ContentType="application/vnd.openxmlformats-officedocument.drawing+xml"/>
  <Override PartName="/xl/drawings/drawing2.xml" ContentType="application/vnd.openxmlformats-officedocument.drawing+xml"/>
  <Override PartName="/xl/drawings/drawing1.xml" ContentType="application/vnd.openxmlformats-officedocument.drawing+xml"/>
  <Override PartName="/xl/drawings/vmlDrawing1.vml" ContentType="application/vnd.openxmlformats-officedocument.vmlDrawing"/>
  <Override PartName="/xl/drawings/drawing3.xml" ContentType="application/vnd.openxmlformats-officedocument.drawing+xml"/>
  <Override PartName="/xl/drawings/vmlDrawing2.vml" ContentType="application/vnd.openxmlformats-officedocument.vmlDrawing"/>
  <Override PartName="/xl/drawings/_rels/drawing5.xml.rels" ContentType="application/vnd.openxmlformats-package.relationships+xml"/>
  <Override PartName="/xl/drawings/_rels/drawing1.xml.rels" ContentType="application/vnd.openxmlformats-package.relationships+xml"/>
  <Override PartName="/xl/drawings/_rels/drawing4.xml.rels" ContentType="application/vnd.openxmlformats-package.relationships+xml"/>
  <Override PartName="/xl/drawings/vmlDrawing3.vml" ContentType="application/vnd.openxmlformats-officedocument.vmlDrawing"/>
  <Override PartName="/xl/comments7.xml" ContentType="application/vnd.openxmlformats-officedocument.spreadsheetml.comments+xml"/>
  <Override PartName="/xl/media/image12.wmf" ContentType="image/x-wmf"/>
  <Override PartName="/xl/media/image10.png" ContentType="image/png"/>
  <Override PartName="/xl/media/image9.png" ContentType="image/png"/>
  <Override PartName="/xl/media/image8.png" ContentType="image/png"/>
  <Override PartName="/xl/media/image7.png" ContentType="image/png"/>
  <Override PartName="/xl/media/image2.jpeg" ContentType="image/jpeg"/>
  <Override PartName="/xl/media/image1.png" ContentType="image/png"/>
  <Override PartName="/xl/media/image13.wmf" ContentType="image/x-wmf"/>
  <Override PartName="/xl/media/image11.png" ContentType="image/png"/>
  <Override PartName="/xl/media/image3.jpeg" ContentType="image/jpeg"/>
  <Override PartName="/xl/media/image4.jpeg" ContentType="image/jpeg"/>
  <Override PartName="/xl/media/image5.png" ContentType="image/png"/>
  <Override PartName="/xl/media/image6.png" ContentType="image/png"/>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1" activeTab="4"/>
  </bookViews>
  <sheets>
    <sheet name="Calcul UGB" sheetId="1" state="hidden" r:id="rId2"/>
    <sheet name="droit usage" sheetId="2" state="visible" r:id="rId3"/>
    <sheet name="Notice" sheetId="3" state="visible" r:id="rId4"/>
    <sheet name="Questionnaire imprimable" sheetId="4" state="visible" r:id="rId5"/>
    <sheet name="Saisie et Calculateur" sheetId="5" state="visible" r:id="rId6"/>
    <sheet name="Bilan apparent" sheetId="6" state="visible" r:id="rId7"/>
    <sheet name="Tables de conversion" sheetId="7" state="visible" r:id="rId8"/>
    <sheet name="Dimension agroécologique" sheetId="8" state="visible" r:id="rId9"/>
    <sheet name="Dimension socio-territoriale" sheetId="9" state="visible" r:id="rId10"/>
    <sheet name="Dimension économique" sheetId="10" state="visible" r:id="rId11"/>
    <sheet name="Bilan durabilité" sheetId="11" state="visible" r:id="rId12"/>
    <sheet name="Renvoi BDD" sheetId="12" state="visible" r:id="rId13"/>
  </sheets>
  <definedNames>
    <definedName function="false" hidden="false" localSheetId="5" name="_xlnm.Print_Area" vbProcedure="false">'Bilan apparent'!$A$1:$K$488</definedName>
    <definedName function="false" hidden="false" name="agro" vbProcedure="false">NA()</definedName>
    <definedName function="false" hidden="false" name="agro_4" vbProcedure="false">NA()</definedName>
    <definedName function="false" hidden="false" name="agro_5" vbProcedure="false">#REF!</definedName>
    <definedName function="false" hidden="false" name="Amorti" vbProcedure="false">NA()</definedName>
    <definedName function="false" hidden="false" name="Amorti_4" vbProcedure="false">NA()</definedName>
    <definedName function="false" hidden="false" name="Annuites" vbProcedure="false">NA()</definedName>
    <definedName function="false" hidden="false" name="Annuites_4" vbProcedure="false">NA()</definedName>
    <definedName function="false" hidden="false" name="application" vbProcedure="false">#REF!</definedName>
    <definedName function="false" hidden="false" name="Appro" vbProcedure="false">NA()</definedName>
    <definedName function="false" hidden="false" name="Appro_4" vbProcedure="false">NA()</definedName>
    <definedName function="false" hidden="false" name="auto_estimation_bien_etre" vbProcedure="false">NA()</definedName>
    <definedName function="false" hidden="false" name="auto_estimation_bien_etre_4" vbProcedure="false">NA()</definedName>
    <definedName function="false" hidden="false" name="bois" vbProcedure="false">NA()</definedName>
    <definedName function="false" hidden="false" name="bois_4" vbProcedure="false">NA()</definedName>
    <definedName function="false" hidden="false" name="bois_5" vbProcedure="false">#REF!</definedName>
    <definedName function="false" hidden="false" name="CAtot_1" vbProcedure="false">NA()</definedName>
    <definedName function="false" hidden="false" name="CAtot_1_4" vbProcedure="false">NA()</definedName>
    <definedName function="false" hidden="false" name="CAtot_1_5" vbProcedure="false">#REF!</definedName>
    <definedName function="false" hidden="false" name="CAtot_2" vbProcedure="false">NA()</definedName>
    <definedName function="false" hidden="false" name="CAtot_2_4" vbProcedure="false">NA()</definedName>
    <definedName function="false" hidden="false" name="CAtot_2_5" vbProcedure="false">#REF!</definedName>
    <definedName function="false" hidden="false" name="CA_1" vbProcedure="false">NA()</definedName>
    <definedName function="false" hidden="false" name="CA_1_4" vbProcedure="false">NA()</definedName>
    <definedName function="false" hidden="false" name="CA_1_5" vbProcedure="false">#REF!</definedName>
    <definedName function="false" hidden="false" name="CA_2" vbProcedure="false">NA()</definedName>
    <definedName function="false" hidden="false" name="ca_2_4" vbProcedure="false">#REF!</definedName>
    <definedName function="false" hidden="false" name="CA_2_5" vbProcedure="false">#REF!</definedName>
    <definedName function="false" hidden="false" name="CIPAN" vbProcedure="false">NA()</definedName>
    <definedName function="false" hidden="false" name="CIPAN_4" vbProcedure="false">NA()</definedName>
    <definedName function="false" hidden="false" name="CIPAN_5" vbProcedure="false">#REF!</definedName>
    <definedName function="false" hidden="false" name="codesources" vbProcedure="false">#REF!</definedName>
    <definedName function="false" hidden="false" name="culture" vbProcedure="false">NA()</definedName>
    <definedName function="false" hidden="false" name="culture_4" vbProcedure="false">NA()</definedName>
    <definedName function="false" hidden="false" name="culture_5" vbProcedure="false">#REF!</definedName>
    <definedName function="false" hidden="false" name="Céréales" vbProcedure="false">#REF!</definedName>
    <definedName function="false" hidden="false" name="EBE" vbProcedure="false">NA()</definedName>
    <definedName function="false" hidden="false" name="EBE_4" vbProcedure="false">NA()</definedName>
    <definedName function="false" hidden="false" name="E_36" vbProcedure="false">'Saisie et Calculateur'!$E$1051</definedName>
    <definedName function="false" hidden="false" name="huile" vbProcedure="false">NA()</definedName>
    <definedName function="false" hidden="false" name="huile_4" vbProcedure="false">NA()</definedName>
    <definedName function="false" hidden="false" name="huile_5" vbProcedure="false">#REF!</definedName>
    <definedName function="false" hidden="false" name="K" vbProcedure="false">NA()</definedName>
    <definedName function="false" hidden="false" name="Kmin" vbProcedure="false">NA()</definedName>
    <definedName function="false" hidden="false" name="Kmin_13" vbProcedure="false">NA()</definedName>
    <definedName function="false" hidden="false" name="Kmin_14" vbProcedure="false">#REF!</definedName>
    <definedName function="false" hidden="false" name="K_4" vbProcedure="false">NA()</definedName>
    <definedName function="false" hidden="false" name="K_5" vbProcedure="false">#REF!</definedName>
    <definedName function="false" hidden="false" name="Lait" vbProcedure="false">#REF!</definedName>
    <definedName function="false" hidden="false" name="legu" vbProcedure="false">NA()</definedName>
    <definedName function="false" hidden="false" name="legu_4" vbProcedure="false">NA()</definedName>
    <definedName function="false" hidden="false" name="liste" vbProcedure="false">NA()</definedName>
    <definedName function="false" hidden="false" name="liste_4" vbProcedure="false">NA()</definedName>
    <definedName function="false" hidden="false" name="N" vbProcedure="false">NA()</definedName>
    <definedName function="false" hidden="false" name="N_4" vbProcedure="false">NA()</definedName>
    <definedName function="false" hidden="false" name="N_5" vbProcedure="false">#REF!</definedName>
    <definedName function="false" hidden="false" name="ouinon" vbProcedure="false">#REF!</definedName>
    <definedName function="false" hidden="false" name="P2O5" vbProcedure="false">NA()</definedName>
    <definedName function="false" hidden="false" name="P2O5_4" vbProcedure="false">NA()</definedName>
    <definedName function="false" hidden="false" name="P2O5_5" vbProcedure="false">#REF!</definedName>
    <definedName function="false" hidden="false" name="pourcent_agro" vbProcedure="false">NA()</definedName>
    <definedName function="false" hidden="false" name="pourcent_agro_4" vbProcedure="false">NA()</definedName>
    <definedName function="false" hidden="false" name="pourcent_agro_5" vbProcedure="false">#REF!</definedName>
    <definedName function="false" hidden="false" name="pulvé" vbProcedure="false">NA()</definedName>
    <definedName function="false" hidden="false" name="pulvé_6" vbProcedure="false">NA()</definedName>
    <definedName function="false" hidden="false" name="qlité" vbProcedure="false">NA()</definedName>
    <definedName function="false" hidden="false" name="qlité_4" vbProcedure="false">NA()</definedName>
    <definedName function="false" hidden="false" name="qlté_hebergement" vbProcedure="false">NA()</definedName>
    <definedName function="false" hidden="false" name="qlté_hebergement_4" vbProcedure="false">NA()</definedName>
    <definedName function="false" hidden="false" name="sau" vbProcedure="false">#REF!</definedName>
    <definedName function="false" hidden="false" name="SAU_1" vbProcedure="false">NA()</definedName>
    <definedName function="false" hidden="false" name="SAU_2" vbProcedure="false">NA()</definedName>
    <definedName function="false" hidden="false" name="SAU_3" vbProcedure="false">NA()</definedName>
    <definedName function="false" hidden="false" name="SAU_4" vbProcedure="false">NA()</definedName>
    <definedName function="false" hidden="false" name="SAU_5" vbProcedure="false">#REF!</definedName>
    <definedName function="false" hidden="false" name="SDA" vbProcedure="false">NA()</definedName>
    <definedName function="false" hidden="false" name="SDA_4" vbProcedure="false">NA()</definedName>
    <definedName function="false" hidden="false" name="SDA_5" vbProcedure="false">#REF!</definedName>
    <definedName function="false" hidden="false" name="smic_mois" vbProcedure="false">#REF!</definedName>
    <definedName function="false" hidden="false" name="typetrait" vbProcedure="false">#REF!</definedName>
    <definedName function="false" hidden="false" name="vermifuge" vbProcedure="false">NA()</definedName>
    <definedName function="false" hidden="false" name="vermifuge_4" vbProcedure="false">NA()</definedName>
    <definedName function="false" hidden="false" name="vermifuge_5" vbProcedure="false">#REF!</definedName>
    <definedName function="false" hidden="false" name="_xlfn_IFERROR" vbProcedure="false"/>
    <definedName function="false" hidden="false" localSheetId="4" name="_Toc291421710" vbProcedure="false">NA()</definedName>
    <definedName function="false" hidden="false" localSheetId="5" name="codesources" vbProcedure="false">#REF!</definedName>
    <definedName function="false" hidden="false" localSheetId="5" name="_xlnm_Print_Area" vbProcedure="false">'Bilan apparent'!$A$1:$K$488</definedName>
    <definedName function="false" hidden="false" localSheetId="7" name="Amorti" vbProcedure="false">NA()</definedName>
    <definedName function="false" hidden="false" localSheetId="7" name="Amorti_4" vbProcedure="false">NA()</definedName>
    <definedName function="false" hidden="false" localSheetId="7" name="Annuites" vbProcedure="false">NA()</definedName>
    <definedName function="false" hidden="false" localSheetId="7" name="Appro" vbProcedure="false">NA()</definedName>
    <definedName function="false" hidden="false" localSheetId="7" name="Appro_4" vbProcedure="false">NA()</definedName>
    <definedName function="false" hidden="false" localSheetId="7" name="auto_estimation_bien_etre" vbProcedure="false">NA()</definedName>
    <definedName function="false" hidden="false" localSheetId="7" name="CAtot_1" vbProcedure="false">NA()</definedName>
    <definedName function="false" hidden="false" localSheetId="7" name="CAtot_1_4" vbProcedure="false">NA()</definedName>
    <definedName function="false" hidden="false" localSheetId="7" name="CAtot_2" vbProcedure="false">NA()</definedName>
    <definedName function="false" hidden="false" localSheetId="7" name="CAtot_2_4" vbProcedure="false">NA()</definedName>
    <definedName function="false" hidden="false" localSheetId="7" name="CA_1" vbProcedure="false">NA()</definedName>
    <definedName function="false" hidden="false" localSheetId="7" name="CA_1_4" vbProcedure="false">NA()</definedName>
    <definedName function="false" hidden="false" localSheetId="7" name="CA_2" vbProcedure="false">NA()</definedName>
    <definedName function="false" hidden="false" localSheetId="7" name="CIPAN" vbProcedure="false">NA()</definedName>
    <definedName function="false" hidden="false" localSheetId="7" name="CIPAN_4" vbProcedure="false">NA()</definedName>
    <definedName function="false" hidden="false" localSheetId="7" name="codesources" vbProcedure="false">#REF!</definedName>
    <definedName function="false" hidden="false" localSheetId="7" name="culture" vbProcedure="false">NA()</definedName>
    <definedName function="false" hidden="false" localSheetId="7" name="culture_4" vbProcedure="false">NA()</definedName>
    <definedName function="false" hidden="false" localSheetId="7" name="EBE" vbProcedure="false">NA()</definedName>
    <definedName function="false" hidden="false" localSheetId="7" name="EBE_4" vbProcedure="false">NA()</definedName>
    <definedName function="false" hidden="false" localSheetId="7" name="huile" vbProcedure="false">NA()</definedName>
    <definedName function="false" hidden="false" localSheetId="7" name="K" vbProcedure="false">NA()</definedName>
    <definedName function="false" hidden="false" localSheetId="7" name="Kmin" vbProcedure="false">NA()</definedName>
    <definedName function="false" hidden="false" localSheetId="7" name="Kmin_13" vbProcedure="false">NA()</definedName>
    <definedName function="false" hidden="false" localSheetId="7" name="K_4" vbProcedure="false">NA()</definedName>
    <definedName function="false" hidden="false" localSheetId="7" name="legu" vbProcedure="false">NA()</definedName>
    <definedName function="false" hidden="false" localSheetId="7" name="legu_4" vbProcedure="false">NA()</definedName>
    <definedName function="false" hidden="false" localSheetId="7" name="liste" vbProcedure="false">NA()</definedName>
    <definedName function="false" hidden="false" localSheetId="7" name="P2O5" vbProcedure="false">NA()</definedName>
    <definedName function="false" hidden="false" localSheetId="7" name="P2O5_4" vbProcedure="false">NA()</definedName>
    <definedName function="false" hidden="false" localSheetId="7" name="pourcent_agro" vbProcedure="false">NA()</definedName>
    <definedName function="false" hidden="false" localSheetId="7" name="pourcent_agro_4" vbProcedure="false">NA()</definedName>
    <definedName function="false" hidden="false" localSheetId="7" name="pulvé" vbProcedure="false">NA()</definedName>
    <definedName function="false" hidden="false" localSheetId="7" name="pulvé_6" vbProcedure="false">NA()</definedName>
    <definedName function="false" hidden="false" localSheetId="7" name="qlité" vbProcedure="false">NA()</definedName>
    <definedName function="false" hidden="false" localSheetId="7" name="SAU_1" vbProcedure="false">NA()</definedName>
    <definedName function="false" hidden="false" localSheetId="7" name="SAU_2" vbProcedure="false">NA()</definedName>
    <definedName function="false" hidden="false" localSheetId="7" name="SAU_3" vbProcedure="false">NA()</definedName>
    <definedName function="false" hidden="false" localSheetId="7" name="SDA" vbProcedure="false">NA()</definedName>
    <definedName function="false" hidden="false" localSheetId="7" name="SDA_4" vbProcedure="false">NA()</definedName>
    <definedName function="false" hidden="false" localSheetId="7" name="vermifuge" vbProcedure="false">NA()</definedName>
    <definedName function="false" hidden="false" localSheetId="7" name="vermifuge_4" vbProcedure="false">NA()</definedName>
    <definedName function="false" hidden="false" localSheetId="8" name="codesources" vbProcedure="false">#REF!</definedName>
    <definedName function="false" hidden="false" localSheetId="10" name="agro_5" vbProcedure="false">#REF!</definedName>
    <definedName function="false" hidden="false" localSheetId="10" name="application" vbProcedure="false">#REF!</definedName>
    <definedName function="false" hidden="false" localSheetId="10" name="bois_5" vbProcedure="false">#REF!</definedName>
    <definedName function="false" hidden="false" localSheetId="10" name="CAtot_1_5" vbProcedure="false">#REF!</definedName>
    <definedName function="false" hidden="false" localSheetId="10" name="CAtot_2_5" vbProcedure="false">#REF!</definedName>
    <definedName function="false" hidden="false" localSheetId="10" name="CA_1_5" vbProcedure="false">#REF!</definedName>
    <definedName function="false" hidden="false" localSheetId="10" name="ca_2_4" vbProcedure="false">#REF!</definedName>
    <definedName function="false" hidden="false" localSheetId="10" name="CA_2_5" vbProcedure="false">#REF!</definedName>
    <definedName function="false" hidden="false" localSheetId="10" name="CIPAN_5" vbProcedure="false">#REF!</definedName>
    <definedName function="false" hidden="false" localSheetId="10" name="codesources" vbProcedure="false">#REF!</definedName>
    <definedName function="false" hidden="false" localSheetId="10" name="culture_5" vbProcedure="false">#REF!</definedName>
    <definedName function="false" hidden="false" localSheetId="10" name="Céréales" vbProcedure="false">#REF!</definedName>
    <definedName function="false" hidden="false" localSheetId="10" name="huile_5" vbProcedure="false">#REF!</definedName>
    <definedName function="false" hidden="false" localSheetId="10" name="Kmin_14" vbProcedure="false">#REF!</definedName>
    <definedName function="false" hidden="false" localSheetId="10" name="K_5" vbProcedure="false">#REF!</definedName>
    <definedName function="false" hidden="false" localSheetId="10" name="Lait" vbProcedure="false">#REF!</definedName>
    <definedName function="false" hidden="false" localSheetId="10" name="N_5" vbProcedure="false">#REF!</definedName>
    <definedName function="false" hidden="false" localSheetId="10" name="ouinon" vbProcedure="false">#REF!</definedName>
    <definedName function="false" hidden="false" localSheetId="10" name="P2O5_5" vbProcedure="false">#REF!</definedName>
    <definedName function="false" hidden="false" localSheetId="10" name="pourcent_agro_5" vbProcedure="false">#REF!</definedName>
    <definedName function="false" hidden="false" localSheetId="10" name="sau" vbProcedure="false">#REF!</definedName>
    <definedName function="false" hidden="false" localSheetId="10" name="SAU_5" vbProcedure="false">#REF!</definedName>
    <definedName function="false" hidden="false" localSheetId="10" name="SDA_5" vbProcedure="false">#REF!</definedName>
    <definedName function="false" hidden="false" localSheetId="10" name="smic_mois" vbProcedure="false">#REF!</definedName>
    <definedName function="false" hidden="false" localSheetId="10" name="typetrait" vbProcedure="false">#REF!</definedName>
    <definedName function="false" hidden="false" localSheetId="10" name="vermifuge_5" vbProcedure="false">#REF!</definedName>
  </definedNames>
  <calcPr iterateCount="100" refMode="A1" iterate="false" iterateDelta="0.001"/>
  <extLst>
    <ext xmlns:loext="http://schemas.libreoffice.org/" uri="{7626C862-2A13-11E5-B345-FEFF819CDC9F}">
      <loext:extCalcPr stringRefSyntax="CalcA1"/>
    </ext>
  </extLst>
</workbook>
</file>

<file path=xl/comments4.xml><?xml version="1.0" encoding="utf-8"?>
<comments xmlns="http://schemas.openxmlformats.org/spreadsheetml/2006/main" xmlns:xdr="http://schemas.openxmlformats.org/drawingml/2006/spreadsheetDrawing">
  <authors>
    <author> </author>
  </authors>
  <commentList>
    <comment ref="A275" authorId="0">
      <text>
        <r>
          <rPr>
            <sz val="9"/>
            <color rgb="FF000000"/>
            <rFont val="Tahoma"/>
            <family val="2"/>
            <charset val="1"/>
          </rPr>
          <t xml:space="preserve">Pour les protéagineux, on considère que l'azote fixé correspond à l'azote exporté par le grain
</t>
        </r>
      </text>
    </comment>
    <comment ref="A317" authorId="0">
      <text>
        <r>
          <rPr>
            <sz val="9"/>
            <color rgb="FF000000"/>
            <rFont val="Tahoma"/>
            <family val="2"/>
            <charset val="1"/>
          </rPr>
          <t xml:space="preserve">Pour les protéagineux, on considère que l'azote fixé correspond à l'azote exporté par le grain
</t>
        </r>
      </text>
    </comment>
    <comment ref="B20" authorId="0">
      <text>
        <r>
          <rPr>
            <sz val="9"/>
            <color rgb="FF000000"/>
            <rFont val="Tahoma"/>
            <family val="2"/>
            <charset val="1"/>
          </rPr>
          <t xml:space="preserve">superficie agricole utilisée. Elle comprend les terres arables, la superficie toujours en herbe (STH) et les cultures permanentes. </t>
        </r>
      </text>
    </comment>
    <comment ref="B24" authorId="0">
      <text>
        <r>
          <rPr>
            <sz val="9"/>
            <color rgb="FF000000"/>
            <rFont val="Tahoma"/>
            <family val="2"/>
            <charset val="1"/>
          </rPr>
          <t xml:space="preserve">surface agricole toujours en herbe des exploitations, c’est-à-dire depuis plus de 5 ans (prairies permanentes mais aussi les bordures et bandes enherbées gérées comme une PP).</t>
        </r>
      </text>
    </comment>
    <comment ref="B810" authorId="0">
      <text>
        <r>
          <rPr>
            <sz val="9"/>
            <color rgb="FF000000"/>
            <rFont val="Tahoma"/>
            <family val="2"/>
            <charset val="1"/>
          </rPr>
          <t xml:space="preserve">ex: Cuma, atelier de découpe ou de transformation collectif, point de vente collectif, accueil de ruches</t>
        </r>
      </text>
    </comment>
    <comment ref="B873" authorId="0">
      <text>
        <r>
          <rPr>
            <sz val="9"/>
            <color rgb="FF000000"/>
            <rFont val="Tahoma"/>
            <family val="2"/>
            <charset val="1"/>
          </rPr>
          <t xml:space="preserve">On entend par services marchands les actions rétribués bénéficiant à la collectivité 
ex: déneigement, débroussaillage,
compostage déchets verts des collectivités, 
valorisation de digestats de méthaniseur?
</t>
        </r>
      </text>
    </comment>
    <comment ref="B880" authorId="0">
      <text>
        <r>
          <rPr>
            <sz val="9"/>
            <color rgb="FF000000"/>
            <rFont val="Tahoma"/>
            <family val="2"/>
            <charset val="1"/>
          </rPr>
          <t xml:space="preserve">Libre accès des chemins aux randonneurs, VTT, aux chevaux de loisirs, aux parapentes, aux activités d’observation de la faune et de la flore, etc…</t>
        </r>
      </text>
    </comment>
    <comment ref="B882" authorId="0">
      <text>
        <r>
          <rPr>
            <sz val="9"/>
            <color rgb="FF000000"/>
            <rFont val="Tahoma"/>
            <family val="2"/>
            <charset val="1"/>
          </rPr>
          <t xml:space="preserve">Libre accès sur des chemins privatifs en zones urbaines ou périurbaines (tourisme doux)</t>
        </r>
        <r>
          <rPr>
            <b val="true"/>
            <sz val="9"/>
            <color rgb="FF000000"/>
            <rFont val="Tahoma"/>
            <family val="2"/>
            <charset val="1"/>
          </rPr>
          <t xml:space="preserve">      </t>
        </r>
      </text>
    </comment>
    <comment ref="B887" authorId="0">
      <text>
        <r>
          <rPr>
            <sz val="9"/>
            <color rgb="FF000000"/>
            <rFont val="Tahoma"/>
            <family val="2"/>
            <charset val="1"/>
          </rPr>
          <t xml:space="preserve">A prendre en considération:
• Entretien ou restauration du bâti ancien, du petit patrimoine rural constitutif du patrimoine local 
• Qualité et typicité architecturale et intégration paysagère du bâti récent
• Qualité des abords du siège d’exploitation</t>
        </r>
      </text>
    </comment>
    <comment ref="B891" authorId="0">
      <text>
        <r>
          <rPr>
            <sz val="9"/>
            <color rgb="FF000000"/>
            <rFont val="Tahoma"/>
            <family val="2"/>
            <charset val="1"/>
          </rPr>
          <t xml:space="preserve">A prendre en considération: 
• Aménagement paysager des surfaces cultivées et lisières et forêts de l’exploitation
• Mise en œuvre d’actions visant à valoriser le paysage (concours fermes fleuries, jachères fleuries, Engagement chartes paysagères locales)
• Contribution par les pratiques culturales ou d’élevage, à la valorisation et à l’entretien du paysage culturel (terrasses cévenoles, murets de pierre sèche, …)
</t>
        </r>
      </text>
    </comment>
    <comment ref="B898" authorId="0">
      <text>
        <r>
          <rPr>
            <sz val="9"/>
            <color rgb="FF000000"/>
            <rFont val="Tahoma"/>
            <family val="2"/>
            <charset val="1"/>
          </rPr>
          <t xml:space="preserve">A prendre en considération: 
• savoirs faire liés aux cultures (exemple : sarrasin en Bretagne, lavandin sur le plateau de Valensole, taureaux en Camargue, …reconnu ou non par une marque Parc)
• savoirs faire liés à l'élevage (garde des taureaux à cheval, transhumance à pied, …)
• savoirs faire liés aux outils de production (utilisation de moulins ou pressoirs traditionnels…)</t>
        </r>
      </text>
    </comment>
    <comment ref="B983" authorId="0">
      <text>
        <r>
          <rPr>
            <sz val="9"/>
            <color rgb="FF000000"/>
            <rFont val="Tahoma"/>
            <family val="2"/>
            <charset val="1"/>
          </rPr>
          <t xml:space="preserve">Ex :  hébergement de jeunes et accueil handicapés, Mise à disposition de foncier pour des jeunes en installation, Parrainage de jeunes en installation;
 travail avec des banques alimentaires (directement ou via coopératives ou toutes structures de collectes), Restau du cœur
</t>
        </r>
      </text>
    </comment>
    <comment ref="B987" authorId="0">
      <text>
        <r>
          <rPr>
            <sz val="9"/>
            <color rgb="FF000000"/>
            <rFont val="Tahoma"/>
            <family val="2"/>
            <charset val="1"/>
          </rPr>
          <t xml:space="preserve">Ex: Organisation de chantiers avec des citoyens, mobilisation de financement participatif, etc.</t>
        </r>
      </text>
    </comment>
    <comment ref="B993" authorId="0">
      <text>
        <r>
          <rPr>
            <sz val="9"/>
            <color rgb="FF000000"/>
            <rFont val="Tahoma"/>
            <family val="2"/>
            <charset val="1"/>
          </rPr>
          <t xml:space="preserve">Exemple : Ecoles, étudiants
Sauf interdiction réglementaire ou difficulté installation (pas de logement disponible, etc..) ou familiale</t>
        </r>
        <r>
          <rPr>
            <b val="true"/>
            <sz val="9"/>
            <color rgb="FF000000"/>
            <rFont val="Tahoma"/>
            <family val="2"/>
            <charset val="1"/>
          </rPr>
          <t xml:space="preserve"> 
</t>
        </r>
      </text>
    </comment>
    <comment ref="B1008" authorId="0">
      <text>
        <r>
          <rPr>
            <sz val="9"/>
            <color rgb="FF000000"/>
            <rFont val="Tahoma"/>
            <family val="2"/>
            <charset val="1"/>
          </rPr>
          <t xml:space="preserve">A dire d'agriculteur(trice)
Si conjoint ou associés, retenir la plus mauvaise estimation
</t>
        </r>
      </text>
    </comment>
    <comment ref="G253" authorId="0">
      <text>
        <r>
          <rPr>
            <sz val="9"/>
            <color rgb="FF000000"/>
            <rFont val="Tahoma"/>
            <family val="2"/>
            <charset val="1"/>
          </rPr>
          <t xml:space="preserve">Peut s'obtenir en multipliant le rendement en tMS par la surface à condition que tout soit vendu
</t>
        </r>
      </text>
    </comment>
    <comment ref="G1105" authorId="0">
      <text>
        <r>
          <rPr>
            <sz val="10"/>
            <rFont val="Arial"/>
            <family val="2"/>
            <charset val="1"/>
          </rPr>
          <t xml:space="preserve">CA : seulement ce qui est vendu (pas pris en compte autoconsommation)</t>
        </r>
      </text>
    </comment>
    <comment ref="H1105" authorId="0">
      <text>
        <r>
          <rPr>
            <sz val="10"/>
            <rFont val="Arial"/>
            <family val="2"/>
            <charset val="1"/>
          </rPr>
          <t xml:space="preserve">Produit brut = f (prix du marché) vente + stock</t>
        </r>
      </text>
    </comment>
  </commentList>
</comments>
</file>

<file path=xl/comments5.xml><?xml version="1.0" encoding="utf-8"?>
<comments xmlns="http://schemas.openxmlformats.org/spreadsheetml/2006/main" xmlns:xdr="http://schemas.openxmlformats.org/drawingml/2006/spreadsheetDrawing">
  <authors>
    <author> </author>
  </authors>
  <commentList>
    <comment ref="A24" authorId="0">
      <text>
        <r>
          <rPr>
            <sz val="9"/>
            <color rgb="FF000000"/>
            <rFont val="Tahoma"/>
            <family val="2"/>
            <charset val="1"/>
          </rPr>
          <t xml:space="preserve">superficie agricole utilisée. Elle comprend les terres arables, la superficie toujours en herbe (STH) et les cultures permanentes. </t>
        </r>
      </text>
    </comment>
    <comment ref="A237" authorId="0">
      <text>
        <r>
          <rPr>
            <sz val="9"/>
            <color rgb="FF000000"/>
            <rFont val="Tahoma"/>
            <family val="2"/>
            <charset val="1"/>
          </rPr>
          <t xml:space="preserve">Pour les protéagineux, on considère que l'azote fixé correspond à l'azote exporté par le grain
</t>
        </r>
      </text>
    </comment>
    <comment ref="A281" authorId="0">
      <text>
        <r>
          <rPr>
            <sz val="9"/>
            <color rgb="FF000000"/>
            <rFont val="Tahoma"/>
            <family val="2"/>
            <charset val="1"/>
          </rPr>
          <t xml:space="preserve">Pour les protéagineux, on considère que l'azote fixé correspond à l'azote exporté par le grain
</t>
        </r>
      </text>
    </comment>
    <comment ref="A293" authorId="0">
      <text>
        <r>
          <rPr>
            <sz val="9"/>
            <color rgb="FF000000"/>
            <rFont val="Tahoma"/>
            <family val="2"/>
            <charset val="1"/>
          </rPr>
          <t xml:space="preserve">Pour les protéagineux, on considère que l'azote fixé correspond à l'azote exporté par le grain
</t>
        </r>
      </text>
    </comment>
    <comment ref="A582" authorId="0">
      <text>
        <r>
          <rPr>
            <sz val="9"/>
            <color rgb="FF000000"/>
            <rFont val="Tahoma"/>
            <family val="2"/>
            <charset val="1"/>
          </rPr>
          <t xml:space="preserve">Prend en compte les légumineuses en culture pure ou en association, y compris en agroforesterie ( eucalyptus, robilnier)
Prend en compte les prairies 
temporaires en fonction de leur proportion de léguminuese</t>
        </r>
      </text>
    </comment>
    <comment ref="A845" authorId="0">
      <text>
        <r>
          <rPr>
            <sz val="9"/>
            <color rgb="FF000000"/>
            <rFont val="Tahoma"/>
            <family val="2"/>
            <charset val="1"/>
          </rPr>
          <t xml:space="preserve">on s'intéresse aux surfaces destinées, au final, à l'alimentation humaine. On prend donc également en compte:
- les surfaces dédiées à l'alimentation animale
- les surfaces dédiées où l’exploitant permet des activités liées à l’alimentation ( chasse, pêche, cueillette)
Il n'y a pas de prise en compte de l’intensité de production</t>
        </r>
      </text>
    </comment>
    <comment ref="A856" authorId="0">
      <text>
        <r>
          <rPr>
            <sz val="9"/>
            <color rgb="FF000000"/>
            <rFont val="Tahoma"/>
            <family val="2"/>
            <charset val="1"/>
          </rPr>
          <t xml:space="preserve">Ne sont comptabilisés que les seuls aliments industriels formulés à partir de matières premières qui varient selon les fluctuations des cours mondiaux et donc sans provenance précise. 
Les céréales achetées à un voisin ou dans le cadre de projets collectifs territoriaux contribuant à l’autonomie protéique sont donc exclues des surfaces importées.
</t>
        </r>
      </text>
    </comment>
    <comment ref="A911" authorId="0">
      <text>
        <r>
          <rPr>
            <sz val="9"/>
            <color rgb="FF000000"/>
            <rFont val="Tahoma"/>
            <family val="2"/>
            <charset val="1"/>
          </rPr>
          <t xml:space="preserve">On entend par services marchands les actions rétribués bénéficiant à la collectivité 
ex: déneigement, débroussaillage,
compostage déchets verts des collectivités, 
valorisation de digestats de méthaniseur?
</t>
        </r>
      </text>
    </comment>
    <comment ref="A937" authorId="0">
      <text>
        <r>
          <rPr>
            <sz val="9"/>
            <color rgb="FF000000"/>
            <rFont val="Tahoma"/>
            <family val="2"/>
            <charset val="1"/>
          </rPr>
          <t xml:space="preserve">Ex de projets énergétiques:  bois de chauffage et plaquette,
Méthanisation de déchets organiques agricoles ou de collectivités, presse semi-mobile à huile végétale pure, Projet collectifs de bois bocage/haie énergie, Miscanthus
</t>
        </r>
      </text>
    </comment>
    <comment ref="A958" authorId="0">
      <text>
        <r>
          <rPr>
            <sz val="9"/>
            <color rgb="FF000000"/>
            <rFont val="Tahoma"/>
            <family val="2"/>
            <charset val="1"/>
          </rPr>
          <t xml:space="preserve">A prendre en considération:
• Entretien ou restauration du bâti ancien, du petit patrimoine rural constitutif du patrimoine local 
• Qualité et typicité architecturale et intégration paysagère du bâti récent
• Qualité des abords du siège d’exploitation</t>
        </r>
      </text>
    </comment>
    <comment ref="A964" authorId="0">
      <text>
        <r>
          <rPr>
            <sz val="9"/>
            <color rgb="FF000000"/>
            <rFont val="Tahoma"/>
            <family val="2"/>
            <charset val="1"/>
          </rPr>
          <t xml:space="preserve">A prendre en considération: 
• savoirs faire liés aux cultures (exemple : sarrasin en Bretagne, lavandin sur le plateau de Valensole, taureaux en Camargue, …reconnu ou non par une marque Parc)
• savoirs faire liés à l'élevage (garde des taureaux à cheval, transhumance à pied, …)
• savoirs faire liés aux outils de production (utilisation de moulins ou pressoirs traditionnels…)</t>
        </r>
      </text>
    </comment>
    <comment ref="A973" authorId="0">
      <text>
        <r>
          <rPr>
            <sz val="9"/>
            <color rgb="FF000000"/>
            <rFont val="Tahoma"/>
            <family val="2"/>
            <charset val="1"/>
          </rPr>
          <t xml:space="preserve">Libre accès des chemins aux randonneurs, VTT, aux chevaux de loisirs, aux parapentes, aux activités d’observation de la faune et de la flore, etc…</t>
        </r>
      </text>
    </comment>
    <comment ref="A999" authorId="0">
      <text>
        <r>
          <rPr>
            <sz val="9"/>
            <color rgb="FF000000"/>
            <rFont val="Tahoma"/>
            <family val="2"/>
            <charset val="1"/>
          </rPr>
          <t xml:space="preserve">ex: Cuma, atelier de découpe ou de transformation collectif, point de vente collectif, accueil de ruches</t>
        </r>
      </text>
    </comment>
    <comment ref="A1071" authorId="0">
      <text>
        <r>
          <rPr>
            <sz val="9"/>
            <color rgb="FF000000"/>
            <rFont val="Tahoma"/>
            <family val="2"/>
            <charset val="1"/>
          </rPr>
          <t xml:space="preserve">Ex :  hébergement de jeunes et accueil handicapés, Mise à disposition de foncier pour des jeunes en installation, Parrainage de jeunes en installation;
 travail avec des banques alimentaires (directement ou via coopératives ou toutes structures de collectes), Restau du cœur
</t>
        </r>
      </text>
    </comment>
    <comment ref="A1073" authorId="0">
      <text>
        <r>
          <rPr>
            <sz val="9"/>
            <color rgb="FF000000"/>
            <rFont val="Tahoma"/>
            <family val="2"/>
            <charset val="1"/>
          </rPr>
          <t xml:space="preserve">Ex: Organisation de chantiers avec des citoyens, mobilisation de financement participatif, etc.</t>
        </r>
      </text>
    </comment>
    <comment ref="A1075" authorId="0">
      <text>
        <r>
          <rPr>
            <sz val="9"/>
            <color rgb="FF000000"/>
            <rFont val="Tahoma"/>
            <family val="2"/>
            <charset val="1"/>
          </rPr>
          <t xml:space="preserve">Exemple : Ecoles, étudiants
Sauf interdiction réglementaire ou difficulté installation (pas de logement disponible, etc..) ou familiale</t>
        </r>
        <r>
          <rPr>
            <b val="true"/>
            <sz val="9"/>
            <color rgb="FF000000"/>
            <rFont val="Tahoma"/>
            <family val="2"/>
            <charset val="1"/>
          </rPr>
          <t xml:space="preserve"> 
</t>
        </r>
      </text>
    </comment>
    <comment ref="A1091" authorId="0">
      <text>
        <r>
          <rPr>
            <sz val="9"/>
            <color rgb="FF000000"/>
            <rFont val="Tahoma"/>
            <family val="2"/>
            <charset val="1"/>
          </rPr>
          <t xml:space="preserve">A dire d'agriculteur(trice)
Si conjoint ou associés, retenir la plus mauvaise estimation
</t>
        </r>
      </text>
    </comment>
    <comment ref="A1220" authorId="0">
      <text>
        <r>
          <rPr>
            <i val="true"/>
            <sz val="9"/>
            <color rgb="FF000000"/>
            <rFont val="Tahoma"/>
            <family val="2"/>
            <charset val="1"/>
          </rPr>
          <t xml:space="preserve">Evaluation de la viabilité économique de l'exploitation agricole dans sa capacité à générer par son processus d’exploitation suffisamment de richesses pour rémunérer à la fois l'exploitant et les investissements 
</t>
        </r>
      </text>
    </comment>
    <comment ref="A1233" authorId="0">
      <text>
        <r>
          <rPr>
            <i val="true"/>
            <sz val="9"/>
            <color rgb="FF000000"/>
            <rFont val="Tahoma"/>
            <family val="2"/>
            <charset val="1"/>
          </rPr>
          <t xml:space="preserve">Rend compte de la solvabilité de l'exploitation</t>
        </r>
      </text>
    </comment>
    <comment ref="A1238" authorId="0">
      <text>
        <r>
          <rPr>
            <i val="true"/>
            <sz val="9"/>
            <color rgb="FF000000"/>
            <rFont val="Tahoma"/>
            <family val="2"/>
            <charset val="1"/>
          </rPr>
          <t xml:space="preserve">Appréciation des marges de manœuvre dont dispose l’exploitation face aux emprunts qu’elle a déjà contracté et son autonomie de décision</t>
        </r>
      </text>
    </comment>
    <comment ref="A1320" authorId="0">
      <text>
        <r>
          <rPr>
            <i val="true"/>
            <sz val="9"/>
            <color rgb="FF000000"/>
            <rFont val="Tahoma"/>
            <family val="2"/>
            <charset val="1"/>
          </rPr>
          <t xml:space="preserve">Autonomie financière de l'exploitation et adaptabilité face à la variabilité des aides</t>
        </r>
      </text>
    </comment>
    <comment ref="A1330" authorId="0">
      <text>
        <r>
          <rPr>
            <i val="true"/>
            <sz val="9"/>
            <color rgb="FF000000"/>
            <rFont val="Tahoma"/>
            <family val="2"/>
            <charset val="1"/>
          </rPr>
          <t xml:space="preserve">maintien d'exploitation à taille humaine pour en faciliter la transmission</t>
        </r>
      </text>
    </comment>
    <comment ref="B995" authorId="0">
      <text>
        <r>
          <rPr>
            <sz val="9"/>
            <color rgb="FF000000"/>
            <rFont val="Tahoma"/>
            <family val="2"/>
            <charset val="1"/>
          </rPr>
          <t xml:space="preserve">On s'intéresse au travail ou à la participation à des réseaux d'essai, de connaissance, de gestion, collectifs d'apprentissage ou de conception de pratiques environnementales innovantes.
Ex: Civam, GDA, réseaux Ecophyto, SME collectifs, adhésion à des GIEE </t>
        </r>
      </text>
    </comment>
    <comment ref="C110" authorId="0">
      <text>
        <r>
          <rPr>
            <sz val="9"/>
            <color rgb="FF000000"/>
            <rFont val="Tahoma"/>
            <family val="2"/>
            <charset val="1"/>
          </rPr>
          <t xml:space="preserve">si inconnu, s'aider des tables de conversion pour une estimation.</t>
        </r>
      </text>
    </comment>
    <comment ref="C630" authorId="0">
      <text>
        <r>
          <rPr>
            <b val="true"/>
            <sz val="9"/>
            <color rgb="FF000000"/>
            <rFont val="Tahoma"/>
            <family val="2"/>
            <charset val="1"/>
          </rPr>
          <t xml:space="preserve">Steinmetz Lucille:
</t>
        </r>
        <r>
          <rPr>
            <sz val="9"/>
            <color rgb="FF000000"/>
            <rFont val="Tahoma"/>
            <family val="2"/>
            <charset val="1"/>
          </rPr>
          <t xml:space="preserve">L, kWh, stère, t, …
</t>
        </r>
      </text>
    </comment>
    <comment ref="C857" authorId="0">
      <text>
        <r>
          <rPr>
            <sz val="9"/>
            <color rgb="FF000000"/>
            <rFont val="Tahoma"/>
            <family val="2"/>
            <charset val="1"/>
          </rPr>
          <t xml:space="preserve">Surface importée : 
4 t d'aliment du bétail concentré acheté = 1 ha équivalent </t>
        </r>
      </text>
    </comment>
    <comment ref="C1004" authorId="0">
      <text>
        <r>
          <rPr>
            <b val="true"/>
            <sz val="9"/>
            <color rgb="FF000000"/>
            <rFont val="Tahoma"/>
            <family val="2"/>
            <charset val="1"/>
          </rPr>
          <t xml:space="preserve">SAU/UTH
</t>
        </r>
      </text>
    </comment>
    <comment ref="D964" authorId="0">
      <text>
        <r>
          <rPr>
            <i val="true"/>
            <sz val="9"/>
            <color rgb="FF000000"/>
            <rFont val="Tahoma"/>
            <family val="2"/>
            <charset val="1"/>
          </rPr>
          <t xml:space="preserve">Qualité de vie et identité du territoire</t>
        </r>
      </text>
    </comment>
    <comment ref="D973" authorId="0">
      <text>
        <r>
          <rPr>
            <sz val="9"/>
            <color rgb="FF000000"/>
            <rFont val="Tahoma"/>
            <family val="2"/>
            <charset val="1"/>
          </rPr>
          <t xml:space="preserve">Libre accès sur des chemins privatifs en zones urbaines ou périurbaines (tourisme doux)</t>
        </r>
        <r>
          <rPr>
            <b val="true"/>
            <sz val="9"/>
            <color rgb="FF000000"/>
            <rFont val="Tahoma"/>
            <family val="2"/>
            <charset val="1"/>
          </rPr>
          <t xml:space="preserve">      </t>
        </r>
      </text>
    </comment>
    <comment ref="D1022" authorId="0">
      <text>
        <r>
          <rPr>
            <i val="true"/>
            <sz val="9"/>
            <color rgb="FF000000"/>
            <rFont val="Tahoma"/>
            <family val="2"/>
            <charset val="1"/>
          </rPr>
          <t xml:space="preserve">Indépendance et développement territorial
</t>
        </r>
      </text>
    </comment>
    <comment ref="D1023" authorId="0">
      <text>
        <r>
          <rPr>
            <i val="true"/>
            <sz val="9"/>
            <color rgb="FF000000"/>
            <rFont val="Tahoma"/>
            <family val="2"/>
            <charset val="1"/>
          </rPr>
          <t xml:space="preserve">Indépendance et développement territorial
</t>
        </r>
      </text>
    </comment>
    <comment ref="D1024" authorId="0">
      <text>
        <r>
          <rPr>
            <i val="true"/>
            <sz val="9"/>
            <color rgb="FF000000"/>
            <rFont val="Tahoma"/>
            <family val="2"/>
            <charset val="1"/>
          </rPr>
          <t xml:space="preserve">Indépendance et développement territorial
</t>
        </r>
      </text>
    </comment>
    <comment ref="D1025" authorId="0">
      <text>
        <r>
          <rPr>
            <i val="true"/>
            <sz val="9"/>
            <color rgb="FF000000"/>
            <rFont val="Tahoma"/>
            <family val="2"/>
            <charset val="1"/>
          </rPr>
          <t xml:space="preserve">Indépendance et développement territorial
</t>
        </r>
      </text>
    </comment>
    <comment ref="D1027" authorId="0">
      <text>
        <r>
          <rPr>
            <sz val="9"/>
            <color rgb="FF000000"/>
            <rFont val="Tahoma"/>
            <family val="2"/>
            <charset val="1"/>
          </rPr>
          <t xml:space="preserve">viabilité économique et pérénité de l'exploitation,
qualité de vie,
développement territorial,
démarche éthique et engagement citoyen
</t>
        </r>
      </text>
    </comment>
    <comment ref="D1073" authorId="0">
      <text>
        <r>
          <rPr>
            <sz val="9"/>
            <color rgb="FF000000"/>
            <rFont val="Tahoma"/>
            <family val="2"/>
            <charset val="1"/>
          </rPr>
          <t xml:space="preserve">Développement territorial,
Qualité de vie,
Liberté d'action et indépendance
Engagement de citoyenneté </t>
        </r>
      </text>
    </comment>
    <comment ref="D1218" authorId="0">
      <text>
        <r>
          <rPr>
            <b val="true"/>
            <sz val="9"/>
            <color rgb="FF000000"/>
            <rFont val="Tahoma"/>
            <family val="2"/>
            <charset val="1"/>
          </rPr>
          <t xml:space="preserve"> Besoin de financement (BF) 
 = (0,25*dotation amortissements de l’année) + somme annuités LMT
</t>
        </r>
        <r>
          <rPr>
            <sz val="9"/>
            <color rgb="FF000000"/>
            <rFont val="Tahoma"/>
            <family val="2"/>
            <charset val="1"/>
          </rPr>
          <t xml:space="preserve">
</t>
        </r>
        <r>
          <rPr>
            <i val="true"/>
            <sz val="9"/>
            <color rgb="FF000000"/>
            <rFont val="Tahoma"/>
            <family val="2"/>
            <charset val="1"/>
          </rPr>
          <t xml:space="preserve">Le taux de 25 % des amortissements correspond à une exploitation en rythme de croisière qui consacre 25 % de son EBE à des investissements de croissance ou de renouvellement</t>
        </r>
      </text>
    </comment>
    <comment ref="D1220" authorId="0">
      <text>
        <r>
          <rPr>
            <b val="true"/>
            <sz val="9"/>
            <color rgb="FF000000"/>
            <rFont val="Tahoma"/>
            <family val="2"/>
            <charset val="1"/>
          </rPr>
          <t xml:space="preserve">CE=(EBE-BF)/ UTH non salarié
</t>
        </r>
      </text>
    </comment>
    <comment ref="D1320" authorId="0">
      <text>
        <r>
          <rPr>
            <b val="true"/>
            <sz val="9"/>
            <color rgb="FF000000"/>
            <rFont val="Tahoma"/>
            <family val="2"/>
            <charset val="1"/>
          </rPr>
          <t xml:space="preserve">SA = (aides 1er pilier  PAC)/ EBE</t>
        </r>
      </text>
    </comment>
    <comment ref="E241" authorId="0">
      <text>
        <r>
          <rPr>
            <sz val="9"/>
            <color rgb="FF000000"/>
            <rFont val="Tahoma"/>
            <family val="2"/>
            <charset val="1"/>
          </rPr>
          <t xml:space="preserve">utililiser le tableau de détermination du taux de légumineuse
</t>
        </r>
      </text>
    </comment>
    <comment ref="E242" authorId="0">
      <text>
        <r>
          <rPr>
            <sz val="9"/>
            <color rgb="FF000000"/>
            <rFont val="Tahoma"/>
            <family val="2"/>
            <charset val="1"/>
          </rPr>
          <t xml:space="preserve">utililiser le tableau de détermination du taux de légumineuse
</t>
        </r>
      </text>
    </comment>
    <comment ref="E243" authorId="0">
      <text>
        <r>
          <rPr>
            <sz val="9"/>
            <color rgb="FF000000"/>
            <rFont val="Tahoma"/>
            <family val="2"/>
            <charset val="1"/>
          </rPr>
          <t xml:space="preserve">utililiser le tableau de détermination du taux de légumineuse
</t>
        </r>
      </text>
    </comment>
    <comment ref="E244" authorId="0">
      <text>
        <r>
          <rPr>
            <sz val="9"/>
            <color rgb="FF000000"/>
            <rFont val="Tahoma"/>
            <family val="2"/>
            <charset val="1"/>
          </rPr>
          <t xml:space="preserve">utililiser le tableau de détermination du taux de légumineuse
</t>
        </r>
      </text>
    </comment>
    <comment ref="E247" authorId="0">
      <text>
        <r>
          <rPr>
            <sz val="9"/>
            <color rgb="FF000000"/>
            <rFont val="Tahoma"/>
            <family val="2"/>
            <charset val="1"/>
          </rPr>
          <t xml:space="preserve">utililiser le tableau de détermination du taux de légumineuse ???
</t>
        </r>
      </text>
    </comment>
    <comment ref="E890" authorId="0">
      <text>
        <r>
          <rPr>
            <i val="true"/>
            <sz val="9"/>
            <color rgb="FF000000"/>
            <rFont val="Tahoma"/>
            <family val="2"/>
            <charset val="1"/>
          </rPr>
          <t xml:space="preserve">sensibilisation des consommateurs à mieux raisonner leur consommation</t>
        </r>
      </text>
    </comment>
    <comment ref="E893" authorId="0">
      <text>
        <r>
          <rPr>
            <i val="true"/>
            <sz val="9"/>
            <color rgb="FF000000"/>
            <rFont val="Tahoma"/>
            <family val="2"/>
            <charset val="1"/>
          </rPr>
          <t xml:space="preserve">sensibilisation des consommateurs à mieux raisonner leur consommation</t>
        </r>
      </text>
    </comment>
    <comment ref="E925" authorId="0">
      <text>
        <r>
          <rPr>
            <i val="true"/>
            <sz val="9"/>
            <color rgb="FF000000"/>
            <rFont val="Tahoma"/>
            <family val="2"/>
            <charset val="1"/>
          </rPr>
          <t xml:space="preserve">Indépendance et développement territorial
</t>
        </r>
      </text>
    </comment>
    <comment ref="E1006" authorId="0">
      <text>
        <r>
          <rPr>
            <sz val="9"/>
            <color rgb="FF000000"/>
            <rFont val="Tahoma"/>
            <family val="2"/>
            <charset val="1"/>
          </rPr>
          <t xml:space="preserve">viabilité économique et pérénité de l'exploitation,
développement territorial,
démarche éthique et engagement citoyen
</t>
        </r>
      </text>
    </comment>
    <comment ref="E1007" authorId="0">
      <text>
        <r>
          <rPr>
            <sz val="9"/>
            <color rgb="FF000000"/>
            <rFont val="Tahoma"/>
            <family val="2"/>
            <charset val="1"/>
          </rPr>
          <t xml:space="preserve">développement territorial,
démarche éthique et engagement citoyen
</t>
        </r>
      </text>
    </comment>
    <comment ref="E1010" authorId="0">
      <text>
        <r>
          <rPr>
            <sz val="9"/>
            <color rgb="FF000000"/>
            <rFont val="Tahoma"/>
            <family val="2"/>
            <charset val="1"/>
          </rPr>
          <t xml:space="preserve">développement territorial,
démarche éthique et engagement citoyen
</t>
        </r>
      </text>
    </comment>
    <comment ref="E1096" authorId="0">
      <text>
        <r>
          <rPr>
            <sz val="9"/>
            <color rgb="FF000000"/>
            <rFont val="Tahoma"/>
            <family val="2"/>
            <charset val="1"/>
          </rPr>
          <t xml:space="preserve">Contribuer à la qualité de vie
</t>
        </r>
      </text>
    </comment>
    <comment ref="E1097" authorId="0">
      <text>
        <r>
          <rPr>
            <sz val="9"/>
            <color rgb="FF000000"/>
            <rFont val="Tahoma"/>
            <family val="2"/>
            <charset val="1"/>
          </rPr>
          <t xml:space="preserve">Contribuer à la qualité de vie
</t>
        </r>
      </text>
    </comment>
    <comment ref="E1243" authorId="0">
      <text>
        <r>
          <rPr>
            <sz val="10"/>
            <rFont val="Arial"/>
            <family val="2"/>
            <charset val="1"/>
          </rPr>
          <t xml:space="preserve">CA : seulement ce qui est vendu (pas pris en compte autoconsommation)</t>
        </r>
      </text>
    </comment>
    <comment ref="F630" authorId="0">
      <text>
        <r>
          <rPr>
            <b val="true"/>
            <sz val="9"/>
            <color rgb="FF000000"/>
            <rFont val="Tahoma"/>
            <family val="2"/>
            <charset val="1"/>
          </rPr>
          <t xml:space="preserve">Steinmetz Lucille:
</t>
        </r>
        <r>
          <rPr>
            <sz val="9"/>
            <color rgb="FF000000"/>
            <rFont val="Tahoma"/>
            <family val="2"/>
            <charset val="1"/>
          </rPr>
          <t xml:space="preserve">fixer unité de sortie
L fuel/ha, kWh …
</t>
        </r>
      </text>
    </comment>
    <comment ref="F958" authorId="0">
      <text>
        <r>
          <rPr>
            <sz val="9"/>
            <color rgb="FF000000"/>
            <rFont val="Tahoma"/>
            <family val="2"/>
            <charset val="1"/>
          </rPr>
          <t xml:space="preserve">A prendre en considération: 
• Aménagement paysager des surfaces cultivées et lisières et forêts de l’exploitation
• Mise en œuvre d’actions visant à valoriser le paysage (concours fermes fleuries, jachères fleuries, Engagement chartes paysagères locales)
• Contribution par les pratiques culturales ou d’élevage, à la valorisation et à l’entretien du paysage culturel (terrasses cévenoles, murets de pierre sèche, …)
</t>
        </r>
      </text>
    </comment>
    <comment ref="F1243" authorId="0">
      <text>
        <r>
          <rPr>
            <b val="true"/>
            <sz val="9"/>
            <color rgb="FF000000"/>
            <rFont val="Tahoma"/>
            <family val="2"/>
            <charset val="1"/>
          </rPr>
          <t xml:space="preserve">%CA représenté par le produit = (CA lié au produit / CA total ) X 100
</t>
        </r>
      </text>
    </comment>
    <comment ref="G262" authorId="0">
      <text>
        <r>
          <rPr>
            <sz val="9"/>
            <color rgb="FF000000"/>
            <rFont val="Tahoma"/>
            <family val="2"/>
            <charset val="1"/>
          </rPr>
          <t xml:space="preserve">Peut s'obtenir en multipliant le rendement en tMS par la surface à condition que tout soit vendu
</t>
        </r>
      </text>
    </comment>
    <comment ref="G383" authorId="0">
      <text>
        <r>
          <rPr>
            <b val="true"/>
            <sz val="9"/>
            <color rgb="FF000000"/>
            <rFont val="Tahoma"/>
            <family val="2"/>
            <charset val="1"/>
          </rPr>
          <t xml:space="preserve">Surface 1ere culture / (SAU - STH)
</t>
        </r>
        <r>
          <rPr>
            <sz val="9"/>
            <color rgb="FF000000"/>
            <rFont val="Tahoma"/>
            <family val="2"/>
            <charset val="1"/>
          </rPr>
          <t xml:space="preserve">
Pour le bon fonctionnement des formules remplir au minimum deux cases surface dans chaque tableau des assolements (avec des 0 si aucune culture)</t>
        </r>
      </text>
    </comment>
    <comment ref="G384" authorId="0">
      <text>
        <r>
          <rPr>
            <b val="true"/>
            <sz val="9"/>
            <color rgb="FF000000"/>
            <rFont val="Tahoma"/>
            <family val="2"/>
            <charset val="1"/>
          </rPr>
          <t xml:space="preserve">Surface 1ere culture / (SAU - STH)
</t>
        </r>
        <r>
          <rPr>
            <sz val="9"/>
            <color rgb="FF000000"/>
            <rFont val="Tahoma"/>
            <family val="2"/>
            <charset val="1"/>
          </rPr>
          <t xml:space="preserve">
Pour le bon fonctionnement des formules remplir au minimum deux cases surface dans chaque tableau des assolements (avec des 0 si aucune culture)</t>
        </r>
      </text>
    </comment>
    <comment ref="G728" authorId="0">
      <text>
        <r>
          <rPr>
            <b val="true"/>
            <sz val="9"/>
            <color rgb="FF000000"/>
            <rFont val="Tahoma"/>
            <family val="2"/>
            <charset val="1"/>
          </rPr>
          <t xml:space="preserve">Besoin mensuel du bétail =Nbd'UGB*0,42
</t>
        </r>
        <r>
          <rPr>
            <sz val="9"/>
            <color rgb="FF000000"/>
            <rFont val="Tahoma"/>
            <family val="2"/>
            <charset val="1"/>
          </rPr>
          <t xml:space="preserve">
Référence: Un UGB 100% à l'herbe mange 0,42 t MS par mois</t>
        </r>
      </text>
    </comment>
    <comment ref="G849" authorId="0">
      <text>
        <r>
          <rPr>
            <sz val="9"/>
            <color rgb="FF000000"/>
            <rFont val="Tahoma"/>
            <family val="2"/>
            <charset val="1"/>
          </rPr>
          <t xml:space="preserve">Exploitation hors sol sans aucune SAU ou avec une très faible SAU non consacrée à l’alimentation humaine)</t>
        </r>
      </text>
    </comment>
    <comment ref="G1071" authorId="0">
      <text>
        <r>
          <rPr>
            <sz val="9"/>
            <color rgb="FF000000"/>
            <rFont val="Tahoma"/>
            <family val="2"/>
            <charset val="1"/>
          </rPr>
          <t xml:space="preserve">Développement territorial,
Qualité de vie,
Liberté d'action et indépendance
Engagement de citoyenneté </t>
        </r>
      </text>
    </comment>
    <comment ref="G1243" authorId="0">
      <text>
        <r>
          <rPr>
            <sz val="10"/>
            <rFont val="Arial"/>
            <family val="2"/>
            <charset val="1"/>
          </rPr>
          <t xml:space="preserve">Produit brut = f (prix du marché) vente + stock</t>
        </r>
      </text>
    </comment>
    <comment ref="I110" authorId="0">
      <text>
        <r>
          <rPr>
            <sz val="9"/>
            <color rgb="FF000000"/>
            <rFont val="Tahoma"/>
            <family val="2"/>
            <charset val="1"/>
          </rPr>
          <t xml:space="preserve">si inconnu, s'aider des tables de conversion pour une estimation.</t>
        </r>
      </text>
    </comment>
    <comment ref="I845" authorId="0">
      <text>
        <r>
          <rPr>
            <b val="true"/>
            <sz val="9"/>
            <color rgb="FF000000"/>
            <rFont val="Tahoma"/>
            <family val="2"/>
            <charset val="1"/>
          </rPr>
          <t xml:space="preserve">PAE= SAUalimentaire/SAU X 100</t>
        </r>
      </text>
    </comment>
    <comment ref="I1250" authorId="0">
      <text>
        <r>
          <rPr>
            <i val="true"/>
            <sz val="9"/>
            <color rgb="FF000000"/>
            <rFont val="Tahoma"/>
            <family val="2"/>
            <charset val="1"/>
          </rPr>
          <t xml:space="preserve">évaluation de la vulnérabilité face aux variations du marché
</t>
        </r>
      </text>
    </comment>
    <comment ref="J213" authorId="0">
      <text>
        <r>
          <rPr>
            <sz val="9"/>
            <color rgb="FF000000"/>
            <rFont val="Tahoma"/>
            <family val="2"/>
            <charset val="1"/>
          </rPr>
          <t xml:space="preserve">Peut s'obtenir en multipliant le rendement en tMS par la surface à condition que tout soit vendu
</t>
        </r>
      </text>
    </comment>
    <comment ref="J567" authorId="0">
      <text>
        <r>
          <rPr>
            <b val="true"/>
            <sz val="9"/>
            <color rgb="FF000000"/>
            <rFont val="Tahoma"/>
            <family val="2"/>
            <charset val="1"/>
          </rPr>
          <t xml:space="preserve">Dépendance en fourrage =
100*  (qté de fourrage acheté )/(5*nbr UGB)
Autonomie en fourage  = (100 –  dépendance fourrage)
</t>
        </r>
      </text>
    </comment>
    <comment ref="J570" authorId="0">
      <text>
        <r>
          <rPr>
            <b val="true"/>
            <sz val="9"/>
            <color rgb="FF000000"/>
            <rFont val="Tahoma"/>
            <family val="2"/>
            <charset val="1"/>
          </rPr>
          <t xml:space="preserve">Dépendance aliments concentré = 
100 *
  qté d'aliments concentrés achetés en MS /(qté d' aliments concentrés consommés )
Autonomie  = (100 –  dépendance aliment concentré)
</t>
        </r>
      </text>
    </comment>
    <comment ref="J582" authorId="0">
      <text>
        <r>
          <rPr>
            <b val="true"/>
            <sz val="9"/>
            <color rgb="FF000000"/>
            <rFont val="Tahoma"/>
            <family val="2"/>
            <charset val="1"/>
          </rPr>
          <t xml:space="preserve">part de légumineuse dans l'assolement=
surface légumineuse/(surface assolable)X100
</t>
        </r>
        <r>
          <rPr>
            <sz val="9"/>
            <color rgb="FF000000"/>
            <rFont val="Tahoma"/>
            <family val="2"/>
            <charset val="1"/>
          </rPr>
          <t xml:space="preserve">
surface assolable= SAU-STH-surface en culture pérennes)
</t>
        </r>
      </text>
    </comment>
    <comment ref="J728" authorId="0">
      <text>
        <r>
          <rPr>
            <b val="true"/>
            <sz val="9"/>
            <color rgb="FF000000"/>
            <rFont val="Tahoma"/>
            <family val="2"/>
            <charset val="1"/>
          </rPr>
          <t xml:space="preserve">quantité de fourrages à la date de mise à l'herbe / besoin mensuel du troupeau</t>
        </r>
      </text>
    </comment>
    <comment ref="J856" authorId="0">
      <text>
        <r>
          <rPr>
            <b val="true"/>
            <sz val="9"/>
            <color rgb="FF000000"/>
            <rFont val="Tahoma"/>
            <family val="2"/>
            <charset val="1"/>
          </rPr>
          <t xml:space="preserve">TI =
 surface importée/  SAU X 100
</t>
        </r>
      </text>
    </comment>
    <comment ref="J860" authorId="0">
      <text>
        <r>
          <rPr>
            <b val="true"/>
            <sz val="9"/>
            <color rgb="FF000000"/>
            <rFont val="Tahoma"/>
            <family val="2"/>
            <charset val="1"/>
          </rPr>
          <t xml:space="preserve">Pprot= SAU Culture proétine/ SAU X 100
</t>
        </r>
      </text>
    </comment>
    <comment ref="J919" authorId="0">
      <text>
        <r>
          <rPr>
            <b val="true"/>
            <sz val="9"/>
            <color rgb="FF000000"/>
            <rFont val="Tahoma"/>
            <family val="2"/>
            <charset val="1"/>
          </rPr>
          <t xml:space="preserve">(Ventes directes + ventes locales)/CA
</t>
        </r>
      </text>
    </comment>
    <comment ref="J1250" authorId="0">
      <text>
        <r>
          <rPr>
            <b val="true"/>
            <sz val="9"/>
            <color rgb="FF000000"/>
            <rFont val="Tahoma"/>
            <family val="2"/>
            <charset val="1"/>
          </rPr>
          <t xml:space="preserve">Maximum (  PR)/ Produit total
</t>
        </r>
        <r>
          <rPr>
            <sz val="9"/>
            <color rgb="FF000000"/>
            <rFont val="Tahoma"/>
            <family val="2"/>
            <charset val="1"/>
          </rPr>
          <t xml:space="preserve">
</t>
        </r>
      </text>
    </comment>
    <comment ref="J1261" authorId="0">
      <text>
        <r>
          <rPr>
            <b val="true"/>
            <sz val="9"/>
            <color rgb="FF000000"/>
            <rFont val="Tahoma"/>
            <family val="2"/>
            <charset val="1"/>
          </rPr>
          <t xml:space="preserve">Types de produits en fonction des ateliers:
grandes cultures (5 types de produits) : </t>
        </r>
        <r>
          <rPr>
            <sz val="9"/>
            <color rgb="FF000000"/>
            <rFont val="Tahoma"/>
            <family val="2"/>
            <charset val="1"/>
          </rPr>
          <t xml:space="preserve">céréales à paille, maïs, oléagineux et protéagineux, cultures industrielles
</t>
        </r>
        <r>
          <rPr>
            <b val="true"/>
            <sz val="9"/>
            <color rgb="FF000000"/>
            <rFont val="Tahoma"/>
            <family val="2"/>
            <charset val="1"/>
          </rPr>
          <t xml:space="preserve">ateliers en horticulture : </t>
        </r>
        <r>
          <rPr>
            <sz val="9"/>
            <color rgb="FF000000"/>
            <rFont val="Tahoma"/>
            <family val="2"/>
            <charset val="1"/>
          </rPr>
          <t xml:space="preserve">nombre de produits différents
</t>
        </r>
        <r>
          <rPr>
            <b val="true"/>
            <sz val="9"/>
            <color rgb="FF000000"/>
            <rFont val="Tahoma"/>
            <family val="2"/>
            <charset val="1"/>
          </rPr>
          <t xml:space="preserve">ateliers en maraîchage : </t>
        </r>
        <r>
          <rPr>
            <sz val="9"/>
            <color rgb="FF000000"/>
            <rFont val="Tahoma"/>
            <family val="2"/>
            <charset val="1"/>
          </rPr>
          <t xml:space="preserve">nombre de produits différents
</t>
        </r>
        <r>
          <rPr>
            <b val="true"/>
            <sz val="9"/>
            <color rgb="FF000000"/>
            <rFont val="Tahoma"/>
            <family val="2"/>
            <charset val="1"/>
          </rPr>
          <t xml:space="preserve">ateliers en arboriculture : </t>
        </r>
        <r>
          <rPr>
            <sz val="9"/>
            <color rgb="FF000000"/>
            <rFont val="Tahoma"/>
            <family val="2"/>
            <charset val="1"/>
          </rPr>
          <t xml:space="preserve">distinguer les espèces
</t>
        </r>
        <r>
          <rPr>
            <b val="true"/>
            <sz val="9"/>
            <color rgb="FF000000"/>
            <rFont val="Tahoma"/>
            <family val="2"/>
            <charset val="1"/>
          </rPr>
          <t xml:space="preserve">atelier en viticulture : </t>
        </r>
        <r>
          <rPr>
            <sz val="9"/>
            <color rgb="FF000000"/>
            <rFont val="Tahoma"/>
            <family val="2"/>
            <charset val="1"/>
          </rPr>
          <t xml:space="preserve">distinguer les couleurs blanc /rouge /rosé comme trois produits 
</t>
        </r>
        <r>
          <rPr>
            <b val="true"/>
            <sz val="9"/>
            <color rgb="FF000000"/>
            <rFont val="Tahoma"/>
            <family val="2"/>
            <charset val="1"/>
          </rPr>
          <t xml:space="preserve">
ateliers pour produits d'origine animale (4 types de produits) : </t>
        </r>
        <r>
          <rPr>
            <sz val="9"/>
            <color rgb="FF000000"/>
            <rFont val="Tahoma"/>
            <family val="2"/>
            <charset val="1"/>
          </rPr>
          <t xml:space="preserve">ventes animaux vifs, lait,  produits laitiers et  viande transformée</t>
        </r>
      </text>
    </comment>
  </commentList>
</comments>
</file>

<file path=xl/comments6.xml><?xml version="1.0" encoding="utf-8"?>
<comments xmlns="http://schemas.openxmlformats.org/spreadsheetml/2006/main" xmlns:xdr="http://schemas.openxmlformats.org/drawingml/2006/spreadsheetDrawing">
  <authors>
    <author> </author>
  </authors>
  <commentList>
    <comment ref="C199" authorId="0">
      <text>
        <r>
          <rPr>
            <sz val="9"/>
            <color rgb="FF000000"/>
            <rFont val="Tahoma"/>
            <family val="2"/>
            <charset val="1"/>
          </rPr>
          <t xml:space="preserve">si inconnu, s'aider des tables de conversion pour une estimation.</t>
        </r>
      </text>
    </comment>
    <comment ref="C401" authorId="0">
      <text>
        <r>
          <rPr>
            <sz val="9"/>
            <color rgb="FF000000"/>
            <rFont val="Tahoma"/>
            <family val="2"/>
            <charset val="1"/>
          </rPr>
          <t xml:space="preserve">si inconnu, s'aider des tables de conversion pour une estimation.</t>
        </r>
      </text>
    </comment>
  </commentList>
</comments>
</file>

<file path=xl/comments7.xml><?xml version="1.0" encoding="utf-8"?>
<comments xmlns="http://schemas.openxmlformats.org/spreadsheetml/2006/main" xmlns:xdr="http://schemas.openxmlformats.org/drawingml/2006/spreadsheetDrawing">
  <authors>
    <author> </author>
  </authors>
  <commentList>
    <comment ref="C951" authorId="0">
      <text>
        <r>
          <rPr>
            <sz val="9"/>
            <color rgb="FF000000"/>
            <rFont val="Tahoma"/>
            <family val="2"/>
            <charset val="1"/>
          </rPr>
          <t xml:space="preserve">compter le nombre d'arbres et diviser par 100.
</t>
        </r>
        <r>
          <rPr>
            <b val="true"/>
            <sz val="9"/>
            <color rgb="FF000000"/>
            <rFont val="Tahoma"/>
            <family val="2"/>
            <charset val="1"/>
          </rPr>
          <t xml:space="preserve">Estimation:
</t>
        </r>
        <r>
          <rPr>
            <sz val="9"/>
            <color rgb="FF000000"/>
            <rFont val="Tahoma"/>
            <family val="2"/>
            <charset val="1"/>
          </rPr>
          <t xml:space="preserve">
</t>
        </r>
        <r>
          <rPr>
            <b val="true"/>
            <sz val="9"/>
            <color rgb="FF000000"/>
            <rFont val="Tahoma"/>
            <family val="2"/>
            <charset val="1"/>
          </rPr>
          <t xml:space="preserve">Sylvopastoralisme:
</t>
        </r>
        <r>
          <rPr>
            <sz val="9"/>
            <color rgb="FF000000"/>
            <rFont val="Tahoma"/>
            <family val="2"/>
            <charset val="1"/>
          </rPr>
          <t xml:space="preserve">100 arbres moyen/ ha 
</t>
        </r>
        <r>
          <rPr>
            <b val="true"/>
            <sz val="9"/>
            <color rgb="FF000000"/>
            <rFont val="Tahoma"/>
            <family val="2"/>
            <charset val="1"/>
          </rPr>
          <t xml:space="preserve">
Agrisylviculture:
</t>
        </r>
        <r>
          <rPr>
            <sz val="9"/>
            <color rgb="FF000000"/>
            <rFont val="Tahoma"/>
            <family val="2"/>
            <charset val="1"/>
          </rPr>
          <t xml:space="preserve">110 arbres moyen/ha</t>
        </r>
      </text>
    </comment>
  </commentList>
</comments>
</file>

<file path=xl/comments10.xml><?xml version="1.0" encoding="utf-8"?>
<comments xmlns="http://schemas.openxmlformats.org/spreadsheetml/2006/main" xmlns:xdr="http://schemas.openxmlformats.org/drawingml/2006/spreadsheetDrawing">
  <authors>
    <author> </author>
  </authors>
  <commentList>
    <comment ref="F15" authorId="0">
      <text>
        <r>
          <rPr>
            <b val="true"/>
            <sz val="9"/>
            <color rgb="FF000000"/>
            <rFont val="Tahoma"/>
            <family val="2"/>
            <charset val="1"/>
          </rPr>
          <t xml:space="preserve">Steinmetz Lucille:
</t>
        </r>
        <r>
          <rPr>
            <sz val="9"/>
            <color rgb="FF000000"/>
            <rFont val="Tahoma"/>
            <family val="2"/>
            <charset val="1"/>
          </rPr>
          <t xml:space="preserve">points pour item 1</t>
        </r>
      </text>
    </comment>
  </commentList>
</comments>
</file>

<file path=xl/sharedStrings.xml><?xml version="1.0" encoding="utf-8"?>
<sst xmlns="http://schemas.openxmlformats.org/spreadsheetml/2006/main" count="7041" uniqueCount="3662">
  <si>
    <t xml:space="preserve">Type d’animaux</t>
  </si>
  <si>
    <t xml:space="preserve">Coeff UGB</t>
  </si>
  <si>
    <t xml:space="preserve">Animaux sur cb de mois (/!\ taurillon, broutard)?</t>
  </si>
  <si>
    <t xml:space="preserve">Effectif</t>
  </si>
  <si>
    <t xml:space="preserve">Vaches laitières</t>
  </si>
  <si>
    <t xml:space="preserve">Vache de réforme</t>
  </si>
  <si>
    <t xml:space="preserve">Vaches allaitantes</t>
  </si>
  <si>
    <t xml:space="preserve">Femelle &gt; 2 ans</t>
  </si>
  <si>
    <t xml:space="preserve">Mâle &gt; 2 ans</t>
  </si>
  <si>
    <t xml:space="preserve">Femelle 1-2 ans</t>
  </si>
  <si>
    <t xml:space="preserve">Mâle 1-2 ans, croissance ou engraissement</t>
  </si>
  <si>
    <t xml:space="preserve">Femelle &lt; 1 an</t>
  </si>
  <si>
    <t xml:space="preserve">Mâle 0-1 an, croissance ou engraissement (veaux boucherie)</t>
  </si>
  <si>
    <t xml:space="preserve">Mâle 0-1 an, engraissement</t>
  </si>
  <si>
    <t xml:space="preserve">Broutard &lt; 1an, engraissement</t>
  </si>
  <si>
    <t xml:space="preserve">g. Nombre total UGB sur l’EA </t>
  </si>
  <si>
    <t xml:space="preserve">Notice</t>
  </si>
  <si>
    <t xml:space="preserve">N° version </t>
  </si>
  <si>
    <t xml:space="preserve">du</t>
  </si>
  <si>
    <t xml:space="preserve">Organisation des onglets</t>
  </si>
  <si>
    <t xml:space="preserve">Code couleur pour les onglets "Saisie et calculateur" et "Bilan apparent"</t>
  </si>
  <si>
    <t xml:space="preserve">Page 1</t>
  </si>
  <si>
    <t xml:space="preserve">Zone de saisie des données</t>
  </si>
  <si>
    <t xml:space="preserve">Page 2</t>
  </si>
  <si>
    <t xml:space="preserve">Questionnaire pour impression</t>
  </si>
  <si>
    <t xml:space="preserve">Coefficient, paramètre (bibliographie)</t>
  </si>
  <si>
    <t xml:space="preserve">Page 3</t>
  </si>
  <si>
    <t xml:space="preserve">Calculateur</t>
  </si>
  <si>
    <t xml:space="preserve">Unités</t>
  </si>
  <si>
    <t xml:space="preserve">Page 4</t>
  </si>
  <si>
    <t xml:space="preserve">Bilan apparent</t>
  </si>
  <si>
    <t xml:space="preserve">Résultats intermédiaires (formules)</t>
  </si>
  <si>
    <t xml:space="preserve">Page 5</t>
  </si>
  <si>
    <t xml:space="preserve">Tables de conversion</t>
  </si>
  <si>
    <t xml:space="preserve">Titres </t>
  </si>
  <si>
    <t xml:space="preserve">Page 6</t>
  </si>
  <si>
    <t xml:space="preserve">Résultats par dimension</t>
  </si>
  <si>
    <t xml:space="preserve">Agroécologique</t>
  </si>
  <si>
    <t xml:space="preserve">Contexte</t>
  </si>
  <si>
    <t xml:space="preserve">Page 7</t>
  </si>
  <si>
    <t xml:space="preserve">Socio-territoriale</t>
  </si>
  <si>
    <t xml:space="preserve">Cas impossibles / Données non pertinentes (ne pas saisir)</t>
  </si>
  <si>
    <t xml:space="preserve">Page 8</t>
  </si>
  <si>
    <t xml:space="preserve">Economique</t>
  </si>
  <si>
    <t xml:space="preserve">Cellule à encadré rouge =&gt; Donnée utilisée dans le calcul de l'indicateur (à saisir ou déjà calculé automatiquement)</t>
  </si>
  <si>
    <t xml:space="preserve">Page 9</t>
  </si>
  <si>
    <t xml:space="preserve">Bilan durabilité</t>
  </si>
  <si>
    <t xml:space="preserve">Page 10</t>
  </si>
  <si>
    <t xml:space="preserve">Renvoi BDD</t>
  </si>
  <si>
    <t xml:space="preserve">Le Questionnaire</t>
  </si>
  <si>
    <t xml:space="preserve">Il est construit pour récupérer les données nécessaires au calcul de tous les indicateurs lors de l'enquête en évitant les répétitions.</t>
  </si>
  <si>
    <t xml:space="preserve">Il mobilise un code couleur simple, les cases légèrement grisée sont a remplir lors de l'enquête</t>
  </si>
  <si>
    <t xml:space="preserve">Pour l'imprimer :</t>
  </si>
  <si>
    <t xml:space="preserve">Onglet Fichier --&gt; Imprimer --&gt; Dernière liste déroulante : "Ajuster toutes les colonnes à une page" (25 p.)</t>
  </si>
  <si>
    <t xml:space="preserve">Le Calculateur</t>
  </si>
  <si>
    <r>
      <rPr>
        <sz val="11"/>
        <color rgb="FFFF0000"/>
        <rFont val="Times New Roman"/>
        <family val="1"/>
        <charset val="1"/>
      </rPr>
      <t xml:space="preserve">"Saisie et calculateur" est l'onglet de saisie des données</t>
    </r>
    <r>
      <rPr>
        <sz val="11"/>
        <color rgb="FF000000"/>
        <rFont val="Times New Roman"/>
        <family val="1"/>
        <charset val="1"/>
      </rPr>
      <t xml:space="preserve"> obtenues lors de l'enquête. Il faut respecter le code couleur, c’est-à-dire remplir seulement les cases jaunes et roses. </t>
    </r>
  </si>
  <si>
    <t xml:space="preserve">Au besoin les tableaux peuvent généralement être aggrandis en utilisant la fonction d'insertion de ligne. Pour que les nouvelles lignes soient prises en compte automatiquement dans les calculs, attention à bien les insérer entre deux lignes qui appartenaient au tableau (et pas à la fin du tableau).</t>
  </si>
  <si>
    <t xml:space="preserve">Plusieurs tableaux comportent des virgules dans leur première ligne. Il faut systématiquement les supprimer ou les remplacer par les valeurs de votre exploitation afin de débloquer les calculs.</t>
  </si>
  <si>
    <t xml:space="preserve">Bilan Apparent</t>
  </si>
  <si>
    <r>
      <rPr>
        <sz val="11"/>
        <color rgb="FF000000"/>
        <rFont val="Times New Roman"/>
        <family val="1"/>
        <charset val="1"/>
      </rPr>
      <t xml:space="preserve">Cet onglet réalise un bilan apparent. Seuls </t>
    </r>
    <r>
      <rPr>
        <sz val="11"/>
        <color rgb="FFFF0000"/>
        <rFont val="Times New Roman"/>
        <family val="1"/>
        <charset val="1"/>
      </rPr>
      <t xml:space="preserve">trois tableaux sont à remplir</t>
    </r>
    <r>
      <rPr>
        <sz val="11"/>
        <color rgb="FF000000"/>
        <rFont val="Times New Roman"/>
        <family val="1"/>
        <charset val="1"/>
      </rPr>
      <t xml:space="preserve"> (E1, S3 et S4), les autres données sont à saisir dans l'onglet "Saisie et calculateur". </t>
    </r>
  </si>
  <si>
    <t xml:space="preserve">Attention, dans plusieurs cas les références en azote ne sont pas encore indiquées. Si les produits ou les intrants de l'exploitation, ou leur coefficient en zote, ne sont pas renseignés, il faut les indiquer dans les tableaux de correspondances.</t>
  </si>
  <si>
    <t xml:space="preserve">NON A JOUR</t>
  </si>
  <si>
    <t xml:space="preserve">Cet onglet répertorie les coefficients utilisés dans la méthode et en cite les sources.</t>
  </si>
  <si>
    <t xml:space="preserve">Dimensions agroécologique, socio-territoriale et économique</t>
  </si>
  <si>
    <t xml:space="preserve">Ces onglets répertorient les indicateurs des dimensions agroécologique, socio-territoriale et économique.</t>
  </si>
  <si>
    <t xml:space="preserve">Pour chaque indicateur, les items sont détaillés avec la valeur calculée et la note correspondante. La somme des items est ensuite calculée, puis la valeur de la note de durabilité est plafonnée.</t>
  </si>
  <si>
    <r>
      <rPr>
        <sz val="11"/>
        <color rgb="FFFF0000"/>
        <rFont val="Times New Roman"/>
        <family val="1"/>
        <charset val="1"/>
      </rPr>
      <t xml:space="preserve">Rien n'est à remplir dans cet onglet</t>
    </r>
    <r>
      <rPr>
        <sz val="11"/>
        <color rgb="FF000000"/>
        <rFont val="Times New Roman"/>
        <family val="1"/>
        <charset val="1"/>
      </rPr>
      <t xml:space="preserve">, il est seulement conseillé de vérifier les notes attribuées aux indicateurs pour recenser tout problème de formule dans les calculs. </t>
    </r>
  </si>
  <si>
    <t xml:space="preserve">Le bilan des indicateurs pour chaque dimension est réalisé avec quatre sorties finales : </t>
  </si>
  <si>
    <t xml:space="preserve">* un grand tableau pésentant tous les résulats (notes des indicateurs, composantes et dimensions)</t>
  </si>
  <si>
    <t xml:space="preserve">* un histogramme qui donne à voir la note de durabilité pour chaque dimension,</t>
  </si>
  <si>
    <t xml:space="preserve">* un histogramme qui donnent à voir les notes et marge de progrès pour chaque composante, </t>
  </si>
  <si>
    <t xml:space="preserve">* trois histogrammes horitzontaux donnant à voir les notes et marges de progrès pour chaque indicateur dans les trois dimensions.</t>
  </si>
  <si>
    <t xml:space="preserve">Cet onglet reprend et organise les données de l'exploitation pour en faciliter le transfert vers les autres outils d'analyse utilisés pour l'évaluation par IDEA4</t>
  </si>
  <si>
    <t xml:space="preserve">Il propose une fonction d'export sous la forme d'un bouton cliquable lancant une macro au format VBA</t>
  </si>
  <si>
    <t xml:space="preserve">La colonne B peut être copiée/collée telle quelle dans le calculateur propriété</t>
  </si>
  <si>
    <t xml:space="preserve">I - Données générales</t>
  </si>
  <si>
    <t xml:space="preserve">Enquète réalisée par:</t>
  </si>
  <si>
    <t xml:space="preserve">le: </t>
  </si>
  <si>
    <t xml:space="preserve">Id. expl. (6 chiffres)</t>
  </si>
  <si>
    <t xml:space="preserve">Année enquêtée:</t>
  </si>
  <si>
    <t xml:space="preserve">NOM Prénom :</t>
  </si>
  <si>
    <t xml:space="preserve">Forme sociétale :</t>
  </si>
  <si>
    <t xml:space="preserve">Adresse</t>
  </si>
  <si>
    <t xml:space="preserve">Tel:</t>
  </si>
  <si>
    <t xml:space="preserve">du siège:</t>
  </si>
  <si>
    <t xml:space="preserve">Mail:</t>
  </si>
  <si>
    <t xml:space="preserve">Caractéristiques de l'exploitation</t>
  </si>
  <si>
    <t xml:space="preserve">Présence/type d'élevage :</t>
  </si>
  <si>
    <t xml:space="preserve">Nb d'UGB :</t>
  </si>
  <si>
    <t xml:space="preserve">Présence atelier hors-sol (oui/non) :</t>
  </si>
  <si>
    <t xml:space="preserve">Usage de produits phyto (oui/non) :</t>
  </si>
  <si>
    <t xml:space="preserve">Certification AB (oui/non) :</t>
  </si>
  <si>
    <t xml:space="preserve">Répartition des surfaces</t>
  </si>
  <si>
    <t xml:space="preserve">SAU (hors forêt) :</t>
  </si>
  <si>
    <t xml:space="preserve">ha</t>
  </si>
  <si>
    <t xml:space="preserve">dont</t>
  </si>
  <si>
    <t xml:space="preserve">Gds cultures, cultures fourragères et indus.</t>
  </si>
  <si>
    <t xml:space="preserve">Arboriculture</t>
  </si>
  <si>
    <t xml:space="preserve">Viticulture</t>
  </si>
  <si>
    <t xml:space="preserve">Prairies Temporaires</t>
  </si>
  <si>
    <t xml:space="preserve">Maraichage</t>
  </si>
  <si>
    <t xml:space="preserve">STH (PP) :</t>
  </si>
  <si>
    <t xml:space="preserve">Autres surf. de prod.</t>
  </si>
  <si>
    <t xml:space="preserve">Autres surf. non prod. (chemins, bâti…)</t>
  </si>
  <si>
    <t xml:space="preserve">Forêt :</t>
  </si>
  <si>
    <t xml:space="preserve">Bref historique de l'exploitation:</t>
  </si>
  <si>
    <t xml:space="preserve">Main d'œuvre:</t>
  </si>
  <si>
    <t xml:space="preserve">UTH total :</t>
  </si>
  <si>
    <t xml:space="preserve">Age du chef d'exploitation:</t>
  </si>
  <si>
    <t xml:space="preserve">dont UTH non salariées (associés) :</t>
  </si>
  <si>
    <t xml:space="preserve">0-25</t>
  </si>
  <si>
    <t xml:space="preserve">dont UTH  salariées  :</t>
  </si>
  <si>
    <t xml:space="preserve">26-35</t>
  </si>
  <si>
    <t xml:space="preserve">dont UTH stagiaires et apprentis  :</t>
  </si>
  <si>
    <t xml:space="preserve">36-45</t>
  </si>
  <si>
    <t xml:space="preserve">46-55</t>
  </si>
  <si>
    <t xml:space="preserve">UTH familiale (non rémunérée) :</t>
  </si>
  <si>
    <t xml:space="preserve">56-65</t>
  </si>
  <si>
    <t xml:space="preserve">Détail:</t>
  </si>
  <si>
    <t xml:space="preserve">66+</t>
  </si>
  <si>
    <t xml:space="preserve">II - Gestion de l'élevage</t>
  </si>
  <si>
    <t xml:space="preserve">NOM RACES</t>
  </si>
  <si>
    <t xml:space="preserve">NB INDIVIDUS</t>
  </si>
  <si>
    <t xml:space="preserve">dont Nb individus croisés</t>
  </si>
  <si>
    <t xml:space="preserve">Temps de présence sur l'exploitation (mois/an)</t>
  </si>
  <si>
    <t xml:space="preserve">dont pâturage (mois/an)</t>
  </si>
  <si>
    <t xml:space="preserve">BOVINS</t>
  </si>
  <si>
    <t xml:space="preserve">Taureaux</t>
  </si>
  <si>
    <t xml:space="preserve">Veaux vendus</t>
  </si>
  <si>
    <t xml:space="preserve">Génisses 0-1 an</t>
  </si>
  <si>
    <t xml:space="preserve">Génisses 1-2 ans</t>
  </si>
  <si>
    <t xml:space="preserve">Génisses +2 ans</t>
  </si>
  <si>
    <t xml:space="preserve">Males 0-1 an</t>
  </si>
  <si>
    <t xml:space="preserve">Males 1-2 ans</t>
  </si>
  <si>
    <t xml:space="preserve">Males +2 ans</t>
  </si>
  <si>
    <t xml:space="preserve">OVINS/CAPRINS</t>
  </si>
  <si>
    <t xml:space="preserve">Brebis/Chèvre - lait</t>
  </si>
  <si>
    <t xml:space="preserve">Brebis/Chèvre - viande</t>
  </si>
  <si>
    <t xml:space="preserve">Béliers/Boucs</t>
  </si>
  <si>
    <t xml:space="preserve">Agneaux vendus</t>
  </si>
  <si>
    <t xml:space="preserve">Agnelles/Chevrettes</t>
  </si>
  <si>
    <t xml:space="preserve">PORCINS</t>
  </si>
  <si>
    <t xml:space="preserve">Truies</t>
  </si>
  <si>
    <t xml:space="preserve">Verrats</t>
  </si>
  <si>
    <t xml:space="preserve">Cochettes</t>
  </si>
  <si>
    <t xml:space="preserve">Porcelets en post-sevrage</t>
  </si>
  <si>
    <t xml:space="preserve">Porcs en engraissement</t>
  </si>
  <si>
    <t xml:space="preserve">VOLAILLES</t>
  </si>
  <si>
    <t xml:space="preserve">poules pondeuses (place)</t>
  </si>
  <si>
    <t xml:space="preserve">poulettes produites</t>
  </si>
  <si>
    <t xml:space="preserve">poulets de chair</t>
  </si>
  <si>
    <t xml:space="preserve">poulets label</t>
  </si>
  <si>
    <t xml:space="preserve">chapons</t>
  </si>
  <si>
    <t xml:space="preserve">dindes repro. fermières</t>
  </si>
  <si>
    <t xml:space="preserve">dindes chair</t>
  </si>
  <si>
    <t xml:space="preserve">canards à rôtir</t>
  </si>
  <si>
    <t xml:space="preserve">canards prêt à gaver ext.</t>
  </si>
  <si>
    <t xml:space="preserve">canards gras</t>
  </si>
  <si>
    <t xml:space="preserve">pintades label &amp; parcours</t>
  </si>
  <si>
    <t xml:space="preserve">oies à rôtir</t>
  </si>
  <si>
    <t xml:space="preserve">oies PAG</t>
  </si>
  <si>
    <t xml:space="preserve">oies grasses</t>
  </si>
  <si>
    <t xml:space="preserve">AUTRES</t>
  </si>
  <si>
    <t xml:space="preserve">Chevaux</t>
  </si>
  <si>
    <t xml:space="preserve">Juments</t>
  </si>
  <si>
    <t xml:space="preserve">Anes</t>
  </si>
  <si>
    <t xml:space="preserve">Anesses</t>
  </si>
  <si>
    <t xml:space="preserve">Abeilles </t>
  </si>
  <si>
    <t xml:space="preserve">ACHAT ANIMAUX</t>
  </si>
  <si>
    <t xml:space="preserve">VENTE ANIMAUX</t>
  </si>
  <si>
    <r>
      <rPr>
        <b val="true"/>
        <sz val="12"/>
        <rFont val="Calibri"/>
        <family val="2"/>
        <charset val="1"/>
      </rPr>
      <t xml:space="preserve">Origine / Destination
</t>
    </r>
    <r>
      <rPr>
        <sz val="12"/>
        <rFont val="Calibri"/>
        <family val="2"/>
        <charset val="1"/>
      </rPr>
      <t xml:space="preserve">(local, projet collectif)</t>
    </r>
  </si>
  <si>
    <t xml:space="preserve"> Individus achetés (nb)</t>
  </si>
  <si>
    <t xml:space="preserve">Poids achat
(kg)</t>
  </si>
  <si>
    <t xml:space="preserve">Individus vendus (nb)</t>
  </si>
  <si>
    <t xml:space="preserve">Poids vente
(kg)</t>
  </si>
  <si>
    <t xml:space="preserve">Porcelets post-sevrage</t>
  </si>
  <si>
    <t xml:space="preserve">noter aussi vente d'œuf</t>
  </si>
  <si>
    <t xml:space="preserve">Chevaux / Juments</t>
  </si>
  <si>
    <t xml:space="preserve">Anes / Annesse</t>
  </si>
  <si>
    <t xml:space="preserve">Quantités annuelles</t>
  </si>
  <si>
    <t xml:space="preserve">Taux protéique</t>
  </si>
  <si>
    <r>
      <rPr>
        <b val="true"/>
        <sz val="14"/>
        <rFont val="Calibri"/>
        <family val="2"/>
        <charset val="1"/>
      </rPr>
      <t xml:space="preserve">Lait vendu
</t>
    </r>
    <r>
      <rPr>
        <sz val="12"/>
        <rFont val="Calibri"/>
        <family val="2"/>
        <charset val="1"/>
      </rPr>
      <t xml:space="preserve">(y c. fromages)</t>
    </r>
  </si>
  <si>
    <t xml:space="preserve">vache</t>
  </si>
  <si>
    <t xml:space="preserve">L</t>
  </si>
  <si>
    <t xml:space="preserve">g/kg</t>
  </si>
  <si>
    <t xml:space="preserve">chèvre</t>
  </si>
  <si>
    <t xml:space="preserve">brebis</t>
  </si>
  <si>
    <t xml:space="preserve">ACHAT CONCENTRE</t>
  </si>
  <si>
    <t xml:space="preserve">ACHAT FOURRAGES</t>
  </si>
  <si>
    <t xml:space="preserve">Quantitée achetée (t)</t>
  </si>
  <si>
    <t xml:space="preserve">Origine</t>
  </si>
  <si>
    <t xml:space="preserve">Tourteaux de soja (TS)</t>
  </si>
  <si>
    <t xml:space="preserve">Ensilage maïs</t>
  </si>
  <si>
    <t xml:space="preserve">TS 48</t>
  </si>
  <si>
    <t xml:space="preserve">Ensilage herbe</t>
  </si>
  <si>
    <t xml:space="preserve">TS 46</t>
  </si>
  <si>
    <t xml:space="preserve">Foin</t>
  </si>
  <si>
    <t xml:space="preserve">TS 44</t>
  </si>
  <si>
    <t xml:space="preserve">Foin légumineuse</t>
  </si>
  <si>
    <t xml:space="preserve">Tourteau de colza</t>
  </si>
  <si>
    <t xml:space="preserve">Choux fourrager</t>
  </si>
  <si>
    <t xml:space="preserve">Céréales graines</t>
  </si>
  <si>
    <t xml:space="preserve">Sorgho fourrager</t>
  </si>
  <si>
    <t xml:space="preserve">blé tendre</t>
  </si>
  <si>
    <t xml:space="preserve">Colza fourrager</t>
  </si>
  <si>
    <t xml:space="preserve">orge</t>
  </si>
  <si>
    <t xml:space="preserve">Betterave fourragère</t>
  </si>
  <si>
    <t xml:space="preserve">maïs grain</t>
  </si>
  <si>
    <t xml:space="preserve">Pulpes bett. déshy.</t>
  </si>
  <si>
    <t xml:space="preserve">pois ptps</t>
  </si>
  <si>
    <t xml:space="preserve">Mélasse de bett.</t>
  </si>
  <si>
    <t xml:space="preserve">lupin ptps</t>
  </si>
  <si>
    <t xml:space="preserve">Drèches fraîches</t>
  </si>
  <si>
    <t xml:space="preserve">autre.1</t>
  </si>
  <si>
    <t xml:space="preserve">Paille litière</t>
  </si>
  <si>
    <t xml:space="preserve">autre.2</t>
  </si>
  <si>
    <t xml:space="preserve">Paille fourrage</t>
  </si>
  <si>
    <t xml:space="preserve">Pulpe surpressée</t>
  </si>
  <si>
    <t xml:space="preserve">Paille pois</t>
  </si>
  <si>
    <t xml:space="preserve">Concentrés</t>
  </si>
  <si>
    <t xml:space="preserve">Conc. NRJ 12%</t>
  </si>
  <si>
    <t xml:space="preserve">Conc. NRJ 14%</t>
  </si>
  <si>
    <t xml:space="preserve">Conc. Pdt° 18%</t>
  </si>
  <si>
    <t xml:space="preserve">Conc. Pdt° 22%</t>
  </si>
  <si>
    <t xml:space="preserve">Conc. Pdt° 26%</t>
  </si>
  <si>
    <t xml:space="preserve">Conc. Pdt° 30%</t>
  </si>
  <si>
    <t xml:space="preserve">Distinguer les achats locaux</t>
  </si>
  <si>
    <t xml:space="preserve">B9</t>
  </si>
  <si>
    <t xml:space="preserve">Conc. Prot. 36%</t>
  </si>
  <si>
    <t xml:space="preserve">Distinguer les achats effectués à un voisin ou dans le cadre d'un projet territorial collectif</t>
  </si>
  <si>
    <t xml:space="preserve">B2</t>
  </si>
  <si>
    <t xml:space="preserve">Conc. Prot. 40%</t>
  </si>
  <si>
    <t xml:space="preserve">Conc. Prot. 42%</t>
  </si>
  <si>
    <t xml:space="preserve">Conc. Prot. 44%</t>
  </si>
  <si>
    <t xml:space="preserve">Poudre de lait</t>
  </si>
  <si>
    <t xml:space="preserve">Aliment porc sevrage</t>
  </si>
  <si>
    <t xml:space="preserve">Aliment porc charcutier</t>
  </si>
  <si>
    <t xml:space="preserve">Aliment poulet</t>
  </si>
  <si>
    <t xml:space="preserve">Aliment poule pondeuse</t>
  </si>
  <si>
    <t xml:space="preserve">Luzerne déshydratée (LD)</t>
  </si>
  <si>
    <t xml:space="preserve">LD 16%</t>
  </si>
  <si>
    <t xml:space="preserve">LD 18%</t>
  </si>
  <si>
    <t xml:space="preserve">LD 20%</t>
  </si>
  <si>
    <t xml:space="preserve">LD 22%</t>
  </si>
  <si>
    <t xml:space="preserve">CMV</t>
  </si>
  <si>
    <t xml:space="preserve">ALIMENTATION CHEPTEL</t>
  </si>
  <si>
    <t xml:space="preserve">A7</t>
  </si>
  <si>
    <t xml:space="preserve">Quantité de concentré consommée annuellement (t) :</t>
  </si>
  <si>
    <t xml:space="preserve">A15</t>
  </si>
  <si>
    <t xml:space="preserve">Stock de fourrages à la date de mise à l'herbe des animaux (tMS) :</t>
  </si>
  <si>
    <t xml:space="preserve">REPRODUCTION </t>
  </si>
  <si>
    <t xml:space="preserve">A2</t>
  </si>
  <si>
    <t xml:space="preserve">Intégration du critère rusticité dans les choix de reproduction</t>
  </si>
  <si>
    <t xml:space="preserve">oui</t>
  </si>
  <si>
    <t xml:space="preserve">non</t>
  </si>
  <si>
    <t xml:space="preserve">Participation à des programmes d'entretien des ressources génétiques sur des races à petits effectifs :</t>
  </si>
  <si>
    <t xml:space="preserve">sélection participative avec possibilité d'en bénéficier; 
selection massale avec garantie sanitaire en viticulture</t>
  </si>
  <si>
    <t xml:space="preserve">B10</t>
  </si>
  <si>
    <r>
      <rPr>
        <sz val="11"/>
        <rFont val="Calibri"/>
        <family val="2"/>
        <charset val="1"/>
      </rPr>
      <t xml:space="preserve">Présence de races </t>
    </r>
    <r>
      <rPr>
        <b val="true"/>
        <sz val="11"/>
        <color rgb="FF000000"/>
        <rFont val="Calibri"/>
        <family val="2"/>
        <charset val="1"/>
      </rPr>
      <t xml:space="preserve">locales</t>
    </r>
    <r>
      <rPr>
        <sz val="11"/>
        <color rgb="FF000000"/>
        <rFont val="Calibri"/>
        <family val="2"/>
        <charset val="1"/>
      </rPr>
      <t xml:space="preserve"> à faibles effectifs rentrant dans l’acte de production</t>
    </r>
  </si>
  <si>
    <t xml:space="preserve">TRAITEMENTS VETOS </t>
  </si>
  <si>
    <t xml:space="preserve">A19</t>
  </si>
  <si>
    <t xml:space="preserve">Nombre de traitements vétérinaires unitaires totaux (sur un an) : </t>
  </si>
  <si>
    <t xml:space="preserve">Traitements homéopathiques ou par essences naturelles, implantation de plante de parasitaires :</t>
  </si>
  <si>
    <t xml:space="preserve">Utilisation non systématique ou non utilisation de produits rémanents :</t>
  </si>
  <si>
    <t xml:space="preserve">Absence de délais avant retour des animaux dans les parcelles:</t>
  </si>
  <si>
    <t xml:space="preserve">Utilisation d'antibiotique qualifié de critique:</t>
  </si>
  <si>
    <t xml:space="preserve">Alternances des familles chimiques utilisées:</t>
  </si>
  <si>
    <t xml:space="preserve">A14</t>
  </si>
  <si>
    <t xml:space="preserve">Mode de traitement après découverte d'un problème:</t>
  </si>
  <si>
    <t xml:space="preserve">Application systématique</t>
  </si>
  <si>
    <t xml:space="preserve">Traitement cas par cas</t>
  </si>
  <si>
    <t xml:space="preserve">A5</t>
  </si>
  <si>
    <r>
      <rPr>
        <sz val="11"/>
        <color rgb="FF000000"/>
        <rFont val="Calibri"/>
        <family val="2"/>
        <charset val="1"/>
      </rPr>
      <t xml:space="preserve">Nombre d'UGB recevant au moins un insecticide</t>
    </r>
    <r>
      <rPr>
        <sz val="11"/>
        <rFont val="Calibri"/>
        <family val="2"/>
        <charset val="1"/>
      </rPr>
      <t xml:space="preserve"> :</t>
    </r>
  </si>
  <si>
    <t xml:space="preserve">BIEN ETRE DES ANIMAUX D'ELEVAGE (B23)</t>
  </si>
  <si>
    <t xml:space="preserve">Auto-évaluation du socle de base de la condition animale :</t>
  </si>
  <si>
    <t xml:space="preserve">Accès à l’eau propre, alimentation suffisante </t>
  </si>
  <si>
    <t xml:space="preserve">Confort dans les bâtiments d’élevage et au champ (ombres, abris,…)</t>
  </si>
  <si>
    <t xml:space="preserve">Bon état général du troupeau (pas de boiteries généralisées, blessures,….)</t>
  </si>
  <si>
    <t xml:space="preserve">Conditions de transports et abattage repectant la legislation</t>
  </si>
  <si>
    <t xml:space="preserve">Initiatives ou engagements personnels:</t>
  </si>
  <si>
    <t xml:space="preserve">Cahier de charges avec volet BEA (Les 2 Vaches, Monoprix, Cooperl ..)</t>
  </si>
  <si>
    <t xml:space="preserve">Arrêt des interventions non curatives (écornage, caudectomie …)</t>
  </si>
  <si>
    <t xml:space="preserve">Outils de monitoring pour mise bas</t>
  </si>
  <si>
    <t xml:space="preserve">Euthanasie systématique des animaux pathologiquement condamnés</t>
  </si>
  <si>
    <t xml:space="preserve">Vision du métier / relation de l’éleveur à l’animal</t>
  </si>
  <si>
    <t xml:space="preserve">Elevage en plein air permanent avec présence d'abris</t>
  </si>
  <si>
    <t xml:space="preserve">Livraison à des abattoirs certifiés AB ou Label Rouge </t>
  </si>
  <si>
    <t xml:space="preserve">Abattage à la ferme (si la législation le permet)</t>
  </si>
  <si>
    <t xml:space="preserve">Autres initiatives pour le BEA</t>
  </si>
  <si>
    <t xml:space="preserve">La(es)quelle(s)?</t>
  </si>
  <si>
    <t xml:space="preserve">MALUS</t>
  </si>
  <si>
    <t xml:space="preserve">Présence d’atelier de claustration</t>
  </si>
  <si>
    <t xml:space="preserve">Zéro-pâturage</t>
  </si>
  <si>
    <t xml:space="preserve">Muselière pour veau de lait</t>
  </si>
  <si>
    <t xml:space="preserve">Ecornage à l’âge adulte</t>
  </si>
  <si>
    <t xml:space="preserve">III - Gestion des cultures</t>
  </si>
  <si>
    <t xml:space="preserve">INVENTAIRE FOURRAGE</t>
  </si>
  <si>
    <t xml:space="preserve">Variété</t>
  </si>
  <si>
    <t xml:space="preserve">Surface </t>
  </si>
  <si>
    <t xml:space="preserve">Rdmt</t>
  </si>
  <si>
    <t xml:space="preserve">% lég.</t>
  </si>
  <si>
    <t xml:space="preserve">Fourrage vendu</t>
  </si>
  <si>
    <t xml:space="preserve"> (pures, population, mélange)</t>
  </si>
  <si>
    <t xml:space="preserve">en ha</t>
  </si>
  <si>
    <t xml:space="preserve">en t MS/ha</t>
  </si>
  <si>
    <t xml:space="preserve">en % légumineuse</t>
  </si>
  <si>
    <t xml:space="preserve">Quantité en tMS</t>
  </si>
  <si>
    <t xml:space="preserve">Destination</t>
  </si>
  <si>
    <t xml:space="preserve">FOURRAGES annuels </t>
  </si>
  <si>
    <t xml:space="preserve">Maïs ensilage</t>
  </si>
  <si>
    <t xml:space="preserve">Chou fourrager</t>
  </si>
  <si>
    <t xml:space="preserve">FG annuel en dérobé 1</t>
  </si>
  <si>
    <t xml:space="preserve">FG annuel en dérobé 2</t>
  </si>
  <si>
    <t xml:space="preserve">Meteil 1</t>
  </si>
  <si>
    <t xml:space="preserve">Méteil 2</t>
  </si>
  <si>
    <t xml:space="preserve">Paille non traitée NH3</t>
  </si>
  <si>
    <t xml:space="preserve">Paille traitée NH3</t>
  </si>
  <si>
    <t xml:space="preserve">FOURRAGES pluriannuels (&gt; 2 ans)</t>
  </si>
  <si>
    <t xml:space="preserve">PT 1</t>
  </si>
  <si>
    <t xml:space="preserve">PT 2</t>
  </si>
  <si>
    <t xml:space="preserve">PT 3</t>
  </si>
  <si>
    <t xml:space="preserve">PT 4</t>
  </si>
  <si>
    <t xml:space="preserve">PT 5</t>
  </si>
  <si>
    <t xml:space="preserve">PT 6</t>
  </si>
  <si>
    <t xml:space="preserve">LEGUMINEUSES</t>
  </si>
  <si>
    <t xml:space="preserve">Luzerne seule</t>
  </si>
  <si>
    <t xml:space="preserve">Trèfles seuls</t>
  </si>
  <si>
    <t xml:space="preserve">Autres légum. seules</t>
  </si>
  <si>
    <t xml:space="preserve">Luzerne + graminées</t>
  </si>
  <si>
    <t xml:space="preserve">Trèfles + graminées</t>
  </si>
  <si>
    <t xml:space="preserve">FOURRAGES pérennes (&gt; 5 ans)</t>
  </si>
  <si>
    <t xml:space="preserve">PP 1</t>
  </si>
  <si>
    <t xml:space="preserve">PP 2</t>
  </si>
  <si>
    <t xml:space="preserve">PP 3</t>
  </si>
  <si>
    <t xml:space="preserve">PP 4</t>
  </si>
  <si>
    <t xml:space="preserve">INVENTAIRE CULTURES NON FOURRAGERES</t>
  </si>
  <si>
    <t xml:space="preserve">Achat / Vente</t>
  </si>
  <si>
    <t xml:space="preserve"> (pures, pop., mélange)</t>
  </si>
  <si>
    <t xml:space="preserve">en qx/ha 
ou t/ha</t>
  </si>
  <si>
    <t xml:space="preserve">Quantité 
en t brute</t>
  </si>
  <si>
    <t xml:space="preserve">Origine / Destination</t>
  </si>
  <si>
    <t xml:space="preserve">Cultures annuelles : </t>
  </si>
  <si>
    <t xml:space="preserve">Avoine grain</t>
  </si>
  <si>
    <t xml:space="preserve">Blé tendre</t>
  </si>
  <si>
    <t xml:space="preserve">Blé dur</t>
  </si>
  <si>
    <t xml:space="preserve">Colza ptps</t>
  </si>
  <si>
    <t xml:space="preserve">Maïs grain</t>
  </si>
  <si>
    <t xml:space="preserve">Orge grain</t>
  </si>
  <si>
    <t xml:space="preserve">Seigle grain</t>
  </si>
  <si>
    <t xml:space="preserve">Sorgho grain</t>
  </si>
  <si>
    <t xml:space="preserve">Tournesol grain</t>
  </si>
  <si>
    <t xml:space="preserve">Triticale</t>
  </si>
  <si>
    <t xml:space="preserve">Betteraves industrielles</t>
  </si>
  <si>
    <t xml:space="preserve">Association 1</t>
  </si>
  <si>
    <t xml:space="preserve">Association 2</t>
  </si>
  <si>
    <t xml:space="preserve">Légumineuse/ Protéagineuse:</t>
  </si>
  <si>
    <t xml:space="preserve">Féverole d'hiver</t>
  </si>
  <si>
    <t xml:space="preserve">Féverole de printemps</t>
  </si>
  <si>
    <t xml:space="preserve">Lupin de printemps</t>
  </si>
  <si>
    <t xml:space="preserve">Pois printemps</t>
  </si>
  <si>
    <t xml:space="preserve">Soja (grain)</t>
  </si>
  <si>
    <t xml:space="preserve">Maraîchage pleine terre: </t>
  </si>
  <si>
    <t xml:space="preserve">noter détail des vente par prod.</t>
  </si>
  <si>
    <t xml:space="preserve">Arboriculture : </t>
  </si>
  <si>
    <t xml:space="preserve">Pommes</t>
  </si>
  <si>
    <t xml:space="preserve">Poires </t>
  </si>
  <si>
    <t xml:space="preserve">Prunes </t>
  </si>
  <si>
    <t xml:space="preserve">Viticulture : </t>
  </si>
  <si>
    <t xml:space="preserve">Raisin de table</t>
  </si>
  <si>
    <t xml:space="preserve">Raisin jus ou vin</t>
  </si>
  <si>
    <t xml:space="preserve">Jachères</t>
  </si>
  <si>
    <t xml:space="preserve">Présence de parcelle en agroforesterie</t>
  </si>
  <si>
    <t xml:space="preserve">détail</t>
  </si>
  <si>
    <t xml:space="preserve">ROTATIONS</t>
  </si>
  <si>
    <r>
      <rPr>
        <b val="true"/>
        <sz val="10"/>
        <rFont val="Calibri"/>
        <family val="2"/>
        <charset val="1"/>
      </rPr>
      <t xml:space="preserve">Surface 
</t>
    </r>
    <r>
      <rPr>
        <b val="true"/>
        <sz val="8"/>
        <rFont val="Calibri"/>
        <family val="2"/>
        <charset val="1"/>
      </rPr>
      <t xml:space="preserve">(en ha)</t>
    </r>
  </si>
  <si>
    <r>
      <rPr>
        <b val="true"/>
        <sz val="10"/>
        <rFont val="Calibri"/>
        <family val="2"/>
        <charset val="1"/>
      </rPr>
      <t xml:space="preserve">Durée de la rotation </t>
    </r>
    <r>
      <rPr>
        <b val="true"/>
        <sz val="8"/>
        <rFont val="Calibri"/>
        <family val="2"/>
        <charset val="1"/>
      </rPr>
      <t xml:space="preserve">(an)</t>
    </r>
  </si>
  <si>
    <t xml:space="preserve">Cultures de la succession</t>
  </si>
  <si>
    <t xml:space="preserve">Rotation 1</t>
  </si>
  <si>
    <t xml:space="preserve">Rotation 2</t>
  </si>
  <si>
    <t xml:space="preserve">Rotation 3</t>
  </si>
  <si>
    <t xml:space="preserve">Rotation 4</t>
  </si>
  <si>
    <t xml:space="preserve">ENGRAIS MINERAUX</t>
  </si>
  <si>
    <t xml:space="preserve">Quantités utilisées</t>
  </si>
  <si>
    <t xml:space="preserve">tonnes</t>
  </si>
  <si>
    <t xml:space="preserve">K Chlorure de potasse</t>
  </si>
  <si>
    <t xml:space="preserve">K Patenkali</t>
  </si>
  <si>
    <t xml:space="preserve">K Sulfate de potasse</t>
  </si>
  <si>
    <t xml:space="preserve">N Ammonitrate</t>
  </si>
  <si>
    <t xml:space="preserve">N Cyanamide de chaux</t>
  </si>
  <si>
    <t xml:space="preserve">N Nitrate de chaux</t>
  </si>
  <si>
    <t xml:space="preserve">N Nitrate de chaux et magnésie</t>
  </si>
  <si>
    <t xml:space="preserve">N Nitrate de soude du Chili</t>
  </si>
  <si>
    <t xml:space="preserve">N Orgabio</t>
  </si>
  <si>
    <t xml:space="preserve">N Sulfate d'ammoniaque</t>
  </si>
  <si>
    <t xml:space="preserve">N Sulfonitrate</t>
  </si>
  <si>
    <t xml:space="preserve">N Urée - Perlurée</t>
  </si>
  <si>
    <t xml:space="preserve">NK Nitrate de Potasse</t>
  </si>
  <si>
    <t xml:space="preserve">NP Phosphate d'ammoniaque 18-46</t>
  </si>
  <si>
    <t xml:space="preserve">NPK Agrobio +</t>
  </si>
  <si>
    <t xml:space="preserve">NPK Azofort</t>
  </si>
  <si>
    <t xml:space="preserve">NPK Composts urbains</t>
  </si>
  <si>
    <t xml:space="preserve">NPK Engrais Ternaire 14-8-20</t>
  </si>
  <si>
    <t xml:space="preserve">NPK Guanofort</t>
  </si>
  <si>
    <t xml:space="preserve">P Scories Thomas</t>
  </si>
  <si>
    <t xml:space="preserve">P Super 18</t>
  </si>
  <si>
    <t xml:space="preserve">P Super 45</t>
  </si>
  <si>
    <t xml:space="preserve">N</t>
  </si>
  <si>
    <t xml:space="preserve">P2O5</t>
  </si>
  <si>
    <t xml:space="preserve">K2O</t>
  </si>
  <si>
    <t xml:space="preserve">PK Engrais Binaire </t>
  </si>
  <si>
    <t xml:space="preserve">kg /1000 kg d'engrais</t>
  </si>
  <si>
    <t xml:space="preserve">Tourbes</t>
  </si>
  <si>
    <t xml:space="preserve">ENGRAIS ORGANIQUES</t>
  </si>
  <si>
    <t xml:space="preserve">Quantité produite</t>
  </si>
  <si>
    <t xml:space="preserve">Quantité vendue</t>
  </si>
  <si>
    <t xml:space="preserve">Quantité importée</t>
  </si>
  <si>
    <t xml:space="preserve">Type d'engrais</t>
  </si>
  <si>
    <r>
      <rPr>
        <i val="true"/>
        <sz val="9"/>
        <rFont val="Calibri"/>
        <family val="2"/>
        <charset val="1"/>
      </rPr>
      <t xml:space="preserve">t ou m</t>
    </r>
    <r>
      <rPr>
        <vertAlign val="superscript"/>
        <sz val="11"/>
        <rFont val="Calibri"/>
        <family val="2"/>
        <charset val="1"/>
      </rPr>
      <t xml:space="preserve">3</t>
    </r>
  </si>
  <si>
    <t xml:space="preserve">Bovin : Fumier très compact, litière accumulée</t>
  </si>
  <si>
    <t xml:space="preserve">Bovin : Fumier compact</t>
  </si>
  <si>
    <t xml:space="preserve">Bovin : Fumier mou logette</t>
  </si>
  <si>
    <t xml:space="preserve">Lisier bovins à l'engrais</t>
  </si>
  <si>
    <t xml:space="preserve">Lisier autres bovins</t>
  </si>
  <si>
    <t xml:space="preserve">Lisier bovin dilué</t>
  </si>
  <si>
    <t xml:space="preserve">Lisier bovin très dilué</t>
  </si>
  <si>
    <t xml:space="preserve">Purin bovin pur</t>
  </si>
  <si>
    <t xml:space="preserve">Lixiviat bovin (purins dilués de fumières)</t>
  </si>
  <si>
    <t xml:space="preserve">Lisier poules pondeuses</t>
  </si>
  <si>
    <t xml:space="preserve">Fientes poules pondeuses</t>
  </si>
  <si>
    <t xml:space="preserve">Fientes préséchées sur tapis</t>
  </si>
  <si>
    <t xml:space="preserve">Fientes séchées sous hangar</t>
  </si>
  <si>
    <t xml:space="preserve">Lisier de porc à l'engrais (caillebotis)</t>
  </si>
  <si>
    <t xml:space="preserve">Lisier de porcs mixte (fosse extérieure)</t>
  </si>
  <si>
    <t xml:space="preserve">Porcs : Fumier de litière accumulée</t>
  </si>
  <si>
    <t xml:space="preserve">Porcs : Fumier de litière raclée</t>
  </si>
  <si>
    <t xml:space="preserve">Algues de mer</t>
  </si>
  <si>
    <t xml:space="preserve">Boue Station épuration</t>
  </si>
  <si>
    <t xml:space="preserve">Compost  méthode Guernevez</t>
  </si>
  <si>
    <t xml:space="preserve">Compost à base de marc de raisin</t>
  </si>
  <si>
    <t xml:space="preserve">Compost de déchets verts</t>
  </si>
  <si>
    <t xml:space="preserve">Compost de déchets verts + fientes de volaille</t>
  </si>
  <si>
    <t xml:space="preserve">Compost de déchets verts + fumier de volaille</t>
  </si>
  <si>
    <t xml:space="preserve">Compost de déchets verts avec lisier de porc</t>
  </si>
  <si>
    <t xml:space="preserve">Compost fumier bovins &lt; 6 mois</t>
  </si>
  <si>
    <t xml:space="preserve">Compost fumier porc litière accumulée</t>
  </si>
  <si>
    <t xml:space="preserve">Compost fumier porc litière raclée</t>
  </si>
  <si>
    <t xml:space="preserve">Compost fumier volailles</t>
  </si>
  <si>
    <t xml:space="preserve">Compost fumiers + tourt. (type Végor, Végéh)</t>
  </si>
  <si>
    <t xml:space="preserve">Marc de Raisin</t>
  </si>
  <si>
    <t xml:space="preserve">Si épandage de boues de stations d'épuration, prise en compte de la qualité des boues ?</t>
  </si>
  <si>
    <t xml:space="preserve">Part des effluents venant du territoire (en tonnes) :</t>
  </si>
  <si>
    <t xml:space="preserve">Echanges paille-fumier ou équivalent :</t>
  </si>
  <si>
    <t xml:space="preserve">DIVERSITE DES CULTURES</t>
  </si>
  <si>
    <t xml:space="preserve">Participation à des programmes de création/sélection variétale, entretien des ressources génétiques sur des espèces anciennes :</t>
  </si>
  <si>
    <t xml:space="preserve">sélection participative avec possibilité d'en bénéficier</t>
  </si>
  <si>
    <t xml:space="preserve">Prise en compte de critères de tolérance/résistance à des stress biotiques et abiotiques dans les choix variétaux ?</t>
  </si>
  <si>
    <t xml:space="preserve">y compris pour les port-greffes</t>
  </si>
  <si>
    <t xml:space="preserve">Grandes cultures / Arbo</t>
  </si>
  <si>
    <t xml:space="preserve">Nom variétés de la culture principale</t>
  </si>
  <si>
    <t xml:space="preserve">Surface (ha)</t>
  </si>
  <si>
    <t xml:space="preserve"> Arboriculture</t>
  </si>
  <si>
    <t xml:space="preserve">A3</t>
  </si>
  <si>
    <t xml:space="preserve">Durée de l'interculture en arboriculture :</t>
  </si>
  <si>
    <t xml:space="preserve">Qualité de l'interculture :</t>
  </si>
  <si>
    <t xml:space="preserve">Sol nu ou jachère</t>
  </si>
  <si>
    <t xml:space="preserve">Couvert enrichissant le sol en MO</t>
  </si>
  <si>
    <t xml:space="preserve">Couvert à effet nematicide</t>
  </si>
  <si>
    <t xml:space="preserve">Nombre de cépages sur l'exploitation :</t>
  </si>
  <si>
    <t xml:space="preserve">Pratique de l'encépagement polyclonale :</t>
  </si>
  <si>
    <t xml:space="preserve">Présence de cépage très peu représenté dans la zone d'appellation :</t>
  </si>
  <si>
    <t xml:space="preserve">Durée de l'interculture en viticulture</t>
  </si>
  <si>
    <t xml:space="preserve">A1</t>
  </si>
  <si>
    <t xml:space="preserve">Nombre de familles botaniques cultivées sur l'exploitation : </t>
  </si>
  <si>
    <t xml:space="preserve">Est-ce que la diversification des familles botaniques est présente toute l'année ? </t>
  </si>
  <si>
    <t xml:space="preserve">L'explotation produit-elle des légumes des trois catégories : tige/feuille; racine/tubercule/bulbe; fruits ? </t>
  </si>
  <si>
    <t xml:space="preserve">Nbre d'espèces botaniques cultivées en 3 variétés ou + :</t>
  </si>
  <si>
    <t xml:space="preserve">Présence de variété population dans la production :</t>
  </si>
  <si>
    <t xml:space="preserve">Nombre de familles botaniques différentes dans le cycle de rotation le plus important en surface :  </t>
  </si>
  <si>
    <t xml:space="preserve">Présence dans le cycle de rotation de la même famille botanique deux fois de suite :  </t>
  </si>
  <si>
    <t xml:space="preserve">Intégration de couverts intermédiaires à objectif agronomique dans les rotations :  </t>
  </si>
  <si>
    <t xml:space="preserve">A4</t>
  </si>
  <si>
    <t xml:space="preserve">Mise en place de cultures associés et/ou semis sous couvert sur une même planche </t>
  </si>
  <si>
    <t xml:space="preserve">SEMENCE ET GENETIQUE</t>
  </si>
  <si>
    <t xml:space="preserve">A6</t>
  </si>
  <si>
    <t xml:space="preserve">Surfaces cultivées en semences de ferme et/ou en « plants et greffons de ferme » (en %) :</t>
  </si>
  <si>
    <t xml:space="preserve">Démarche de sélection variétale, reproduction et/ou échanges de semences :</t>
  </si>
  <si>
    <t xml:space="preserve">Lesquelles: </t>
  </si>
  <si>
    <r>
      <rPr>
        <sz val="11"/>
        <color rgb="FF000000"/>
        <rFont val="Calibri"/>
        <family val="2"/>
        <charset val="1"/>
      </rPr>
      <t xml:space="preserve">Présence de variétés/cépages </t>
    </r>
    <r>
      <rPr>
        <b val="true"/>
        <sz val="11"/>
        <color rgb="FF000000"/>
        <rFont val="Calibri"/>
        <family val="2"/>
        <charset val="1"/>
      </rPr>
      <t xml:space="preserve">locaux</t>
    </r>
    <r>
      <rPr>
        <sz val="11"/>
        <color rgb="FF000000"/>
        <rFont val="Calibri"/>
        <family val="2"/>
        <charset val="1"/>
      </rPr>
      <t xml:space="preserve"> à faibles effectifs rentrant dans l’acte de production</t>
    </r>
  </si>
  <si>
    <t xml:space="preserve">GESTION PHYTO.</t>
  </si>
  <si>
    <t xml:space="preserve">Stratégie d'alternance des matières actives et lutte contre les résistance :</t>
  </si>
  <si>
    <t xml:space="preserve">Totale et systématique</t>
  </si>
  <si>
    <t xml:space="preserve">Partielle ou occasionnelle</t>
  </si>
  <si>
    <t xml:space="preserve">Aucune alternance</t>
  </si>
  <si>
    <t xml:space="preserve">A17</t>
  </si>
  <si>
    <t xml:space="preserve">Utilisation de matériel anti-dérive :</t>
  </si>
  <si>
    <t xml:space="preserve">Utilisation de produits de type CMR ou perturbateurs endocriniens (cancerogène, mutagène, …):</t>
  </si>
  <si>
    <t xml:space="preserve">Mise en place de pratiques alternatives pour gérer les adventices, pathogènes et/ou ravageurs :</t>
  </si>
  <si>
    <t xml:space="preserve">dans une stratégie d'action sur le stock initiale :</t>
  </si>
  <si>
    <t xml:space="preserve">dans une stratégie d'évitement :</t>
  </si>
  <si>
    <t xml:space="preserve">dans une stratégie d'atténuation en végétation :</t>
  </si>
  <si>
    <t xml:space="preserve">dans une stratégie de solution mécaniques et biologiques :</t>
  </si>
  <si>
    <t xml:space="preserve">SAU recevant au moins un insecticide  y compris  traitement de semences, hors produit de biocontrôle (ha) :</t>
  </si>
  <si>
    <t xml:space="preserve">Inventaire traitements </t>
  </si>
  <si>
    <t xml:space="preserve">Culture</t>
  </si>
  <si>
    <t xml:space="preserve">Nom produit</t>
  </si>
  <si>
    <t xml:space="preserve">Poste</t>
  </si>
  <si>
    <t xml:space="preserve">dose utilisée 
à l'ha</t>
  </si>
  <si>
    <t xml:space="preserve">dose homologuée</t>
  </si>
  <si>
    <t xml:space="preserve">surface traitée</t>
  </si>
  <si>
    <t xml:space="preserve">surface parcelle</t>
  </si>
  <si>
    <t xml:space="preserve">H: Herbicide
F: Fongicide
I: Insecticide</t>
  </si>
  <si>
    <t xml:space="preserve">IV - Gestion ressources 
(Eau, Air, Sol, Biodiversité, Energier …)</t>
  </si>
  <si>
    <t xml:space="preserve">GESTION DU SOL</t>
  </si>
  <si>
    <t xml:space="preserve">Legumineuse et N</t>
  </si>
  <si>
    <t xml:space="preserve">A8</t>
  </si>
  <si>
    <t xml:space="preserve">Surface de cultures intermédiaires en légumineuses :</t>
  </si>
  <si>
    <t xml:space="preserve">Surface de cultures pérennes enherbées avec des légumineuses :</t>
  </si>
  <si>
    <t xml:space="preserve">Surface en agroforesterie avec au moins 50% d'essences de légumineuses :</t>
  </si>
  <si>
    <t xml:space="preserve">Matière Organique</t>
  </si>
  <si>
    <t xml:space="preserve">A13</t>
  </si>
  <si>
    <t xml:space="preserve">Surface où sont mises en place des actions de gestion spécifique de la MO :</t>
  </si>
  <si>
    <t xml:space="preserve">lesquels:</t>
  </si>
  <si>
    <t xml:space="preserve">Brulage des pailles :</t>
  </si>
  <si>
    <t xml:space="preserve">Contamination par des métaux lourds :</t>
  </si>
  <si>
    <t xml:space="preserve">Cuivre en fongicide, apport de lisier de porc (Cd, Zn) ou boue de STEP, …</t>
  </si>
  <si>
    <t xml:space="preserve">Vie biologique des sols</t>
  </si>
  <si>
    <t xml:space="preserve">Couverture permanente du sol (au moins 3 ans) (ha)</t>
  </si>
  <si>
    <t xml:space="preserve">Surface non travaillée (semi direct) (ha)</t>
  </si>
  <si>
    <t xml:space="preserve">Surface ne recevant PAS de produits phytosanitaires (ha):</t>
  </si>
  <si>
    <t xml:space="preserve">Recours à la désinfection vapeur des sols :</t>
  </si>
  <si>
    <t xml:space="preserve">Erosion</t>
  </si>
  <si>
    <t xml:space="preserve">Mise en place de mesure spécifique pour contrer l'érosion :</t>
  </si>
  <si>
    <t xml:space="preserve">QUALITE DE L'AIR</t>
  </si>
  <si>
    <t xml:space="preserve">Nombre de passages d'engins émetteurs de particules et de gaz précurseurs sur la culture principale :</t>
  </si>
  <si>
    <t xml:space="preserve">,</t>
  </si>
  <si>
    <t xml:space="preserve">Travail du sol, récolte de tubercules, moissons, enfouissement de résidus, épandage d'engrais uréique, de lisier, d'engrais uréique, …</t>
  </si>
  <si>
    <t xml:space="preserve">Nombres de pratiques de réduction des émissions de particules et de gaz précurseurs :</t>
  </si>
  <si>
    <t xml:space="preserve">Exemples de pratiques: couverture des fosses, filtration de l’air, lavage de l'air, pendillards, injection, enfouissement, séchage des fientes, activateur de litière, haie brise vent, limitation/mutualisation des transports, matériel de chauffage et de réfrégiration économe, méthanisation avec récupération des gaz fermentiscibles…</t>
  </si>
  <si>
    <t xml:space="preserve">ENERGIE ET GES</t>
  </si>
  <si>
    <t xml:space="preserve">Utilisation d'énergie produite sur l'exploitation ou valorisation directe d'énergie renouvelable :</t>
  </si>
  <si>
    <t xml:space="preserve">détails:</t>
  </si>
  <si>
    <t xml:space="preserve">A11</t>
  </si>
  <si>
    <t xml:space="preserve">Consommation en énergie</t>
  </si>
  <si>
    <t xml:space="preserve">Unité d'entrée</t>
  </si>
  <si>
    <t xml:space="preserve">Quantité consommée</t>
  </si>
  <si>
    <t xml:space="preserve">électricité de l'exploitation</t>
  </si>
  <si>
    <t xml:space="preserve">kWh</t>
  </si>
  <si>
    <t xml:space="preserve">fioul, essence, gazoil</t>
  </si>
  <si>
    <t xml:space="preserve">y compris par les éventuels prestataires de service sur l'exploitation</t>
  </si>
  <si>
    <t xml:space="preserve">biocarburburant</t>
  </si>
  <si>
    <t xml:space="preserve">gaz naturel, propane/butane</t>
  </si>
  <si>
    <t xml:space="preserve">kg</t>
  </si>
  <si>
    <t xml:space="preserve">biogaz  (65% méthane)</t>
  </si>
  <si>
    <t xml:space="preserve">bois</t>
  </si>
  <si>
    <t xml:space="preserve">kg MS</t>
  </si>
  <si>
    <t xml:space="preserve">Miscanthus</t>
  </si>
  <si>
    <t xml:space="preserve">charbon</t>
  </si>
  <si>
    <t xml:space="preserve">lubrifiant</t>
  </si>
  <si>
    <t xml:space="preserve">pailles</t>
  </si>
  <si>
    <t xml:space="preserve">A18</t>
  </si>
  <si>
    <t xml:space="preserve">Nombre d'arbre implanté en agroforesterie</t>
  </si>
  <si>
    <t xml:space="preserve">Production d’énergie sur l’exploitation à partir de ressources locales (méthanisation, chaudière bois, …)</t>
  </si>
  <si>
    <t xml:space="preserve"> (autre qu'agro-carburants de 1ère génération et fermes solaires avec panneaux au sol) </t>
  </si>
  <si>
    <t xml:space="preserve">Utilisation d’énergie produite sur le territoire locale :</t>
  </si>
  <si>
    <t xml:space="preserve">EAU</t>
  </si>
  <si>
    <t xml:space="preserve">Exploitation prélevant de l'eau</t>
  </si>
  <si>
    <t xml:space="preserve">A9</t>
  </si>
  <si>
    <t xml:space="preserve">Exploitation implantée dans une zone de conflit sur l'eau</t>
  </si>
  <si>
    <t xml:space="preserve">Origine du prélèvement</t>
  </si>
  <si>
    <t xml:space="preserve">Eaux souterraines</t>
  </si>
  <si>
    <t xml:space="preserve">Eaux superficielles</t>
  </si>
  <si>
    <t xml:space="preserve">Retenues collinaires</t>
  </si>
  <si>
    <t xml:space="preserve">Quantité totale d'eau prélevée annuellement</t>
  </si>
  <si>
    <r>
      <rPr>
        <sz val="11"/>
        <rFont val="Calibri"/>
        <family val="2"/>
        <charset val="1"/>
      </rPr>
      <t xml:space="preserve">m</t>
    </r>
    <r>
      <rPr>
        <vertAlign val="superscript"/>
        <sz val="11"/>
        <rFont val="Calibri"/>
        <family val="2"/>
        <charset val="1"/>
      </rPr>
      <t xml:space="preserve">3</t>
    </r>
  </si>
  <si>
    <t xml:space="preserve">A12</t>
  </si>
  <si>
    <t xml:space="preserve">Présence de sous-compteurs ou de vannes d'arrêt sur les différents réseaux :</t>
  </si>
  <si>
    <t xml:space="preserve">Abreuvement en elevage</t>
  </si>
  <si>
    <t xml:space="preserve">Exploitation en système herbagé avec pâturage dominant</t>
  </si>
  <si>
    <t xml:space="preserve">Utilisation de technique ou de matériel d'abreuvement économe en eau</t>
  </si>
  <si>
    <t xml:space="preserve">Exploitation irrigante</t>
  </si>
  <si>
    <t xml:space="preserve">Réutilisation d’eau de station ou de process agro-alimentaire pour irrigation :</t>
  </si>
  <si>
    <t xml:space="preserve">Type de culture irrigué</t>
  </si>
  <si>
    <t xml:space="preserve">Maraichage sous serres - Cultures florales sous serres - Arboriculture</t>
  </si>
  <si>
    <t xml:space="preserve">Systèmes en grandes cultures avec cultures irriguées dominantes de maïs, soja, pomme de terre ou légumes plein champ</t>
  </si>
  <si>
    <t xml:space="preserve">Autres cultures irriguées</t>
  </si>
  <si>
    <t xml:space="preserve">Aucune culture irriguée</t>
  </si>
  <si>
    <t xml:space="preserve">Mise en place de stratégies d'irrigation économes :</t>
  </si>
  <si>
    <t xml:space="preserve">Irrigation à l’ETM, variété précoce, date de semis précoce, réduction de la densité, paillage, BRF…</t>
  </si>
  <si>
    <r>
      <rPr>
        <sz val="11"/>
        <color rgb="FF000000"/>
        <rFont val="Calibri"/>
        <family val="2"/>
        <charset val="1"/>
      </rPr>
      <t xml:space="preserve">Utilisation de technique ou de matériel d'irrigation économe en eau</t>
    </r>
    <r>
      <rPr>
        <i val="true"/>
        <sz val="8"/>
        <color rgb="FF000000"/>
        <rFont val="Calibri"/>
        <family val="2"/>
        <charset val="1"/>
      </rPr>
      <t xml:space="preserve"> 
(micro irrigation, goutte à goute, pivot ou rampe frontale)</t>
    </r>
  </si>
  <si>
    <t xml:space="preserve">Autres usages</t>
  </si>
  <si>
    <t xml:space="preserve">Utilisation de technique ou de matériel de lavage des batiments et du matériel économe en eau</t>
  </si>
  <si>
    <t xml:space="preserve">Utilisation de technique ou de matériel de lavage des prodiuits économe en eau</t>
  </si>
  <si>
    <t xml:space="preserve">Récupération significative et réutilisation des eaux de pluie, eaux de drainage, eaux de lavage pour les besoins de l'exploitation</t>
  </si>
  <si>
    <t xml:space="preserve">Qualité de l'eau</t>
  </si>
  <si>
    <t xml:space="preserve">A16</t>
  </si>
  <si>
    <t xml:space="preserve">Fertilisation minérale ou apport de lisier entre septembre et novembre :</t>
  </si>
  <si>
    <t xml:space="preserve">Mise en place d'actions pour limiter les transferts lors des traitements</t>
  </si>
  <si>
    <t xml:space="preserve">Enherbement des cultures pérennes, dispositif de remédiation (bassin "de décantation" avant rejet), protection par enherbement des zones de transfert rapide (au-delà des obligations BCAE), semis sous couvert permanent sans destruction chimique</t>
  </si>
  <si>
    <t xml:space="preserve">Surface en culture à forte capacité d'absorption d'azote pendant le drainage à l'automne (ha)</t>
  </si>
  <si>
    <t xml:space="preserve">Comprend:
les CIPAN implantés au plus 3 semaines après les récoltes d'été (au 15 septembre max), durant au moins 3 mois ;
les cultures de vente pièges à nitrates (notamment les crucifères et le colza, mais aussi les choux, poireaux, épinards, betteraves, céleris, salades d'hivers) ;
les PT de plus de 1 an qui ne seront pas retournées dans l'année ;
les PP et les surfaces enherbées en culture pérenne ;</t>
  </si>
  <si>
    <t xml:space="preserve">GESTION DE LA BIODIVERSITE</t>
  </si>
  <si>
    <t xml:space="preserve">Gestion de l'espace</t>
  </si>
  <si>
    <t xml:space="preserve">linéaire</t>
  </si>
  <si>
    <t xml:space="preserve">surface</t>
  </si>
  <si>
    <t xml:space="preserve">m</t>
  </si>
  <si>
    <t xml:space="preserve">Haies basses</t>
  </si>
  <si>
    <t xml:space="preserve">Agroforesterie intraparcellaire</t>
  </si>
  <si>
    <t xml:space="preserve">Arbres denses, lisière forêt</t>
  </si>
  <si>
    <t xml:space="preserve">Tourbières</t>
  </si>
  <si>
    <t xml:space="preserve">Arbres isolés (nb arbre)</t>
  </si>
  <si>
    <t xml:space="preserve">Prairies permanentes</t>
  </si>
  <si>
    <t xml:space="preserve">Mares, lavognes (m de perimetre)</t>
  </si>
  <si>
    <t xml:space="preserve">Ripisylve</t>
  </si>
  <si>
    <t xml:space="preserve">Bordures et bandes enherbées </t>
  </si>
  <si>
    <t xml:space="preserve">Murets et terrasses</t>
  </si>
  <si>
    <t xml:space="preserve">Enherbement permanent des cultures perennes 
(avec au moins 30% peu fauché)</t>
  </si>
  <si>
    <t xml:space="preserve">Nombre d'unités spatiales supérieures à 12 ha</t>
  </si>
  <si>
    <t xml:space="preserve">Pour arboriculture, viticulture ou maraichage: 
Nombre d'unités spatiales supérieures à  6 ha.</t>
  </si>
  <si>
    <t xml:space="preserve">Implantations de jachères/intercultures mellifères, ou bandes fleuries à destination des insectes pollinisateurs :</t>
  </si>
  <si>
    <t xml:space="preserve">Mode de gestion des zones non-productives :</t>
  </si>
  <si>
    <t xml:space="preserve">sans phyto entretien écologique</t>
  </si>
  <si>
    <t xml:space="preserve">sans phyto entretien intensif</t>
  </si>
  <si>
    <t xml:space="preserve">présence phyto</t>
  </si>
  <si>
    <t xml:space="preserve">aucune zone non productive</t>
  </si>
  <si>
    <t xml:space="preserve">B23 </t>
  </si>
  <si>
    <t xml:space="preserve">Tenir compte de la faune sauvage</t>
  </si>
  <si>
    <t xml:space="preserve">Mise en place/entretien d'habitats pour la faune sauvage</t>
  </si>
  <si>
    <t xml:space="preserve">Présence et entretien de haies, rangées d'arbres ou bosquets</t>
  </si>
  <si>
    <t xml:space="preserve">Bandes enherbées, bord de champs ou enherbement permanent des cultures pérennes avec une gestion favorable à la faune</t>
  </si>
  <si>
    <t xml:space="preserve">Mare et plan d'eau</t>
  </si>
  <si>
    <t xml:space="preserve">Implantation d'intercultures ou de jachères favorables à la faune sauvage</t>
  </si>
  <si>
    <t xml:space="preserve">Maintien d'habitats dans les parcelles 
(retard de la fauche après le 15 juillet, maintien des chaumes d'environ 20 cm et/ou de bandes refuges non-récoltées)</t>
  </si>
  <si>
    <t xml:space="preserve">Libre accès aux étabes et toitures de bâtiments pour la nidification</t>
  </si>
  <si>
    <t xml:space="preserve">Mise en place de nichoir (oiseaux, insectes, chauve-souris, etc….)</t>
  </si>
  <si>
    <t xml:space="preserve">Cohabiter avec la faune sauvage et éviter les accidents</t>
  </si>
  <si>
    <t xml:space="preserve">Largeur de travail réduite et utilisation de barres d'effarouchement (moisson, herse, …)</t>
  </si>
  <si>
    <t xml:space="preserve">Fauche ou récolte à faible vitesse (&lt; 15 km/h), notamment en bords de champs (&lt;10km/h)</t>
  </si>
  <si>
    <t xml:space="preserve">Fauche ou récolte selon un itinéraire centrifuge</t>
  </si>
  <si>
    <t xml:space="preserve">Limitation de l'utilisation d'intrants à partir de mars sur les lisières des parcelles</t>
  </si>
  <si>
    <t xml:space="preserve">Utilisation de repulsifs (non toxiques), d'effaroucheurs sonores ou visuels comme mesure de prévention non-létale</t>
  </si>
  <si>
    <t xml:space="preserve">Chantier de récolte nocturne </t>
  </si>
  <si>
    <t xml:space="preserve">V - Aspects socio-territoriaux</t>
  </si>
  <si>
    <t xml:space="preserve">APPROVISIONNEMENT</t>
  </si>
  <si>
    <t xml:space="preserve">Vous arrive-t-il d’avoir des problèmes d’approvisionnement : qualité, quantité, délais?</t>
  </si>
  <si>
    <t xml:space="preserve">Approvisionnement en semences, phytos, engrais, aliments.
HORS RESSOURSES FOURRAGERES</t>
  </si>
  <si>
    <t xml:space="preserve">Aucun problème</t>
  </si>
  <si>
    <t xml:space="preserve">Je trouve tout ce que je veux, en quantité et livré rapidement</t>
  </si>
  <si>
    <t xml:space="preserve">Problèmes mineurs</t>
  </si>
  <si>
    <t xml:space="preserve">Quelques gammes sont inaccessibles ou limitées. Les délais sont parfois un peu longs.  </t>
  </si>
  <si>
    <t xml:space="preserve">Problèmes majeurs</t>
  </si>
  <si>
    <t xml:space="preserve">Je n’ai pas de choix dans différentes gammes. Au moins un produit manque en quantité. </t>
  </si>
  <si>
    <t xml:space="preserve">Pb de sécurisation</t>
  </si>
  <si>
    <t xml:space="preserve">Au moins un produit essentiel est introuvable. Certaines commandes ne sont pas livrées. </t>
  </si>
  <si>
    <t xml:space="preserve">Vous arrive-t-il d’avoir des problèmes d'accès et de disponibilité des moyens de collecte?</t>
  </si>
  <si>
    <t xml:space="preserve">Diversité des collecte (individuel, collective, privée), pluralité des acteurs, problème de délais de collecte</t>
  </si>
  <si>
    <t xml:space="preserve">Choix entre les options de collectes, acteurs nombreux. Pas problème de délais</t>
  </si>
  <si>
    <t xml:space="preserve">Seuls qqs acteurs de collecte sont disponibles. J’ai déjà eu des problèmes de délais. </t>
  </si>
  <si>
    <t xml:space="preserve">Un seul acteur de collecte est disponible. Il est fréquent qu’il y ait des problèmes de délais </t>
  </si>
  <si>
    <t xml:space="preserve">Une production n’est pas collectée. Le retard m’a déjà fait perdre une partie de ma prod.</t>
  </si>
  <si>
    <t xml:space="preserve">Approvisionnements significatifs en produits locaux (emballages, bouteilles, …)</t>
  </si>
  <si>
    <t xml:space="preserve">MATERIEL EQUIPEMENT ET MUTUALISATION</t>
  </si>
  <si>
    <t xml:space="preserve">Autoconstruction en matière de machinisme ou adaptation de matériel existant :</t>
  </si>
  <si>
    <t xml:space="preserve">Autonomie dans la réparation du matériel agricole (hors entretien courant): </t>
  </si>
  <si>
    <t xml:space="preserve">Utilisation de matériaux (cloture, bâti, construction):</t>
  </si>
  <si>
    <t xml:space="preserve">produits sur l’exploitation ou en groupe </t>
  </si>
  <si>
    <t xml:space="preserve">produits localement</t>
  </si>
  <si>
    <t xml:space="preserve">B13</t>
  </si>
  <si>
    <t xml:space="preserve">Mutualisation des matériels / équipements / bâtiments / services :</t>
  </si>
  <si>
    <t xml:space="preserve">CUMA, copropriété, atelier de transfo ou de vente collectif, …</t>
  </si>
  <si>
    <t xml:space="preserve">B15</t>
  </si>
  <si>
    <t xml:space="preserve">Mutualisation de projets productifs :</t>
  </si>
  <si>
    <t xml:space="preserve">Assolement en commun, projet en commun de diversification, points de vente partagés…</t>
  </si>
  <si>
    <t xml:space="preserve">CHARTE et LABELS</t>
  </si>
  <si>
    <t xml:space="preserve">B3</t>
  </si>
  <si>
    <t xml:space="preserve">Obtention d'un lable de qualité</t>
  </si>
  <si>
    <t xml:space="preserve">Liée au territoire: IGP</t>
  </si>
  <si>
    <t xml:space="preserve">Liée au territoire: AOP ou AOC</t>
  </si>
  <si>
    <t xml:space="preserve">Liée au process (label rouge et autres normes STG) :</t>
  </si>
  <si>
    <t xml:space="preserve">Liée à la nutrition (lait de système herbager, alimentation à base de lin…) :</t>
  </si>
  <si>
    <t xml:space="preserve">Agriculture Biologique (AB) :</t>
  </si>
  <si>
    <t xml:space="preserve">B6</t>
  </si>
  <si>
    <t xml:space="preserve">Contractualisation pour la prévention des risques naturels pour la collectivité :</t>
  </si>
  <si>
    <t xml:space="preserve">Limiter les crues par présence de prairies inondables, limiter les coulées de boue, lutte contre les incendies (DFCI)...</t>
  </si>
  <si>
    <t xml:space="preserve">Adhésion à des chartes environnementales, contractualisation de programmes locaux environnementaux :</t>
  </si>
  <si>
    <t xml:space="preserve">oui, sur moins de 50% de SAU</t>
  </si>
  <si>
    <t xml:space="preserve">oui, sur plus de 50% de SAU</t>
  </si>
  <si>
    <t xml:space="preserve">Part de la SAU sous respect d’un cahier des charges territorialisé, lié ou non à un dédomagement :
-MAET;  -MAEC système;  -Contrat lié au document d'objectif des sites Natura 2000;  -Préservation des captages
-Conventions avec des Parcs Naturels Régionaux, Réserves Naturelles, ou des Conservatoires de Sites
-Tout autre engagement de respect d'un cahier des charges précis dans des objectifs environnementaux et/ou patrimoniaux</t>
  </si>
  <si>
    <t xml:space="preserve">PERTES ET GASPILLAGES</t>
  </si>
  <si>
    <t xml:space="preserve">B4</t>
  </si>
  <si>
    <t xml:space="preserve">Actions pour limiter les pertes et le gaspillage :</t>
  </si>
  <si>
    <t xml:space="preserve">Participation à un programme de prévention, de formation contre gaspillage</t>
  </si>
  <si>
    <t xml:space="preserve">Présence d'une capacité de stockage adaptée et de qualité sur l'exploitation</t>
  </si>
  <si>
    <r>
      <rPr>
        <sz val="10"/>
        <color rgb="FF333333"/>
        <rFont val="Calibri"/>
        <family val="2"/>
        <charset val="1"/>
      </rPr>
      <t xml:space="preserve">Développement d'action sociale pour limiter les pertes de produits restés au champ (toutes formes de glanage associatif ou d’ateliers</t>
    </r>
    <r>
      <rPr>
        <sz val="10"/>
        <color rgb="FF0000FF"/>
        <rFont val="Calibri"/>
        <family val="2"/>
        <charset val="1"/>
      </rPr>
      <t xml:space="preserve"> </t>
    </r>
    <r>
      <rPr>
        <sz val="10"/>
        <color rgb="FF000000"/>
        <rFont val="Calibri"/>
        <family val="2"/>
        <charset val="1"/>
      </rPr>
      <t xml:space="preserve">cueillette à la ferme</t>
    </r>
    <r>
      <rPr>
        <sz val="10"/>
        <color rgb="FF333333"/>
        <rFont val="Calibri"/>
        <family val="2"/>
        <charset val="1"/>
      </rPr>
      <t xml:space="preserve">)</t>
    </r>
  </si>
  <si>
    <t xml:space="preserve">Dons à des associations d’aide alimentaire</t>
  </si>
  <si>
    <t xml:space="preserve">Dons ou trocs/échanges des produits autres qu'aux associations</t>
  </si>
  <si>
    <t xml:space="preserve">Valorisation alimentaire des produits non conformes aux standards des distributeurs ou des transformateurs, ou commercialisation sans marché rémunérateur, ou adhésion à des groupements de producteurs ou de coopératives valorisant ces types de produits </t>
  </si>
  <si>
    <t xml:space="preserve">Transformation et valorisation à destination alimentaire de tout produit qui aurait été écarté, y compris co- et sous-produits (sous toutes leurs formes)</t>
  </si>
  <si>
    <t xml:space="preserve">Autres</t>
  </si>
  <si>
    <t xml:space="preserve">GESTION DES DECHETS</t>
  </si>
  <si>
    <t xml:space="preserve">Présence</t>
  </si>
  <si>
    <t xml:space="preserve">Pratiques</t>
  </si>
  <si>
    <t xml:space="preserve">B12</t>
  </si>
  <si>
    <t xml:space="preserve">Oui / Non</t>
  </si>
  <si>
    <t xml:space="preserve">Tri, recyclage, autre</t>
  </si>
  <si>
    <t xml:space="preserve">Types de déchets</t>
  </si>
  <si>
    <t xml:space="preserve">Déchets dangereux</t>
  </si>
  <si>
    <t xml:space="preserve">Batteries, huiles usagées, déchets amiantés</t>
  </si>
  <si>
    <t xml:space="preserve">Produits phytosanitaires, médicaments et  déchets de soins à risques infectieux DASRI (gants, compresses, seringues…), produits lessiviels et leurs emballages</t>
  </si>
  <si>
    <t xml:space="preserve">Autres (ampoules, tubes néons, ampoules infrarouges, à vapeur de sodium…)</t>
  </si>
  <si>
    <t xml:space="preserve">Déchets volumineux </t>
  </si>
  <si>
    <t xml:space="preserve">Déchets plastiques et pneumatiques</t>
  </si>
  <si>
    <t xml:space="preserve">Pratiques à risques dans la gestion des déchets</t>
  </si>
  <si>
    <t xml:space="preserve">Brûlage, dépôt sauvage, enfouissement, abandon</t>
  </si>
  <si>
    <t xml:space="preserve">Valorisation de boues de station et/ou autres déchets urbains transformés :</t>
  </si>
  <si>
    <t xml:space="preserve">Autres utilisation de sous produit issu de la collectivité</t>
  </si>
  <si>
    <t xml:space="preserve">SERVICES RENDUS AU TERRITOIRE</t>
  </si>
  <si>
    <t xml:space="preserve">B7</t>
  </si>
  <si>
    <t xml:space="preserve">Services marchands (rétribué):</t>
  </si>
  <si>
    <t xml:space="preserve">Agrotourisme :</t>
  </si>
  <si>
    <t xml:space="preserve">Ferme pédagogique :</t>
  </si>
  <si>
    <t xml:space="preserve">Services marchands rendus au territoire :</t>
  </si>
  <si>
    <t xml:space="preserve">B11</t>
  </si>
  <si>
    <t xml:space="preserve">Accessibilité de l'espace</t>
  </si>
  <si>
    <t xml:space="preserve">En zone rurale :</t>
  </si>
  <si>
    <t xml:space="preserve">(libre accès des chemins aux randonnneurs, VTT, chevaux, parapentes,…)</t>
  </si>
  <si>
    <t xml:space="preserve">En zone urbaine : </t>
  </si>
  <si>
    <t xml:space="preserve">(libre accès des chemins privatifs)</t>
  </si>
  <si>
    <t xml:space="preserve">Entretien des chemins de randonnée ou de voirie d'accès : </t>
  </si>
  <si>
    <t xml:space="preserve">PATRIMOINE</t>
  </si>
  <si>
    <r>
      <rPr>
        <b val="true"/>
        <sz val="10"/>
        <color rgb="FF000000"/>
        <rFont val="Calibri"/>
        <family val="2"/>
        <charset val="1"/>
      </rPr>
      <t xml:space="preserve">Qualité du patrimoine bâti</t>
    </r>
    <r>
      <rPr>
        <b val="true"/>
        <sz val="8"/>
        <color rgb="FF000000"/>
        <rFont val="Calibri"/>
        <family val="2"/>
        <charset val="1"/>
      </rPr>
      <t xml:space="preserve"> </t>
    </r>
    <r>
      <rPr>
        <sz val="8"/>
        <color rgb="FF000000"/>
        <rFont val="Calibri"/>
        <family val="2"/>
        <charset val="1"/>
      </rPr>
      <t xml:space="preserve">(y compris habitation si présente sur la ferme): </t>
    </r>
  </si>
  <si>
    <t xml:space="preserve">Entretien ou restauration du bâti ancien :</t>
  </si>
  <si>
    <t xml:space="preserve">Qualité et typicité architecturale et intégration paysagère</t>
  </si>
  <si>
    <t xml:space="preserve">Qualité paysagère :</t>
  </si>
  <si>
    <t xml:space="preserve">Aménagement paysager des surfaces de l’exploitation</t>
  </si>
  <si>
    <t xml:space="preserve">Mise en œuvre d’actions visant à valoriser le paysage</t>
  </si>
  <si>
    <t xml:space="preserve">(concours fermes fleuries, jachères fleuries, engagement chartes paysagères locales)</t>
  </si>
  <si>
    <t xml:space="preserve">Contribution par les pratiques à l’entretien du paysage culturel :</t>
  </si>
  <si>
    <t xml:space="preserve">Bonne qualité des abords du siège d’exploitation :</t>
  </si>
  <si>
    <t xml:space="preserve">Contribution au maintien de savoirs locaux productifs ou culturels reconnus :</t>
  </si>
  <si>
    <t xml:space="preserve">Détail</t>
  </si>
  <si>
    <t xml:space="preserve">B5</t>
  </si>
  <si>
    <t xml:space="preserve">Liens sociaux, hédoniques et culturels à l'alimentation</t>
  </si>
  <si>
    <t xml:space="preserve">Démarches favorisant le lien ou l'entre-aide entre le consommateur et le produceur :</t>
  </si>
  <si>
    <t xml:space="preserve">Ouverture de l'exploitation aux consommateurs pour vente ou visite, contractualisation entre consommateurs et producteur (ex: AMAP), participation à des journées sur la découverte des produits alimentaires, tables d'hôtes, restauration à la ferme, commerce equitable…</t>
  </si>
  <si>
    <t xml:space="preserve">Démarches favorisant l'apprentissage ou la culture autour de l'aliment :</t>
  </si>
  <si>
    <t xml:space="preserve">Ferme pédagogique avec ateliers de transformation et de cuisine sur la ferme, communication par le prodcuteur de recettes de cuisine à partir de ses produits, contribution à des réseaux ou projet alimentaire territoriaux</t>
  </si>
  <si>
    <t xml:space="preserve">Production significative de variétés d'aliments à forte valeur patrimoniale locale ou peu représentées en commercialisation courante :</t>
  </si>
  <si>
    <t xml:space="preserve">CONNAISSANCE ET FORMATION</t>
  </si>
  <si>
    <t xml:space="preserve">Participation à des réseaux de connaissance :</t>
  </si>
  <si>
    <t xml:space="preserve">Travail ou participation à des réseaux d'essai, de connaissance, de gestion, collectifs d'apprentissage ou de conception de pratiques environnementales innovantes        </t>
  </si>
  <si>
    <t xml:space="preserve">Lesquels ?</t>
  </si>
  <si>
    <t xml:space="preserve">B18</t>
  </si>
  <si>
    <t xml:space="preserve">Participation à des formations continues : nombre de jours par an et par UTH</t>
  </si>
  <si>
    <t xml:space="preserve">Accueil de groupes de professionnels ou d'étudiants : nombre de groupes accueillis</t>
  </si>
  <si>
    <t xml:space="preserve">TRAVAIL ET EMPLOI</t>
  </si>
  <si>
    <t xml:space="preserve">Accueil de stagiaire (1 mois minimum) ou apprenti au cours des deux dernières années :</t>
  </si>
  <si>
    <t xml:space="preserve">B14</t>
  </si>
  <si>
    <t xml:space="preserve">Plus de 50% de la main d’œuvre saisonnière réside de façon permanente sur le territoire :</t>
  </si>
  <si>
    <t xml:space="preserve">Territoire = dans un rayon de 80 km</t>
  </si>
  <si>
    <t xml:space="preserve">Recours à la mutualisation du travail :</t>
  </si>
  <si>
    <t xml:space="preserve">Entraide (&gt;10j/an) :</t>
  </si>
  <si>
    <t xml:space="preserve">Banque de travail :</t>
  </si>
  <si>
    <t xml:space="preserve">Appartenance à un groupement d'employeur :</t>
  </si>
  <si>
    <t xml:space="preserve">CUMA service complet (=/ CUMA intégrale) :</t>
  </si>
  <si>
    <t xml:space="preserve">Création d’un emploi sur l’exploitation dans les 5 dernières années : </t>
  </si>
  <si>
    <t xml:space="preserve">Création d’un emploi dans un réseau de proximité (groupement d’employeur, etc.) dans les 5 dernières années : </t>
  </si>
  <si>
    <t xml:space="preserve">Emploi équivalent à 1 UTH annuel</t>
  </si>
  <si>
    <t xml:space="preserve">Qualité au travail</t>
  </si>
  <si>
    <t xml:space="preserve">Qualité au travail des salariés :</t>
  </si>
  <si>
    <t xml:space="preserve">Présence d'un accident du travail ou maladie professionnelle parmi les salariés au cours de l'année précédente :</t>
  </si>
  <si>
    <t xml:space="preserve">Autonomie et responsabilité dans les missions confiées aux salariés :</t>
  </si>
  <si>
    <t xml:space="preserve">Nature des tâches confiées au(x) salarié(s)</t>
  </si>
  <si>
    <t xml:space="preserve">variée</t>
  </si>
  <si>
    <t xml:space="preserve">répétitives</t>
  </si>
  <si>
    <t xml:space="preserve">B16</t>
  </si>
  <si>
    <t xml:space="preserve">Qualité au travail de(s) exploitant(e.s)</t>
  </si>
  <si>
    <t xml:space="preserve">Plaisir et satisfaction au travail de 0 à 4 :</t>
  </si>
  <si>
    <t xml:space="preserve">Pénibilité du travail de 0 (aucune) à -4 (très pénible)</t>
  </si>
  <si>
    <t xml:space="preserve">Nb de semaines par an où l'agriculteur se sent surchargé</t>
  </si>
  <si>
    <t xml:space="preserve">L'exploitant estime-il nécessaire de prendre des congés ?</t>
  </si>
  <si>
    <t xml:space="preserve">L'exploitant prend-t-il des congés?</t>
  </si>
  <si>
    <t xml:space="preserve">ACCUEIL ET SECURITE</t>
  </si>
  <si>
    <t xml:space="preserve">B17</t>
  </si>
  <si>
    <t xml:space="preserve">Auto-évaluation de la qualité d'accueil et d'hébergement de la main-d'œuvre temporaire/stagiaires entre 0 et 2</t>
  </si>
  <si>
    <t xml:space="preserve">Contrôle des installations par un organisme certifié :</t>
  </si>
  <si>
    <t xml:space="preserve">Protection des cardans, des fosses à lisier, éléctricité aux normes…</t>
  </si>
  <si>
    <t xml:space="preserve">Local de stockage des pesticides conforme aux préconisations réglementaires :</t>
  </si>
  <si>
    <t xml:space="preserve">Pratiques exposants les individus aux produits phytosanitaires</t>
  </si>
  <si>
    <t xml:space="preserve">Fumigation, brumisation, traitement manuel, non respect des délais de réentrée à la parcelle</t>
  </si>
  <si>
    <t xml:space="preserve">Aucun produit phytosanitaire utilisé (hors produits de bio-contrôle) :</t>
  </si>
  <si>
    <t xml:space="preserve">IMPLICATON SOCIAL TERRITORIALE ET SOLIDAIRE</t>
  </si>
  <si>
    <t xml:space="preserve">B19</t>
  </si>
  <si>
    <t xml:space="preserve">Implication dans des structures professionnelles agricoles</t>
  </si>
  <si>
    <t xml:space="preserve">Responsabilités dans une de ces structures :</t>
  </si>
  <si>
    <t xml:space="preserve">Implication dans des structures non agricoles (associatives et/ou électives) hors champ professionnel dans le territoire</t>
  </si>
  <si>
    <r>
      <rPr>
        <sz val="11"/>
        <color rgb="FF000000"/>
        <rFont val="Calibri"/>
        <family val="2"/>
        <charset val="1"/>
      </rPr>
      <t xml:space="preserve">Travail</t>
    </r>
    <r>
      <rPr>
        <sz val="11"/>
        <color rgb="FF333333"/>
        <rFont val="Calibri"/>
        <family val="2"/>
        <charset val="1"/>
      </rPr>
      <t xml:space="preserve"> avec des structures relevant du champ de l'économie sociale et solidaire et pratiques d’insertion et/ou d’expérimentation sociale : </t>
    </r>
  </si>
  <si>
    <t xml:space="preserve">Implication de citoyens dans les travaux ou la vie de l'exploitation :</t>
  </si>
  <si>
    <t xml:space="preserve">Si non, raisons? (impossibilité réglementaire, difficultés familiales…)
Si oui, comment?</t>
  </si>
  <si>
    <t xml:space="preserve">Accueil bénévole de public :</t>
  </si>
  <si>
    <t xml:space="preserve">DEMARCHE DE TRANSPARENCE</t>
  </si>
  <si>
    <t xml:space="preserve">B20</t>
  </si>
  <si>
    <t xml:space="preserve">Communication de l'agriculteur sur ses pratiques :</t>
  </si>
  <si>
    <t xml:space="preserve">A partir de démarches certifiées (ou non) individuelles ou collectives</t>
  </si>
  <si>
    <t xml:space="preserve">Lesquelles?</t>
  </si>
  <si>
    <t xml:space="preserve">Adhésion à un système participatif de garantie :</t>
  </si>
  <si>
    <t xml:space="preserve">Ex: Nature et Progrès</t>
  </si>
  <si>
    <t xml:space="preserve">Le(s)quel(s)?</t>
  </si>
  <si>
    <t xml:space="preserve">QUALITE DE VIE ET ISOLEMENT</t>
  </si>
  <si>
    <t xml:space="preserve">B21</t>
  </si>
  <si>
    <t xml:space="preserve">Auto-Estimation de la qualité de vie sur une echelle de 0 à 6 :</t>
  </si>
  <si>
    <t xml:space="preserve">0 = très mauvaise qualité de vie ; 6 = très bonne qualité de vie</t>
  </si>
  <si>
    <t xml:space="preserve">B22</t>
  </si>
  <si>
    <r>
      <rPr>
        <sz val="11"/>
        <color rgb="FF000000"/>
        <rFont val="Calibri"/>
        <family val="2"/>
        <charset val="1"/>
      </rPr>
      <t xml:space="preserve">Auto-estimation de</t>
    </r>
    <r>
      <rPr>
        <b val="true"/>
        <sz val="11"/>
        <color rgb="FFFF8080"/>
        <rFont val="Calibri"/>
        <family val="2"/>
        <charset val="1"/>
      </rPr>
      <t xml:space="preserve"> 0 à 3</t>
    </r>
    <r>
      <rPr>
        <b val="true"/>
        <i val="true"/>
        <sz val="11"/>
        <color rgb="FFFF8080"/>
        <rFont val="Calibri"/>
        <family val="2"/>
        <charset val="1"/>
      </rPr>
      <t xml:space="preserve"> </t>
    </r>
    <r>
      <rPr>
        <b val="true"/>
        <sz val="11"/>
        <color rgb="FF000000"/>
        <rFont val="Calibri"/>
        <family val="2"/>
        <charset val="1"/>
      </rPr>
      <t xml:space="preserve">du</t>
    </r>
    <r>
      <rPr>
        <b val="true"/>
        <i val="true"/>
        <sz val="11"/>
        <color rgb="FF000000"/>
        <rFont val="Calibri"/>
        <family val="2"/>
        <charset val="1"/>
      </rPr>
      <t xml:space="preserve"> </t>
    </r>
    <r>
      <rPr>
        <b val="true"/>
        <sz val="11"/>
        <color rgb="FF000000"/>
        <rFont val="Calibri"/>
        <family val="2"/>
        <charset val="1"/>
      </rPr>
      <t xml:space="preserve">sentiment d'isolement géographique, social, culturel, accès aux services publics :</t>
    </r>
  </si>
  <si>
    <r>
      <rPr>
        <sz val="11"/>
        <color rgb="FF000000"/>
        <rFont val="Calibri"/>
        <family val="2"/>
        <charset val="1"/>
      </rPr>
      <t xml:space="preserve">Auto-estimation de</t>
    </r>
    <r>
      <rPr>
        <b val="true"/>
        <sz val="11"/>
        <color rgb="FFFF8080"/>
        <rFont val="Calibri"/>
        <family val="2"/>
        <charset val="1"/>
      </rPr>
      <t xml:space="preserve"> 0 à 3</t>
    </r>
    <r>
      <rPr>
        <b val="true"/>
        <i val="true"/>
        <sz val="11"/>
        <color rgb="FFFF8080"/>
        <rFont val="Calibri"/>
        <family val="2"/>
        <charset val="1"/>
      </rPr>
      <t xml:space="preserve"> </t>
    </r>
    <r>
      <rPr>
        <b val="true"/>
        <sz val="11"/>
        <color rgb="FF000000"/>
        <rFont val="Calibri"/>
        <family val="2"/>
        <charset val="1"/>
      </rPr>
      <t xml:space="preserve">de la qualité d'accès aux services productifs de l'exploitation :</t>
    </r>
  </si>
  <si>
    <t xml:space="preserve">Ex: voirie, déneigement, électricité, réseau téléphonique, internet…</t>
  </si>
  <si>
    <t xml:space="preserve">VI - Aspects économiques</t>
  </si>
  <si>
    <t xml:space="preserve">COLLECTE DES DONNEE COMPTABLES</t>
  </si>
  <si>
    <t xml:space="preserve">Compte de résultat: Charges</t>
  </si>
  <si>
    <t xml:space="preserve">Variables</t>
  </si>
  <si>
    <t xml:space="preserve">Valeur (en euros)</t>
  </si>
  <si>
    <t xml:space="preserve">N-1</t>
  </si>
  <si>
    <t xml:space="preserve">N-2</t>
  </si>
  <si>
    <t xml:space="preserve">Charges d'approvisionnement</t>
  </si>
  <si>
    <t xml:space="preserve">C10 / C11</t>
  </si>
  <si>
    <t xml:space="preserve">Comprend les semences, engrais, amendements, produits phytosanitaires, produits vétérinaires, aliments achetés et autres fournitures stockées</t>
  </si>
  <si>
    <t xml:space="preserve">Charges de travaux par tiers et services pour les cultures et l'elevage</t>
  </si>
  <si>
    <t xml:space="preserve">C10</t>
  </si>
  <si>
    <t xml:space="preserve">Comprend les charges d'entreprises de travaux agricoles (ETA) ainsi que les frais vétérinaires et d'insémination</t>
  </si>
  <si>
    <t xml:space="preserve">Charges énergétiques et eau</t>
  </si>
  <si>
    <t xml:space="preserve">Comprend les carburants, lubrifiants, combustibles, gaz, électricité ainsi que l'eau du réseau et l'eau d'irrigation</t>
  </si>
  <si>
    <t xml:space="preserve">Charges de matériel et batiment</t>
  </si>
  <si>
    <t xml:space="preserve">Comprend les frais d'entretien des batiments et du matériel (notamment garagiste), les charges de petit matériel ainsi que les locations de matériel et de cheptel.
Attention, ne comprend pas les fermages et autres locations de terres</t>
  </si>
  <si>
    <t xml:space="preserve">Charges d'achat du cheptel</t>
  </si>
  <si>
    <t xml:space="preserve">C11</t>
  </si>
  <si>
    <t xml:space="preserve">Comprend uniquement l'achat d'animaux (non reproducteurs) pour les cycles de production courts
Les locations de cheptels sont a renseigner dans les charges de matériel. Les frais vétérinaires sont à renseigner dans les charges de services pour l'élevage</t>
  </si>
  <si>
    <t xml:space="preserve">Charges de transformation et de commercialisation </t>
  </si>
  <si>
    <t xml:space="preserve">Comprend l'achat de matériel spécifique à la transformation et à la commercialisation</t>
  </si>
  <si>
    <t xml:space="preserve">Charges de transports, de gestion et de communication</t>
  </si>
  <si>
    <t xml:space="preserve">Comprend les frais de transports, les frais de gestions, de comptabilité, les assurances, les redevances de crédit-bail, les frais de poste, de téléphonie et d'internet</t>
  </si>
  <si>
    <t xml:space="preserve">Dotation aux amortissements </t>
  </si>
  <si>
    <t xml:space="preserve">C1</t>
  </si>
  <si>
    <t xml:space="preserve">Souvent dans la catégorie charges financières</t>
  </si>
  <si>
    <t xml:space="preserve">Compte de résultat: Produits</t>
  </si>
  <si>
    <t xml:space="preserve">Chiffre d'affaires</t>
  </si>
  <si>
    <t xml:space="preserve">C4 / C10</t>
  </si>
  <si>
    <t xml:space="preserve">Total de toutes les ventes de l'exploitation  = tous les comptes 70
Y compris les produits des activités annexes (travaux à façon, produits résiduels, pension d’animaux, terres louées prêtes à semer, autres locations, agritourisme, …)</t>
  </si>
  <si>
    <t xml:space="preserve">Variation de stock</t>
  </si>
  <si>
    <t xml:space="preserve">Production autoconsommée ou immobilisée</t>
  </si>
  <si>
    <t xml:space="preserve">Ventes issues des actions d'achat revente</t>
  </si>
  <si>
    <t xml:space="preserve">Total des comptes 707</t>
  </si>
  <si>
    <t xml:space="preserve">Subvention PAC du 1er pilier ( DPB + paiement vert +aides couplées)</t>
  </si>
  <si>
    <t xml:space="preserve">C6</t>
  </si>
  <si>
    <t xml:space="preserve">Aides non prises en compte : ICHN, MAEC, MAB et conversion bio, DJA, Aides des collectivités locales, Aides à l’investissement</t>
  </si>
  <si>
    <t xml:space="preserve">EBE retenu IDEA</t>
  </si>
  <si>
    <t xml:space="preserve">C1 / C2 
C6 / C8</t>
  </si>
  <si>
    <t xml:space="preserve">*Calcul de l'EBE:  = valeur ajoutée + subventions d'exploitation - (charges de personnel et impôts et taxes) + rémunération des associés
Attention avec l'EBE fourni par le doc comptable: réintégrer dans l'EBE la rémunération des associés (compte 6412 ou 6413) et soustraire de l'EBE les charges sociales des associées (à demander à l'agriculteur) si elle n'ont pas été prise en compte dans son calcul (notamment dans le cas des sociétés avec plusieurs associés)</t>
  </si>
  <si>
    <t xml:space="preserve">Résultat courant</t>
  </si>
  <si>
    <t xml:space="preserve">Emprunts</t>
  </si>
  <si>
    <r>
      <rPr>
        <b val="true"/>
        <sz val="11"/>
        <rFont val="Calibri"/>
        <family val="2"/>
        <charset val="1"/>
      </rPr>
      <t xml:space="preserve">Emprunts Long et Moyen Terme (LMT)</t>
    </r>
    <r>
      <rPr>
        <b val="true"/>
        <sz val="10"/>
        <rFont val="Calibri"/>
        <family val="2"/>
        <charset val="1"/>
      </rPr>
      <t xml:space="preserve"> (capital total restant du) </t>
    </r>
  </si>
  <si>
    <t xml:space="preserve">C3</t>
  </si>
  <si>
    <t xml:space="preserve">Solde des comptes 16 hors comptes 1643 qui correspondent aux emprunts à court-terme et comptes 1688 qui correspondent aux interets courus
Attention: Si les comptes d’associés sont importants, il convient de les diviser en deux blocs:
• une 1ère part qui est laissée en dettes CT (prendre le montant moyen des prélèvements annuels des associés sur les 3 dernières),
• une 2nd part correspond au reste de la valeur du compte associé que l’on considère alors comme des dettes LMT.
On a alors Emprunts LMT = dettes LMT + montant du compte associé - montant moyen des prélèvements annuels des associés sur les 3 dernières années.
</t>
  </si>
  <si>
    <r>
      <rPr>
        <b val="true"/>
        <sz val="11"/>
        <rFont val="Calibri"/>
        <family val="2"/>
        <charset val="1"/>
      </rPr>
      <t xml:space="preserve">Annuités LMT </t>
    </r>
    <r>
      <rPr>
        <b val="true"/>
        <sz val="9"/>
        <rFont val="Calibri"/>
        <family val="2"/>
        <charset val="1"/>
      </rPr>
      <t xml:space="preserve">(capital remboursé + intérêt des emprunts LMT) </t>
    </r>
    <r>
      <rPr>
        <b val="true"/>
        <sz val="11"/>
        <rFont val="Calibri"/>
        <family val="2"/>
        <charset val="1"/>
      </rPr>
      <t xml:space="preserve"> </t>
    </r>
  </si>
  <si>
    <t xml:space="preserve">C1 / C2</t>
  </si>
  <si>
    <t xml:space="preserve">Pour la partie capital : dans les débits des comptes 16, notamment 164  (attention : ne pas prendre en compte les montants du compte 1643 des emprunts CT )
Pour la partie intérêt : soit dans les comptes 66 (intérêt d'emprunt LMT 6612), soit dans le débit des comptes 168842</t>
  </si>
  <si>
    <t xml:space="preserve">Frais financiers des emprunts Court Terme (CT)</t>
  </si>
  <si>
    <t xml:space="preserve">C2</t>
  </si>
  <si>
    <t xml:space="preserve">Bilan</t>
  </si>
  <si>
    <t xml:space="preserve">Actif net hors foncier</t>
  </si>
  <si>
    <t xml:space="preserve">C8</t>
  </si>
  <si>
    <t xml:space="preserve">actif net total (en bas de l'actif) - valeur des terres (dans la catégorie immo. corporelles de l'actif)</t>
  </si>
  <si>
    <t xml:space="preserve">Capitaux propres</t>
  </si>
  <si>
    <t xml:space="preserve">Provisions pour risques et charges </t>
  </si>
  <si>
    <t xml:space="preserve">REVENUS</t>
  </si>
  <si>
    <t xml:space="preserve">Estimez-vous que votre exploitation dégage un revenu suffisant sur une échelle de 0 à 5 ? </t>
  </si>
  <si>
    <t xml:space="preserve">C7</t>
  </si>
  <si>
    <t xml:space="preserve">Existence d'un revenu significatif extérieur ou issu de la pluriactivité de l'agriculteur </t>
  </si>
  <si>
    <t xml:space="preserve">y compris revenu du conjoit/ de la conjointe</t>
  </si>
  <si>
    <t xml:space="preserve">PERENNITE</t>
  </si>
  <si>
    <t xml:space="preserve">C9</t>
  </si>
  <si>
    <t xml:space="preserve">Vision de l'exploitant sur l'existence de l'exploitation dans 10 ans ?</t>
  </si>
  <si>
    <t xml:space="preserve">Existence quasi-certaine</t>
  </si>
  <si>
    <t xml:space="preserve">Existence probable</t>
  </si>
  <si>
    <t xml:space="preserve">Existence souhaitée si possible</t>
  </si>
  <si>
    <t xml:space="preserve">Disparition probable </t>
  </si>
  <si>
    <t xml:space="preserve">Foncier sécurisé :</t>
  </si>
  <si>
    <t xml:space="preserve">Propriété ou présence de baux à long terme.</t>
  </si>
  <si>
    <t xml:space="preserve">Existence d'un projet de développement, d'aménagement ou d'extension</t>
  </si>
  <si>
    <t xml:space="preserve">Lequel?</t>
  </si>
  <si>
    <t xml:space="preserve">Qualité de la structure du parcellaire :</t>
  </si>
  <si>
    <t xml:space="preserve">Difficile</t>
  </si>
  <si>
    <t xml:space="preserve">Eloignement du parcellaire par rapport à l'exploitation</t>
  </si>
  <si>
    <t xml:space="preserve">Normale</t>
  </si>
  <si>
    <t xml:space="preserve">Atomisation et discontinuité du parcellaire (mitage)</t>
  </si>
  <si>
    <t xml:space="preserve">Bonne</t>
  </si>
  <si>
    <t xml:space="preserve">Forme et taille facilitant un travail mécanique (découpage)</t>
  </si>
  <si>
    <t xml:space="preserve">Habitation très éloignée des lieux de production (&gt;20km) </t>
  </si>
  <si>
    <t xml:space="preserve">COMMERCIALISATION</t>
  </si>
  <si>
    <t xml:space="preserve">Le CA comme le PB s'entendent hors subvention</t>
  </si>
  <si>
    <t xml:space="preserve">CA par produits</t>
  </si>
  <si>
    <t xml:space="preserve">Produit brut par atelier</t>
  </si>
  <si>
    <t xml:space="preserve">k€</t>
  </si>
  <si>
    <t xml:space="preserve">Atelier 1 : grandes cultures (hors cultures sous contrat)</t>
  </si>
  <si>
    <t xml:space="preserve">céréales à paille</t>
  </si>
  <si>
    <t xml:space="preserve">maïs - sorgho</t>
  </si>
  <si>
    <t xml:space="preserve">oléagineux</t>
  </si>
  <si>
    <t xml:space="preserve">protéagineux</t>
  </si>
  <si>
    <r>
      <rPr>
        <sz val="11"/>
        <color rgb="FF000000"/>
        <rFont val="Calibri"/>
        <family val="2"/>
        <charset val="1"/>
      </rPr>
      <t xml:space="preserve">Atelier 2 : cultures industrielles </t>
    </r>
    <r>
      <rPr>
        <sz val="8"/>
        <color rgb="FF000000"/>
        <rFont val="Calibri"/>
        <family val="2"/>
        <charset val="1"/>
      </rPr>
      <t xml:space="preserve">(dont plantes à fibres, semences, plantes aromatiques et médécinales et grandes cultures sous contrat)</t>
    </r>
  </si>
  <si>
    <t xml:space="preserve">Bettrave</t>
  </si>
  <si>
    <t xml:space="preserve">Pomme de terre (feculerie)</t>
  </si>
  <si>
    <t xml:space="preserve">autre culture</t>
  </si>
  <si>
    <t xml:space="preserve">Atelier 3 : cultures légumières +  cultures Horticulture ornementale</t>
  </si>
  <si>
    <t xml:space="preserve">culture 1</t>
  </si>
  <si>
    <t xml:space="preserve">culture 2</t>
  </si>
  <si>
    <t xml:space="preserve">culture 3</t>
  </si>
  <si>
    <t xml:space="preserve">Atelier  4 : arboriculture et/ou raisin de table</t>
  </si>
  <si>
    <t xml:space="preserve">arbo: espèce 1</t>
  </si>
  <si>
    <t xml:space="preserve">arbo: espèce 2</t>
  </si>
  <si>
    <t xml:space="preserve">arbo: espèce 3</t>
  </si>
  <si>
    <t xml:space="preserve">Atelier  5 : viticulture et vinification</t>
  </si>
  <si>
    <t xml:space="preserve">raisin de table</t>
  </si>
  <si>
    <t xml:space="preserve">Vin rouge</t>
  </si>
  <si>
    <t xml:space="preserve">Vin rosé</t>
  </si>
  <si>
    <t xml:space="preserve">Vin blanc</t>
  </si>
  <si>
    <t xml:space="preserve">Vin liquoreux</t>
  </si>
  <si>
    <t xml:space="preserve">Vin doux naturel</t>
  </si>
  <si>
    <t xml:space="preserve">Vin effervescent</t>
  </si>
  <si>
    <t xml:space="preserve">eaux de vie</t>
  </si>
  <si>
    <t xml:space="preserve">Atelier  6: bovin lait </t>
  </si>
  <si>
    <t xml:space="preserve">ventes d'animaux vifs</t>
  </si>
  <si>
    <t xml:space="preserve">lait</t>
  </si>
  <si>
    <t xml:space="preserve">produits laitiers</t>
  </si>
  <si>
    <t xml:space="preserve">Atelier  7: bovin viande</t>
  </si>
  <si>
    <t xml:space="preserve">viande transformée</t>
  </si>
  <si>
    <t xml:space="preserve">Atelier  8 : ovin lait viande</t>
  </si>
  <si>
    <t xml:space="preserve">vente d'animaux vifs</t>
  </si>
  <si>
    <t xml:space="preserve">Atelier  9 :caprin lait et viande </t>
  </si>
  <si>
    <t xml:space="preserve">Atelier 10 : porc </t>
  </si>
  <si>
    <t xml:space="preserve">Atelier 11 : volaille</t>
  </si>
  <si>
    <t xml:space="preserve">œufs</t>
  </si>
  <si>
    <t xml:space="preserve">Atelier 12: services, transformation et agritourisme</t>
  </si>
  <si>
    <t xml:space="preserve">transformation</t>
  </si>
  <si>
    <t xml:space="preserve">agritourisme</t>
  </si>
  <si>
    <t xml:space="preserve">Atelier 13 Autres typres de production (dont électricité, gaz naturel, …)</t>
  </si>
  <si>
    <t xml:space="preserve">production 1</t>
  </si>
  <si>
    <t xml:space="preserve">production 2</t>
  </si>
  <si>
    <t xml:space="preserve">C5</t>
  </si>
  <si>
    <t xml:space="preserve">% du CA représenté par le principal client :</t>
  </si>
  <si>
    <t xml:space="preserve">Nom du principal client :</t>
  </si>
  <si>
    <t xml:space="preserve">Qualité de la relation contractuelle pour la production principale :</t>
  </si>
  <si>
    <t xml:space="preserve">absence de contrat</t>
  </si>
  <si>
    <t xml:space="preserve">adhésion coop</t>
  </si>
  <si>
    <t xml:space="preserve">Détails, remarques sur les contrats :</t>
  </si>
  <si>
    <t xml:space="preserve">contrat longue durée</t>
  </si>
  <si>
    <t xml:space="preserve">contrat solidaire</t>
  </si>
  <si>
    <t xml:space="preserve">Atelier principal en intégration</t>
  </si>
  <si>
    <t xml:space="preserve">B8</t>
  </si>
  <si>
    <t xml:space="preserve">Valeur des ventes en vente directe ou circuit court :</t>
  </si>
  <si>
    <t xml:space="preserve">Vente de proximité (rayon de 80 km maximum) :</t>
  </si>
  <si>
    <t xml:space="preserve">- de façon collective :</t>
  </si>
  <si>
    <t xml:space="preserve">- de façon individuelle :</t>
  </si>
  <si>
    <t xml:space="preserve">Démarche de contractualisation avec des cantines locales / restauration locale / marchés publics locaux :</t>
  </si>
  <si>
    <t xml:space="preserve">I - Données générales et inventaires de l'exploitation</t>
  </si>
  <si>
    <t xml:space="preserve">Caractéristique d'enquête</t>
  </si>
  <si>
    <t xml:space="preserve">pg 1</t>
  </si>
  <si>
    <t xml:space="preserve">ID. EXPLOITATION </t>
  </si>
  <si>
    <t xml:space="preserve">(Code à 6 chiffres ne commencant pas par 0)</t>
  </si>
  <si>
    <t xml:space="preserve">Date d'enquête :</t>
  </si>
  <si>
    <t xml:space="preserve">Année d'enquête :</t>
  </si>
  <si>
    <t xml:space="preserve">(par défaut dernière année comptable renseignée)</t>
  </si>
  <si>
    <t xml:space="preserve">1.1 L'exploitation agricole</t>
  </si>
  <si>
    <t xml:space="preserve">DAUJAN Sébastien</t>
  </si>
  <si>
    <t xml:space="preserve">Département du siège :</t>
  </si>
  <si>
    <t xml:space="preserve">32 - Gers</t>
  </si>
  <si>
    <t xml:space="preserve">Téléphone :</t>
  </si>
  <si>
    <t xml:space="preserve">06 84 30 96 98</t>
  </si>
  <si>
    <t xml:space="preserve">Type d'exploitation :</t>
  </si>
  <si>
    <t xml:space="preserve">6184 - Polyculture et/ou polyélevage (et apiculture)</t>
  </si>
  <si>
    <t xml:space="preserve">Individuel</t>
  </si>
  <si>
    <t xml:space="preserve">Présence et type d'élevage :</t>
  </si>
  <si>
    <t xml:space="preserve">1 - monogastrique</t>
  </si>
  <si>
    <t xml:space="preserve">Présence d'un atelier hors sol :</t>
  </si>
  <si>
    <t xml:space="preserve">Usage de produits phyto.</t>
  </si>
  <si>
    <t xml:space="preserve">Certification AB</t>
  </si>
  <si>
    <t xml:space="preserve">Grandes cultures, cultures fourragères et industrielles</t>
  </si>
  <si>
    <t xml:space="preserve">Prairies temporaires</t>
  </si>
  <si>
    <r>
      <rPr>
        <b val="true"/>
        <i val="true"/>
        <sz val="11"/>
        <color rgb="FF000000"/>
        <rFont val="Times New Roman"/>
        <family val="1"/>
        <charset val="1"/>
      </rPr>
      <t xml:space="preserve">Surface Toujours en Herbe 
</t>
    </r>
    <r>
      <rPr>
        <b val="true"/>
        <i val="true"/>
        <sz val="10"/>
        <color rgb="FF000000"/>
        <rFont val="Times New Roman"/>
        <family val="1"/>
        <charset val="1"/>
      </rPr>
      <t xml:space="preserve">(prairies perm., alpages...)</t>
    </r>
  </si>
  <si>
    <t xml:space="preserve">Autres terres productives</t>
  </si>
  <si>
    <t xml:space="preserve">Lesquelles:</t>
  </si>
  <si>
    <t xml:space="preserve">Autres terres non-productives (chemins, batiments…)</t>
  </si>
  <si>
    <t xml:space="preserve">1.2 Le personnel de l'exploitation</t>
  </si>
  <si>
    <t xml:space="preserve">dont UTH non salariées (associés)  </t>
  </si>
  <si>
    <t xml:space="preserve">Age du chef d'exploitation :</t>
  </si>
  <si>
    <t xml:space="preserve">dont UTH salariées   </t>
  </si>
  <si>
    <t xml:space="preserve">dont UTH stagiaires et apprentis  </t>
  </si>
  <si>
    <t xml:space="preserve">1.3 Les animaux de l'exploitation</t>
  </si>
  <si>
    <t xml:space="preserve">1.3.1 Description du cheptel</t>
  </si>
  <si>
    <t xml:space="preserve">pg 2</t>
  </si>
  <si>
    <t xml:space="preserve">Nom des Races </t>
  </si>
  <si>
    <t xml:space="preserve">Catégories d'individus</t>
  </si>
  <si>
    <t xml:space="preserve">Nombre d'individus total</t>
  </si>
  <si>
    <t xml:space="preserve">Nombre d'individus:</t>
  </si>
  <si>
    <t xml:space="preserve">dont temps au pâturage (mois/an)</t>
  </si>
  <si>
    <t xml:space="preserve">Coefficient UGB</t>
  </si>
  <si>
    <t xml:space="preserve">Nombre d'UGB (équivalent)</t>
  </si>
  <si>
    <t xml:space="preserve">Races pures</t>
  </si>
  <si>
    <t xml:space="preserve">Croisée</t>
  </si>
  <si>
    <t xml:space="preserve">Bovin</t>
  </si>
  <si>
    <t xml:space="preserve">(mois/an)</t>
  </si>
  <si>
    <t xml:space="preserve">Réfèrence UGB</t>
  </si>
  <si>
    <t xml:space="preserve">Bovin laitier:</t>
  </si>
  <si>
    <t xml:space="preserve">taureaux</t>
  </si>
  <si>
    <t xml:space="preserve">veaux vendus</t>
  </si>
  <si>
    <t xml:space="preserve">Bovin alaitant:</t>
  </si>
  <si>
    <t xml:space="preserve">génisses 0-1 an</t>
  </si>
  <si>
    <t xml:space="preserve">génisses 1-2 ans</t>
  </si>
  <si>
    <t xml:space="preserve">génisses +2 ans</t>
  </si>
  <si>
    <t xml:space="preserve">males 0-1 an</t>
  </si>
  <si>
    <t xml:space="preserve">males 1-2 ans</t>
  </si>
  <si>
    <t xml:space="preserve">males +2 ans</t>
  </si>
  <si>
    <t xml:space="preserve">Ovins-Caprins :</t>
  </si>
  <si>
    <t xml:space="preserve">Brebis/chèvre mère -lait</t>
  </si>
  <si>
    <t xml:space="preserve">Brebis/chèvre mère - viande</t>
  </si>
  <si>
    <t xml:space="preserve">agnelles/chevrettes de souche</t>
  </si>
  <si>
    <t xml:space="preserve">béliers/boucs</t>
  </si>
  <si>
    <t xml:space="preserve">agneaux à l'engrais vendus</t>
  </si>
  <si>
    <t xml:space="preserve">Porcins :</t>
  </si>
  <si>
    <t xml:space="preserve">Volailles :</t>
  </si>
  <si>
    <t xml:space="preserve">dindes reproductrices fermières</t>
  </si>
  <si>
    <t xml:space="preserve">Equins</t>
  </si>
  <si>
    <t xml:space="preserve">Anes </t>
  </si>
  <si>
    <t xml:space="preserve">Autres espèces productives et touristiques (abeilles, …) :</t>
  </si>
  <si>
    <t xml:space="preserve">races</t>
  </si>
  <si>
    <t xml:space="preserve">espèce</t>
  </si>
  <si>
    <t xml:space="preserve">Nombre individus totaux</t>
  </si>
  <si>
    <t xml:space="preserve">Nombre individus croisés</t>
  </si>
  <si>
    <t xml:space="preserve">Totaux UGB:</t>
  </si>
  <si>
    <t xml:space="preserve">UGB Ruminants</t>
  </si>
  <si>
    <t xml:space="preserve">Nombre totales de mères</t>
  </si>
  <si>
    <t xml:space="preserve">Nombre de mères croisés</t>
  </si>
  <si>
    <t xml:space="preserve">UGB monogastrique</t>
  </si>
  <si>
    <t xml:space="preserve">1.3.2 Les produits animaux qui entrent et sortent de l'exploitation</t>
  </si>
  <si>
    <t xml:space="preserve">pg 3</t>
  </si>
  <si>
    <t xml:space="preserve">Lait vendu (y c. fromages)</t>
  </si>
  <si>
    <t xml:space="preserve">litres</t>
  </si>
  <si>
    <t xml:space="preserve">TP</t>
  </si>
  <si>
    <t xml:space="preserve">Entrée d'animaux</t>
  </si>
  <si>
    <t xml:space="preserve">Nb achetés</t>
  </si>
  <si>
    <t xml:space="preserve">Poids unitaire</t>
  </si>
  <si>
    <t xml:space="preserve">Poids total entré</t>
  </si>
  <si>
    <t xml:space="preserve">Origine </t>
  </si>
  <si>
    <t xml:space="preserve">Sortie d'animaux</t>
  </si>
  <si>
    <t xml:space="preserve">Nb sortis</t>
  </si>
  <si>
    <t xml:space="preserve">Poids total sorti</t>
  </si>
  <si>
    <t xml:space="preserve">tonne</t>
  </si>
  <si>
    <t xml:space="preserve">Bovins:</t>
  </si>
  <si>
    <t xml:space="preserve">Vache allaitante</t>
  </si>
  <si>
    <t xml:space="preserve">Génisse viande</t>
  </si>
  <si>
    <t xml:space="preserve">Taurillons, bœufs viande</t>
  </si>
  <si>
    <t xml:space="preserve">Veau viande</t>
  </si>
  <si>
    <t xml:space="preserve">Taureau</t>
  </si>
  <si>
    <t xml:space="preserve">Vache laitière</t>
  </si>
  <si>
    <t xml:space="preserve">Génisses laitières</t>
  </si>
  <si>
    <t xml:space="preserve">Veau laitier</t>
  </si>
  <si>
    <t xml:space="preserve">Ovins-caprins :</t>
  </si>
  <si>
    <t xml:space="preserve">Agneaux/chevreaux 1 mois</t>
  </si>
  <si>
    <t xml:space="preserve">Agneaux/chevreaux 3 mois</t>
  </si>
  <si>
    <t xml:space="preserve">brebis/chèvres</t>
  </si>
  <si>
    <t xml:space="preserve">agnelles/chevrettes</t>
  </si>
  <si>
    <t xml:space="preserve">Porcs :</t>
  </si>
  <si>
    <t xml:space="preserve">Verrat</t>
  </si>
  <si>
    <t xml:space="preserve">Porcs charcutiers</t>
  </si>
  <si>
    <t xml:space="preserve">Porcelets</t>
  </si>
  <si>
    <t xml:space="preserve">poussins</t>
  </si>
  <si>
    <t xml:space="preserve">Poulets</t>
  </si>
  <si>
    <t xml:space="preserve">dindonneaux</t>
  </si>
  <si>
    <t xml:space="preserve">Dindes</t>
  </si>
  <si>
    <t xml:space="preserve">canetons</t>
  </si>
  <si>
    <t xml:space="preserve">Canards</t>
  </si>
  <si>
    <t xml:space="preserve">poussins de pintades</t>
  </si>
  <si>
    <t xml:space="preserve">pintades</t>
  </si>
  <si>
    <t xml:space="preserve">Oies</t>
  </si>
  <si>
    <t xml:space="preserve">Locale</t>
  </si>
  <si>
    <t xml:space="preserve">Autres espèces:</t>
  </si>
  <si>
    <t xml:space="preserve">Chevaux / Jument</t>
  </si>
  <si>
    <t xml:space="preserve">Nombre d'animaux achetés localement</t>
  </si>
  <si>
    <t xml:space="preserve">bêtes</t>
  </si>
  <si>
    <t xml:space="preserve">1.3.3 Achats de concentrés et de fourrages pour le bétails</t>
  </si>
  <si>
    <t xml:space="preserve">pg 4</t>
  </si>
  <si>
    <t xml:space="preserve">Type d'aliments concentrés</t>
  </si>
  <si>
    <t xml:space="preserve">Quantité achetée </t>
  </si>
  <si>
    <t xml:space="preserve">Fourrages grossiers et litières</t>
  </si>
  <si>
    <t xml:space="preserve">Quantité achetée</t>
  </si>
  <si>
    <t xml:space="preserve">tonne produit brute</t>
  </si>
  <si>
    <t xml:space="preserve">t MS</t>
  </si>
  <si>
    <t xml:space="preserve">tourteaux de soja (TS)</t>
  </si>
  <si>
    <t xml:space="preserve">tourteau de colza</t>
  </si>
  <si>
    <t xml:space="preserve">céréales graines</t>
  </si>
  <si>
    <t xml:space="preserve">Farine de maïs</t>
  </si>
  <si>
    <t xml:space="preserve">total fourrages :</t>
  </si>
  <si>
    <t xml:space="preserve">achetés</t>
  </si>
  <si>
    <t xml:space="preserve">Origine des fourrages:</t>
  </si>
  <si>
    <t xml:space="preserve">fourrage d'origine locale</t>
  </si>
  <si>
    <t xml:space="preserve">fourrage achetés dans le cadre d'un projet territorial collectif :</t>
  </si>
  <si>
    <t xml:space="preserve">dont fourrage d'origine locale</t>
  </si>
  <si>
    <t xml:space="preserve">dont fourrage d'origine non-locale</t>
  </si>
  <si>
    <t xml:space="preserve">poudre de lait</t>
  </si>
  <si>
    <t xml:space="preserve">luzerne déshydratée (LD)</t>
  </si>
  <si>
    <t xml:space="preserve">Autre.1</t>
  </si>
  <si>
    <t xml:space="preserve">Autre.2</t>
  </si>
  <si>
    <t xml:space="preserve">Autre.3</t>
  </si>
  <si>
    <t xml:space="preserve">Autre.4</t>
  </si>
  <si>
    <t xml:space="preserve">Total concentrés</t>
  </si>
  <si>
    <t xml:space="preserve"> achetés</t>
  </si>
  <si>
    <t xml:space="preserve">Concentrés d'origine locale</t>
  </si>
  <si>
    <t xml:space="preserve">Concentrés achetés dans le cadre d'un projet territorial collectif :</t>
  </si>
  <si>
    <t xml:space="preserve">dont concentré d'origine locale</t>
  </si>
  <si>
    <t xml:space="preserve">dont concentré d'origine non-locale</t>
  </si>
  <si>
    <t xml:space="preserve">1.4. Les cultures de l'exploitation</t>
  </si>
  <si>
    <t xml:space="preserve">1.4.1 Les cultures fourragères (et litière) destinées aux animaux ou à la vente</t>
  </si>
  <si>
    <t xml:space="preserve">pg 6</t>
  </si>
  <si>
    <t xml:space="preserve">Production</t>
  </si>
  <si>
    <t xml:space="preserve">Entrée</t>
  </si>
  <si>
    <t xml:space="preserve">Sorties</t>
  </si>
  <si>
    <t xml:space="preserve">Variété (pures, population ou mélange variétal)</t>
  </si>
  <si>
    <t xml:space="preserve">Rendement</t>
  </si>
  <si>
    <t xml:space="preserve">Part de légumineuse</t>
  </si>
  <si>
    <t xml:space="preserve">Quantité de fourrage achetée</t>
  </si>
  <si>
    <t xml:space="preserve">Quantité de fourrage vendue</t>
  </si>
  <si>
    <t xml:space="preserve">Nombre de  Variétés (NB Var)</t>
  </si>
  <si>
    <t xml:space="preserve">t MS / ha</t>
  </si>
  <si>
    <t xml:space="preserve">%</t>
  </si>
  <si>
    <t xml:space="preserve">Fourrages annuels 
(durée &lt;= 18mois)</t>
  </si>
  <si>
    <t xml:space="preserve">RG en cult. principale</t>
  </si>
  <si>
    <t xml:space="preserve">Fourrage annuel en dérobé</t>
  </si>
  <si>
    <t xml:space="preserve">autre Fourrage dérobé</t>
  </si>
  <si>
    <t xml:space="preserve">Drèches fraiches</t>
  </si>
  <si>
    <t xml:space="preserve">Autre</t>
  </si>
  <si>
    <t xml:space="preserve">Pailles</t>
  </si>
  <si>
    <t xml:space="preserve">Qté achetée</t>
  </si>
  <si>
    <t xml:space="preserve">Fourrages pluriannuels
(de 2 à 5 ans)</t>
  </si>
  <si>
    <t xml:space="preserve">reference</t>
  </si>
  <si>
    <t xml:space="preserve">RG anglais et hybride</t>
  </si>
  <si>
    <t xml:space="preserve">Ens.herbe</t>
  </si>
  <si>
    <t xml:space="preserve">Dactyle</t>
  </si>
  <si>
    <t xml:space="preserve">Fétuque</t>
  </si>
  <si>
    <t xml:space="preserve">Autres graminées seules</t>
  </si>
  <si>
    <t xml:space="preserve">Foin  </t>
  </si>
  <si>
    <t xml:space="preserve">Autres graminées seules 2</t>
  </si>
  <si>
    <t xml:space="preserve">Légumineuses :</t>
  </si>
  <si>
    <t xml:space="preserve">Foin legum.</t>
  </si>
  <si>
    <t xml:space="preserve">Autres mélanges G+L</t>
  </si>
  <si>
    <t xml:space="preserve">Autres mélanges G+L 2</t>
  </si>
  <si>
    <t xml:space="preserve">Autres mélanges G+L 3</t>
  </si>
  <si>
    <t xml:space="preserve">Fourrages pérennes 
(durée &gt; 5 ans)</t>
  </si>
  <si>
    <t xml:space="preserve">Prairies Nat. (PN) 1</t>
  </si>
  <si>
    <t xml:space="preserve">PN 2</t>
  </si>
  <si>
    <t xml:space="preserve">PN 3</t>
  </si>
  <si>
    <t xml:space="preserve">PN 4</t>
  </si>
  <si>
    <t xml:space="preserve">Qté de fourrage produite</t>
  </si>
  <si>
    <t xml:space="preserve">Qté de fourrage vendue</t>
  </si>
  <si>
    <t xml:space="preserve">Qté de fourrage achetée</t>
  </si>
  <si>
    <t xml:space="preserve">Qté fourrage consommée</t>
  </si>
  <si>
    <t xml:space="preserve">1.4.2 Les cultures non fourragères destinées aux animaux ou à la vente</t>
  </si>
  <si>
    <t xml:space="preserve">pg 7</t>
  </si>
  <si>
    <t xml:space="preserve">Caractéristique de parcelle</t>
  </si>
  <si>
    <t xml:space="preserve">Rendement </t>
  </si>
  <si>
    <t xml:space="preserve">Quantité produite </t>
  </si>
  <si>
    <t xml:space="preserve">présence d'agroforesterie</t>
  </si>
  <si>
    <t xml:space="preserve">NB Var</t>
  </si>
  <si>
    <t xml:space="preserve">qtx / ha</t>
  </si>
  <si>
    <t xml:space="preserve">tonne de produit brute</t>
  </si>
  <si>
    <t xml:space="preserve">pure</t>
  </si>
  <si>
    <t xml:space="preserve">Autre 1  : maïs semences</t>
  </si>
  <si>
    <t xml:space="preserve">Autre 2</t>
  </si>
  <si>
    <t xml:space="preserve">Autre 3</t>
  </si>
  <si>
    <t xml:space="preserve">Autre 4</t>
  </si>
  <si>
    <t xml:space="preserve">Autre 5</t>
  </si>
  <si>
    <t xml:space="preserve">Légumineuse/Protéagineuse:</t>
  </si>
  <si>
    <t xml:space="preserve">t / ha</t>
  </si>
  <si>
    <t xml:space="preserve">Qté vendue</t>
  </si>
  <si>
    <t xml:space="preserve">qtx/ha</t>
  </si>
  <si>
    <t xml:space="preserve">Haricot grain</t>
  </si>
  <si>
    <t xml:space="preserve">Haricot vert</t>
  </si>
  <si>
    <t xml:space="preserve">Type d'enherbement des parcelles</t>
  </si>
  <si>
    <t xml:space="preserve">Autres arbo </t>
  </si>
  <si>
    <t xml:space="preserve">Raisin de table (en t/ha)</t>
  </si>
  <si>
    <t xml:space="preserve">Raisin vendu transformé (jus ou vin)</t>
  </si>
  <si>
    <t xml:space="preserve">Qté produite</t>
  </si>
  <si>
    <t xml:space="preserve">Qté  vendue</t>
  </si>
  <si>
    <t xml:space="preserve">Qté acheté</t>
  </si>
  <si>
    <t xml:space="preserve">Qté consommée</t>
  </si>
  <si>
    <t xml:space="preserve">1.4.3 Les rotations</t>
  </si>
  <si>
    <t xml:space="preserve">pg 8</t>
  </si>
  <si>
    <t xml:space="preserve">Caractéristique de la succession:</t>
  </si>
  <si>
    <t xml:space="preserve">Numéro de la rotation</t>
  </si>
  <si>
    <t xml:space="preserve">Durée: 
courte = 3 ans ou moins
longue = 4 ans ou plus</t>
  </si>
  <si>
    <t xml:space="preserve">Retour d'une même culture deux années de suite: 
(Expl: monoculture, blé sur blé,….)</t>
  </si>
  <si>
    <t xml:space="preserve">Surface en ha </t>
  </si>
  <si>
    <t xml:space="preserve">Cultures de la succession (liste ou ouverte)</t>
  </si>
  <si>
    <t xml:space="preserve">Somme des surfaces en succession à délais de retour court:</t>
  </si>
  <si>
    <t xml:space="preserve">R1</t>
  </si>
  <si>
    <t xml:space="preserve">rotation courte (=&lt;3 ans)</t>
  </si>
  <si>
    <t xml:space="preserve">monoculture de maÏs</t>
  </si>
  <si>
    <t xml:space="preserve">R2</t>
  </si>
  <si>
    <t xml:space="preserve">Blé-Colza</t>
  </si>
  <si>
    <t xml:space="preserve">R3</t>
  </si>
  <si>
    <t xml:space="preserve">Blé-Colza-Tournesol</t>
  </si>
  <si>
    <t xml:space="preserve">R4</t>
  </si>
  <si>
    <t xml:space="preserve">R5</t>
  </si>
  <si>
    <t xml:space="preserve">R6</t>
  </si>
  <si>
    <t xml:space="preserve">1.5 les effluents d'élevage</t>
  </si>
  <si>
    <t xml:space="preserve">pg 9</t>
  </si>
  <si>
    <t xml:space="preserve">quantité produite</t>
  </si>
  <si>
    <t xml:space="preserve">quantité vendue</t>
  </si>
  <si>
    <t xml:space="preserve">quantité importée</t>
  </si>
  <si>
    <t xml:space="preserve">quantité épandue</t>
  </si>
  <si>
    <t xml:space="preserve">Coef d'utilisation d'N (pour calcul du N disponible dans l'année N)</t>
  </si>
  <si>
    <t xml:space="preserve">N organique épandu</t>
  </si>
  <si>
    <t xml:space="preserve">N organique épandu effet direct (N dispo. dans l'année N)</t>
  </si>
  <si>
    <t xml:space="preserve">dont N organique importé effet direct (N dispo. dans l'année N)</t>
  </si>
  <si>
    <r>
      <rPr>
        <sz val="11"/>
        <rFont val="Times New Roman"/>
        <family val="1"/>
        <charset val="1"/>
      </rPr>
      <t xml:space="preserve">tonne ou m</t>
    </r>
    <r>
      <rPr>
        <vertAlign val="superscript"/>
        <sz val="11"/>
        <rFont val="Times New Roman"/>
        <family val="1"/>
        <charset val="1"/>
      </rPr>
      <t xml:space="preserve">3</t>
    </r>
  </si>
  <si>
    <t xml:space="preserve">kg / m3 ou kg / tonne</t>
  </si>
  <si>
    <t xml:space="preserve">référence</t>
  </si>
  <si>
    <t xml:space="preserve">kg </t>
  </si>
  <si>
    <t xml:space="preserve">Source</t>
  </si>
  <si>
    <t xml:space="preserve">Lisier canard gras</t>
  </si>
  <si>
    <t xml:space="preserve">https://occitanie.chambre-agriculture.fr/fileadmin/user_upload/National/FAL_commun/publications/Occitanie/18_Teneur_Azote_tab.pdf</t>
  </si>
  <si>
    <t xml:space="preserve">Compost de déchets verts avec du lisier de porc</t>
  </si>
  <si>
    <t xml:space="preserve">Compost fumiers + tourteaux    (type Végor, Végéh...)</t>
  </si>
  <si>
    <t xml:space="preserve">Total quantité importée</t>
  </si>
  <si>
    <t xml:space="preserve">Total quantité épandue</t>
  </si>
  <si>
    <r>
      <rPr>
        <b val="true"/>
        <sz val="11"/>
        <rFont val="Times New Roman"/>
        <family val="1"/>
        <charset val="1"/>
      </rPr>
      <t xml:space="preserve">N organique épandu effet direct </t>
    </r>
    <r>
      <rPr>
        <b val="true"/>
        <sz val="9"/>
        <rFont val="Times New Roman"/>
        <family val="1"/>
        <charset val="1"/>
      </rPr>
      <t xml:space="preserve">(N dispo. dans l'année N)</t>
    </r>
  </si>
  <si>
    <r>
      <rPr>
        <b val="true"/>
        <sz val="11"/>
        <rFont val="Times New Roman"/>
        <family val="1"/>
        <charset val="1"/>
      </rPr>
      <t xml:space="preserve">dont N organique importé effet direct 
</t>
    </r>
    <r>
      <rPr>
        <b val="true"/>
        <sz val="9"/>
        <rFont val="Times New Roman"/>
        <family val="1"/>
        <charset val="1"/>
      </rPr>
      <t xml:space="preserve">(N dispo. dans l'année N)</t>
    </r>
  </si>
  <si>
    <t xml:space="preserve">Total </t>
  </si>
  <si>
    <t xml:space="preserve">Part des effluents importés venant du territoire en tonnes :</t>
  </si>
  <si>
    <t xml:space="preserve">II- L'agriculteur et son système productif: Dimension Agro-écologique</t>
  </si>
  <si>
    <t xml:space="preserve">Questionnaire page</t>
  </si>
  <si>
    <t xml:space="preserve">A1 ROB 1 - Diversité des espèces cultivées</t>
  </si>
  <si>
    <t xml:space="preserve">pg 6-7-10</t>
  </si>
  <si>
    <t xml:space="preserve">Grandes cultures, cultures fourragères et industrielles, cultures perennes</t>
  </si>
  <si>
    <t xml:space="preserve">pg 6-7</t>
  </si>
  <si>
    <t xml:space="preserve">Part dans l'assolement de la culture la plus importante :</t>
  </si>
  <si>
    <t xml:space="preserve">Attention si code d'erreur #nombre </t>
  </si>
  <si>
    <t xml:space="preserve">Part dans l'assolement de la 2e culture la plus importante :</t>
  </si>
  <si>
    <t xml:space="preserve">Total</t>
  </si>
  <si>
    <t xml:space="preserve">"Équitabilité" des cultures</t>
  </si>
  <si>
    <t xml:space="preserve">Monoculture sur 95% ou plus de la (SAU-PP)</t>
  </si>
  <si>
    <t xml:space="preserve">1 à 2 espèces représentent plus de 80% de la (SAU-PP)</t>
  </si>
  <si>
    <t xml:space="preserve">Autres cas</t>
  </si>
  <si>
    <t xml:space="preserve">Indice de diversité des cultures (IDC)</t>
  </si>
  <si>
    <t xml:space="preserve">1 à 2</t>
  </si>
  <si>
    <t xml:space="preserve">Cultures en pur</t>
  </si>
  <si>
    <t xml:space="preserve">Nombre d'espèces en pur</t>
  </si>
  <si>
    <t xml:space="preserve">3 à 5</t>
  </si>
  <si>
    <t xml:space="preserve">Cultures en association 
(dont prairie temporaire, agroforesterie)</t>
  </si>
  <si>
    <t xml:space="preserve">Nombre d'espèce cultivée dans chaque association</t>
  </si>
  <si>
    <t xml:space="preserve">6 à 9</t>
  </si>
  <si>
    <t xml:space="preserve">10 et +</t>
  </si>
  <si>
    <t xml:space="preserve">SCORE TABLEAU</t>
  </si>
  <si>
    <t xml:space="preserve">2 ou 3 familles</t>
  </si>
  <si>
    <t xml:space="preserve">pg 10</t>
  </si>
  <si>
    <t xml:space="preserve">Référence</t>
  </si>
  <si>
    <t xml:space="preserve">L'explotation produit-elle l'ensemble des trois catégories de légumes  ? </t>
  </si>
  <si>
    <t xml:space="preserve">(tige/feuille/inflorescence; racine/tubercule/bulbe; fruits/légumes)</t>
  </si>
  <si>
    <t xml:space="preserve">Part des prairies permanentes % :</t>
  </si>
  <si>
    <t xml:space="preserve">A2 ROB2 - Diversité génétique</t>
  </si>
  <si>
    <t xml:space="preserve">pg 4-5-10-11</t>
  </si>
  <si>
    <t xml:space="preserve">Participation à des programmes de création/sélection variétale; entretien des ressources génétiques sur des races à petits effectifs ou espèces anciennes; pratique de sélection massale avec garantie sanitaire :</t>
  </si>
  <si>
    <t xml:space="preserve">pg 5-10</t>
  </si>
  <si>
    <t xml:space="preserve">Végétaux</t>
  </si>
  <si>
    <t xml:space="preserve">Prise en compte de critères de tolérance/résistance à des stress biotiques et abiotiques dans les choix variétaux et/ou de porte greffe ?</t>
  </si>
  <si>
    <t xml:space="preserve"> Dans quel but?</t>
  </si>
  <si>
    <t xml:space="preserve">Grandes cultures, cultures industrielles et cultures fourragères : pour l'espèce principale</t>
  </si>
  <si>
    <t xml:space="preserve">nom variété</t>
  </si>
  <si>
    <t xml:space="preserve">compteur variétés</t>
  </si>
  <si>
    <t xml:space="preserve">surface variété</t>
  </si>
  <si>
    <t xml:space="preserve">inconnues (mais semences)</t>
  </si>
  <si>
    <t xml:space="preserve">Présence de variété population :</t>
  </si>
  <si>
    <t xml:space="preserve">Présence au moins d'un mélange variétal intra-parcellaire :</t>
  </si>
  <si>
    <t xml:space="preserve">Part de la sole de la culture principale occupée par la variété principale (EV) :</t>
  </si>
  <si>
    <t xml:space="preserve">EV</t>
  </si>
  <si>
    <t xml:space="preserve">Nombre de variétés totales retenues (NVCgc) :</t>
  </si>
  <si>
    <t xml:space="preserve">NVCgc</t>
  </si>
  <si>
    <t xml:space="preserve">Les deux variétés principales représentent 80% ou plus de la sole de l'espèce</t>
  </si>
  <si>
    <t xml:space="preserve">≤ 3</t>
  </si>
  <si>
    <t xml:space="preserve">4 à 7</t>
  </si>
  <si>
    <t xml:space="preserve">≥ 8</t>
  </si>
  <si>
    <t xml:space="preserve">SCORE TABLEAU GRANDE CULTURE</t>
  </si>
  <si>
    <t xml:space="preserve">Arboriculture : pour l'espèce principale</t>
  </si>
  <si>
    <t xml:space="preserve">Nombre de variétés :</t>
  </si>
  <si>
    <t xml:space="preserve">Surface des deux variétés principales de la culture principale :</t>
  </si>
  <si>
    <t xml:space="preserve">Mélange de variétés intraparcellaire :</t>
  </si>
  <si>
    <t xml:space="preserve">Surface de la culture principale de l'atelier : </t>
  </si>
  <si>
    <t xml:space="preserve">Nombre de variétés totales retenues (NVCarb) :</t>
  </si>
  <si>
    <t xml:space="preserve">NVCarb</t>
  </si>
  <si>
    <t xml:space="preserve">≤ 5</t>
  </si>
  <si>
    <t xml:space="preserve">6 à 10</t>
  </si>
  <si>
    <t xml:space="preserve">≥ 10</t>
  </si>
  <si>
    <t xml:space="preserve">SCORE TABLEAU ARBORICULTURE</t>
  </si>
  <si>
    <t xml:space="preserve">SCORE VITICULTURE</t>
  </si>
  <si>
    <t xml:space="preserve">Nombre d'espèces botaniques cultivées en 3 variétés ou plus :</t>
  </si>
  <si>
    <t xml:space="preserve">SCORE MARAICHAGE</t>
  </si>
  <si>
    <t xml:space="preserve">Animaux</t>
  </si>
  <si>
    <t xml:space="preserve">(ne pas remplir si pas d'élevage)</t>
  </si>
  <si>
    <t xml:space="preserve">L'exploitation gère-t-elle la reproduction du cheptel (exploitation naisseur) :</t>
  </si>
  <si>
    <t xml:space="preserve">Nombre de mères croisées :</t>
  </si>
  <si>
    <t xml:space="preserve">Nombre total de mères :</t>
  </si>
  <si>
    <t xml:space="preserve">Ratio =</t>
  </si>
  <si>
    <t xml:space="preserve">pg 4-5</t>
  </si>
  <si>
    <t xml:space="preserve">Intégration de la rusticité comme un critère principal dans les choix de reproduction :</t>
  </si>
  <si>
    <t xml:space="preserve">non, critère secondaire ou absent</t>
  </si>
  <si>
    <t xml:space="preserve">A3 ROB3 - Diversité temporelle des cultures</t>
  </si>
  <si>
    <t xml:space="preserve">pg 8-10-11</t>
  </si>
  <si>
    <t xml:space="preserve">Grandes cultures, cultures fouragères et industrielles</t>
  </si>
  <si>
    <t xml:space="preserve">Poids des successions à délais de retour courts  (% Surface Assolable) :</t>
  </si>
  <si>
    <t xml:space="preserve">Présence de cultures pluriannuelles à fauches multiples dans la succession :</t>
  </si>
  <si>
    <t xml:space="preserve">Ex: luzerne, prairie</t>
  </si>
  <si>
    <t xml:space="preserve">Cultures perennes
(arboriculture et viticulture)</t>
  </si>
  <si>
    <t xml:space="preserve">Durée de l'interculture en viticulture :</t>
  </si>
  <si>
    <t xml:space="preserve">pg 11</t>
  </si>
  <si>
    <t xml:space="preserve">A4 ROB4 - Qualité de l'organisation spatiale</t>
  </si>
  <si>
    <t xml:space="preserve">pg 16-11</t>
  </si>
  <si>
    <t xml:space="preserve">Nombre d'unités spatiales supérieures à 12 ha :</t>
  </si>
  <si>
    <t xml:space="preserve">pg 16</t>
  </si>
  <si>
    <t xml:space="preserve">Arboriculture </t>
  </si>
  <si>
    <t xml:space="preserve">Nombre d'unités spatiales supérieures à 6 ha :</t>
  </si>
  <si>
    <t xml:space="preserve">Mise en place de cultures associés et/ou semis sous couvert sur une même planche :</t>
  </si>
  <si>
    <t xml:space="preserve">A l'aide du parcellaire PAC et de la déclaration PAC (SIE), évaluation des infrastructures agroécologiques. Mesure de la surface développée des bordures : </t>
  </si>
  <si>
    <t xml:space="preserve">Linéaire</t>
  </si>
  <si>
    <t xml:space="preserve">Coefficient conversion</t>
  </si>
  <si>
    <t xml:space="preserve">Eq Surface développée</t>
  </si>
  <si>
    <t xml:space="preserve">eq m2</t>
  </si>
  <si>
    <t xml:space="preserve">Arbres isolés (en nombre d'arbre)</t>
  </si>
  <si>
    <t xml:space="preserve">Surface en biodiversité développée en %</t>
  </si>
  <si>
    <t xml:space="preserve">Mares et lavognes (en m de perimetre)</t>
  </si>
  <si>
    <t xml:space="preserve">Muret</t>
  </si>
  <si>
    <t xml:space="preserve">m2</t>
  </si>
  <si>
    <t xml:space="preserve">STH : Prairies permanentes</t>
  </si>
  <si>
    <t xml:space="preserve">Bordures (bandes enherbées …) qui n'ont pas été comptée dans les STH</t>
  </si>
  <si>
    <t xml:space="preserve">A5 CAP1 RES1 - Gestion des insectes pollinisateurs et des auxiliaires des cultures </t>
  </si>
  <si>
    <t xml:space="preserve">pg 6-11-16</t>
  </si>
  <si>
    <r>
      <rPr>
        <b val="true"/>
        <sz val="11"/>
        <rFont val="Times New Roman"/>
        <family val="1"/>
        <charset val="1"/>
      </rPr>
      <t xml:space="preserve">SAU recevant au moins un insecticide</t>
    </r>
    <r>
      <rPr>
        <sz val="11"/>
        <rFont val="Times New Roman"/>
        <family val="1"/>
        <charset val="1"/>
      </rPr>
      <t xml:space="preserve"> :</t>
    </r>
  </si>
  <si>
    <r>
      <rPr>
        <b val="true"/>
        <sz val="11"/>
        <rFont val="Times New Roman"/>
        <family val="1"/>
        <charset val="1"/>
      </rPr>
      <t xml:space="preserve">Nombre d'UGB recevant au moins un insecticide</t>
    </r>
    <r>
      <rPr>
        <sz val="11"/>
        <rFont val="Times New Roman"/>
        <family val="1"/>
        <charset val="1"/>
      </rPr>
      <t xml:space="preserve"> :</t>
    </r>
  </si>
  <si>
    <t xml:space="preserve">UGB</t>
  </si>
  <si>
    <t xml:space="preserve">A6 AUT1 - Autonomie en énergie, matériaux, matériels, semences et plants</t>
  </si>
  <si>
    <t xml:space="preserve">pg 11-17</t>
  </si>
  <si>
    <t xml:space="preserve">Non</t>
  </si>
  <si>
    <t xml:space="preserve">Oui</t>
  </si>
  <si>
    <t xml:space="preserve">pg 17</t>
  </si>
  <si>
    <t xml:space="preserve">Autonomie dans la réparation du matériel agricole (hors entretien courant) : </t>
  </si>
  <si>
    <t xml:space="preserve">Utilisation de matériaux produits sur l’exploitation ou en groupe :</t>
  </si>
  <si>
    <t xml:space="preserve">Autonomie en matériaux et matériels agricoles :</t>
  </si>
  <si>
    <t xml:space="preserve">Part des surfaces cultivées en semences de ferme et/ou en « plants et greffons de ferme » (en %) :</t>
  </si>
  <si>
    <t xml:space="preserve">A7 AUT2 - Autonomie alimentaire de l'élevage</t>
  </si>
  <si>
    <t xml:space="preserve">Elevage principal :</t>
  </si>
  <si>
    <t xml:space="preserve">monogastrique</t>
  </si>
  <si>
    <t xml:space="preserve">Données estimées mais il est de possible de mettre les valeurs réelles si l'exploitant peut les fournir</t>
  </si>
  <si>
    <t xml:space="preserve"> Fourrage acheté :</t>
  </si>
  <si>
    <t xml:space="preserve">t MS/an</t>
  </si>
  <si>
    <r>
      <rPr>
        <b val="true"/>
        <sz val="11"/>
        <color rgb="FF000000"/>
        <rFont val="Times New Roman"/>
        <family val="1"/>
        <charset val="1"/>
      </rPr>
      <t xml:space="preserve">Quantité de fourrage consommée :
</t>
    </r>
    <r>
      <rPr>
        <i val="true"/>
        <sz val="10"/>
        <color rgb="FF000000"/>
        <rFont val="Times New Roman"/>
        <family val="1"/>
        <charset val="1"/>
      </rPr>
      <t xml:space="preserve">Estimée en multipliant le nombre d'UGB par 5tMS </t>
    </r>
  </si>
  <si>
    <t xml:space="preserve">TMS/an</t>
  </si>
  <si>
    <t xml:space="preserve">Autonomie en fourrage</t>
  </si>
  <si>
    <t xml:space="preserve">Estimée selon les productions et les achats de l'EA</t>
  </si>
  <si>
    <t xml:space="preserve">Concentré acheté :</t>
  </si>
  <si>
    <t xml:space="preserve">tonnes brutes/an</t>
  </si>
  <si>
    <r>
      <rPr>
        <b val="true"/>
        <sz val="11"/>
        <color rgb="FF000000"/>
        <rFont val="Times New Roman"/>
        <family val="1"/>
        <charset val="1"/>
      </rPr>
      <t xml:space="preserve">Quantité de concentré consommée :
</t>
    </r>
    <r>
      <rPr>
        <i val="true"/>
        <sz val="10"/>
        <color rgb="FF000000"/>
        <rFont val="Times New Roman"/>
        <family val="1"/>
        <charset val="1"/>
      </rPr>
      <t xml:space="preserve">Selon les coefficients précisés à droite</t>
    </r>
  </si>
  <si>
    <t xml:space="preserve">Autonomie en concentré</t>
  </si>
  <si>
    <t xml:space="preserve">Exemples grossiers de coefficients de consommation de concentrés (source V. Manneville)</t>
  </si>
  <si>
    <t xml:space="preserve">1VL = 1,2 tonnes concentrés
1 truie = 1,2 tonnes concentrés
500 équivalents volailles =  1,2 tonnes concentrés
Entre 5 et 6 porcs charcutiers = 1,2 tonnes concentrés</t>
  </si>
  <si>
    <t xml:space="preserve">A8 AUT3 - Autonomie en azote</t>
  </si>
  <si>
    <t xml:space="preserve">pg 13</t>
  </si>
  <si>
    <t xml:space="preserve">N importé sur l’EA :</t>
  </si>
  <si>
    <t xml:space="preserve">Kg</t>
  </si>
  <si>
    <t xml:space="preserve">N total épandu :</t>
  </si>
  <si>
    <t xml:space="preserve">Autonomie de l'EA 
vis-à-vis de l'azote extérieur</t>
  </si>
  <si>
    <t xml:space="preserve">Engrais minéral importé :</t>
  </si>
  <si>
    <t xml:space="preserve">Engrais organique importée (direct) :</t>
  </si>
  <si>
    <t xml:space="preserve">Engrais organique total (direct) :</t>
  </si>
  <si>
    <t xml:space="preserve">(legumineuse fourrage et non fourrage)</t>
  </si>
  <si>
    <t xml:space="preserve">Surface dédiée aux plantes fixatrices d'N dans l'assolement : </t>
  </si>
  <si>
    <t xml:space="preserve">Part de légumineuses dans l'assolement</t>
  </si>
  <si>
    <t xml:space="preserve">A9 RES2 - Sobriété dans l'usage de l'eau et partage de la ressource</t>
  </si>
  <si>
    <t xml:space="preserve">pg 14</t>
  </si>
  <si>
    <t xml:space="preserve">Prélèvement d'eau pour la production:</t>
  </si>
  <si>
    <t xml:space="preserve">Si Non, passer à l'indicateur suivant.</t>
  </si>
  <si>
    <t xml:space="preserve">irrigation, abreuvement, pulvérisation, transformation, lavage, …</t>
  </si>
  <si>
    <t xml:space="preserve">Sensibilité de la ressource en eau :</t>
  </si>
  <si>
    <t xml:space="preserve">Très forte sensibilité</t>
  </si>
  <si>
    <t xml:space="preserve">Forte sensibilité</t>
  </si>
  <si>
    <t xml:space="preserve">Faible sensibilité</t>
  </si>
  <si>
    <t xml:space="preserve">Sensibilité moyenne</t>
  </si>
  <si>
    <t xml:space="preserve">Quantité totale d'eau prélevée par l'exploitation :</t>
  </si>
  <si>
    <t xml:space="preserve">QP =</t>
  </si>
  <si>
    <t xml:space="preserve">en m3/an</t>
  </si>
  <si>
    <t xml:space="preserve">Pression de prélèvement</t>
  </si>
  <si>
    <t xml:space="preserve">QP &lt; 10 000 m3</t>
  </si>
  <si>
    <t xml:space="preserve">10 000 m3 &lt; QP &lt; 30 000 m3</t>
  </si>
  <si>
    <t xml:space="preserve">QP &gt; 30 000 m3</t>
  </si>
  <si>
    <t xml:space="preserve">Sensibilité de la ressource en eau</t>
  </si>
  <si>
    <t xml:space="preserve">Très forte</t>
  </si>
  <si>
    <t xml:space="preserve">Forte</t>
  </si>
  <si>
    <t xml:space="preserve">Résultat tableau croisée</t>
  </si>
  <si>
    <t xml:space="preserve">Moyenne</t>
  </si>
  <si>
    <t xml:space="preserve">Faible</t>
  </si>
  <si>
    <t xml:space="preserve">A10 RES3 - Sobriété dans l'utilisation du phosphore</t>
  </si>
  <si>
    <t xml:space="preserve">Phosphore minéral épandu (kg):</t>
  </si>
  <si>
    <t xml:space="preserve">Consommation en phosphore</t>
  </si>
  <si>
    <t xml:space="preserve">A11 RES4 - Sobriété dans la consommation en énergie</t>
  </si>
  <si>
    <t xml:space="preserve">Energie Directe</t>
  </si>
  <si>
    <t xml:space="preserve">type</t>
  </si>
  <si>
    <t xml:space="preserve">unité d'entrée</t>
  </si>
  <si>
    <t xml:space="preserve">quantité consommée</t>
  </si>
  <si>
    <t xml:space="preserve">coefficient de conversion</t>
  </si>
  <si>
    <t xml:space="preserve">quantié consommée </t>
  </si>
  <si>
    <t xml:space="preserve">en EQF / unité</t>
  </si>
  <si>
    <t xml:space="preserve">EQF</t>
  </si>
  <si>
    <t xml:space="preserve">Attention: prendre en compte l'énergie consommé par les ETA si prestation de service sur l'exploitation</t>
  </si>
  <si>
    <t xml:space="preserve">Total consommation d'énergie directe</t>
  </si>
  <si>
    <t xml:space="preserve">Energie Indirecte</t>
  </si>
  <si>
    <t xml:space="preserve">quantité achetée</t>
  </si>
  <si>
    <t xml:space="preserve">quantié consommée indirectement</t>
  </si>
  <si>
    <t xml:space="preserve">Total intrants énergétiques (en EQF)</t>
  </si>
  <si>
    <t xml:space="preserve">Tourteaux de soja</t>
  </si>
  <si>
    <t xml:space="preserve">TMB</t>
  </si>
  <si>
    <t xml:space="preserve">Tourteaux de colza</t>
  </si>
  <si>
    <t xml:space="preserve">Céréales graines (référence blé)</t>
  </si>
  <si>
    <t xml:space="preserve">pulpes surpréssées</t>
  </si>
  <si>
    <t xml:space="preserve">TMS</t>
  </si>
  <si>
    <t xml:space="preserve">Consommation en énergie (EQF/ha)</t>
  </si>
  <si>
    <t xml:space="preserve">concentré du commerce</t>
  </si>
  <si>
    <t xml:space="preserve">T</t>
  </si>
  <si>
    <t xml:space="preserve">aliments porcs (blé,orge,TS)</t>
  </si>
  <si>
    <t xml:space="preserve">Aliment volaille</t>
  </si>
  <si>
    <t xml:space="preserve">luzerne deshydratée</t>
  </si>
  <si>
    <t xml:space="preserve">Fertilisation N (ref ammonitrate)</t>
  </si>
  <si>
    <t xml:space="preserve">pour 1 unité d'N</t>
  </si>
  <si>
    <t xml:space="preserve">Total consommation d'énergie indirecte =</t>
  </si>
  <si>
    <t xml:space="preserve">A12 CAP2 - Raisonner l'utilisation de l'eau</t>
  </si>
  <si>
    <t xml:space="preserve">pg 14-15</t>
  </si>
  <si>
    <t xml:space="preserve">Réduire les besoins</t>
  </si>
  <si>
    <r>
      <rPr>
        <u val="single"/>
        <sz val="12"/>
        <color rgb="FF000000"/>
        <rFont val="Times New Roman"/>
        <family val="1"/>
        <charset val="1"/>
      </rPr>
      <t xml:space="preserve">Exploitation sans élevage</t>
    </r>
    <r>
      <rPr>
        <b val="true"/>
        <sz val="12"/>
        <color rgb="FF000000"/>
        <rFont val="Times New Roman"/>
        <family val="1"/>
        <charset val="1"/>
      </rPr>
      <t xml:space="preserve"> </t>
    </r>
  </si>
  <si>
    <t xml:space="preserve">Type de cultures consommatrices d'eau :</t>
  </si>
  <si>
    <r>
      <rPr>
        <u val="single"/>
        <sz val="12"/>
        <color rgb="FF000000"/>
        <rFont val="Times New Roman"/>
        <family val="1"/>
        <charset val="1"/>
      </rPr>
      <t xml:space="preserve">Exploitation avec élevage</t>
    </r>
    <r>
      <rPr>
        <b val="true"/>
        <u val="single"/>
        <sz val="12"/>
        <color rgb="FF000000"/>
        <rFont val="Times New Roman"/>
        <family val="1"/>
        <charset val="1"/>
      </rPr>
      <t xml:space="preserve"> </t>
    </r>
    <r>
      <rPr>
        <u val="single"/>
        <sz val="12"/>
        <color rgb="FF000000"/>
        <rFont val="Times New Roman"/>
        <family val="1"/>
        <charset val="1"/>
      </rPr>
      <t xml:space="preserve">dominant</t>
    </r>
  </si>
  <si>
    <t xml:space="preserve">Système herbagé avec pâturage dominant :</t>
  </si>
  <si>
    <t xml:space="preserve">Mise en place de stratégies d'économie (pour les irrigants):</t>
  </si>
  <si>
    <t xml:space="preserve">Exemples: 
- Evitement (variété précoce, dates de semis précoce…) 
- Atténuation des besoins (réduction de la densité, paillage, BRF…)
- Rationnement (Irrigation en dessous de l’ETM)</t>
  </si>
  <si>
    <t xml:space="preserve">Réduire le gaspillage</t>
  </si>
  <si>
    <t xml:space="preserve">Optimiser l'usage par des dispositifs économes en eau</t>
  </si>
  <si>
    <t xml:space="preserve">Efficience du lavage des produits </t>
  </si>
  <si>
    <t xml:space="preserve">matériel spécialisé économe en eau</t>
  </si>
  <si>
    <t xml:space="preserve">Efficience du matériel d'irrigation :</t>
  </si>
  <si>
    <t xml:space="preserve">micro irrigation, goutte à goutte, pivot ou rampe frontale</t>
  </si>
  <si>
    <t xml:space="preserve">Efficience de l'abreuvement :</t>
  </si>
  <si>
    <t xml:space="preserve">dispositif économe en eau tels que arrêt-flotteurs</t>
  </si>
  <si>
    <t xml:space="preserve">Efficience du lavage des bâtiments et du matériel de l'exploitation :</t>
  </si>
  <si>
    <t xml:space="preserve">matérriel économe, lavage à haute préssion</t>
  </si>
  <si>
    <t xml:space="preserve">Recycler et réutiliser l'eau</t>
  </si>
  <si>
    <t xml:space="preserve">Récupération significative des eaux de pluie pour les besoins de l'exploitation, réutilisation des eaux de drainage pour l'irrigation en serre ou réutilisation des eaux de lavage pour d'autres usages :</t>
  </si>
  <si>
    <t xml:space="preserve">A13 CAP3 -Favoriser la fertilité des sols</t>
  </si>
  <si>
    <t xml:space="preserve">Gestion de la matière organique des sols</t>
  </si>
  <si>
    <t xml:space="preserve">% de la SAU</t>
  </si>
  <si>
    <t xml:space="preserve">Actions possibles : BRF, restitution des résidus de culture à la parcelle en majorité (pailles, sarments…), production de biomasse en interculture pour restitution, enherbement des cultures pérennes, système de culture sans labour systématique et  sous couvert permanent…</t>
  </si>
  <si>
    <t xml:space="preserve">Couverture permanente du sol (au moins 3 ans)</t>
  </si>
  <si>
    <t xml:space="preserve">CPS =</t>
  </si>
  <si>
    <t xml:space="preserve">Surface non travaillée durant l'année (semi direct) y compris les prairies</t>
  </si>
  <si>
    <t xml:space="preserve">NTS =</t>
  </si>
  <si>
    <t xml:space="preserve">Surface ne recevant PAS de produits phytosanitaires</t>
  </si>
  <si>
    <t xml:space="preserve">Lesquelles :</t>
  </si>
  <si>
    <t xml:space="preserve">Agroforesterie, couverture du sol, travail simplifié, sens d'implantation, terrasses, murets, haies, bandes enherbées, dispositifs aménagés d'abreuvement, mise en place de fascine et clayon, etc.</t>
  </si>
  <si>
    <t xml:space="preserve">A14 ROB5 - Maintenir l'efficacité de la protection sanitaire des cultures et des animaux</t>
  </si>
  <si>
    <t xml:space="preserve">pg 5-11</t>
  </si>
  <si>
    <t xml:space="preserve">Usage de produits phytosanitaires ou vétérinaires :</t>
  </si>
  <si>
    <t xml:space="preserve">Oui les 2</t>
  </si>
  <si>
    <t xml:space="preserve">Uniquement pour produits phytosanitaires</t>
  </si>
  <si>
    <t xml:space="preserve">Uniquement pour produits vétérinaires</t>
  </si>
  <si>
    <t xml:space="preserve">pg 5</t>
  </si>
  <si>
    <t xml:space="preserve">Mode d'action des familles chimiques :</t>
  </si>
  <si>
    <t xml:space="preserve">Pas d'alternance</t>
  </si>
  <si>
    <t xml:space="preserve">Raisonnement du traitement :</t>
  </si>
  <si>
    <t xml:space="preserve">Traitement au cas par cas</t>
  </si>
  <si>
    <t xml:space="preserve">Raisonnement du traitement</t>
  </si>
  <si>
    <t xml:space="preserve">Mode d’action famille chimique </t>
  </si>
  <si>
    <t xml:space="preserve">Traitements avec application systématique</t>
  </si>
  <si>
    <t xml:space="preserve">Traitement cas par cas (en fonction du problème constaté)</t>
  </si>
  <si>
    <t xml:space="preserve">Alternance familles chimiques </t>
  </si>
  <si>
    <t xml:space="preserve">Absence d’alternance</t>
  </si>
  <si>
    <t xml:space="preserve">A15 ROB6 - Sécuriser la disponibilité des moyens matériels de production</t>
  </si>
  <si>
    <t xml:space="preserve">pg 4-17</t>
  </si>
  <si>
    <t xml:space="preserve">Approvisionnement en semences, phytos, engrais, aliment (coopératives et négoces).
HORS RESSOURSES FOURRAGERES (voir item 3)</t>
  </si>
  <si>
    <t xml:space="preserve">Quelques gammes sont inaccessibles ou limitées. Les délais de livraison sont parfois un peu longs.  </t>
  </si>
  <si>
    <t xml:space="preserve">Diversité des méthodologies de collecte (individuel, collective, privée), pluralité des acteurs de collecte, problème de délais de collecte (attente de la disponibilité des acteurs)</t>
  </si>
  <si>
    <t xml:space="preserve">J’ai le choix entre de nombreuses options de collectes, les acteurs sont nombreux. Je n’ai jamais eu de problème de délais</t>
  </si>
  <si>
    <t xml:space="preserve">Seuls deux ou trois acteurs de collecte sont disponibles. J’ai déjà eu des problèmes de délais. </t>
  </si>
  <si>
    <t xml:space="preserve">Au moins une de mes productions n’est pas collectée. Le retard de collecte m’a déjà fait perdre une partie de ma production.</t>
  </si>
  <si>
    <t xml:space="preserve">Pour élevage ruminant uniquement </t>
  </si>
  <si>
    <r>
      <rPr>
        <sz val="11"/>
        <color rgb="FF000000"/>
        <rFont val="Times New Roman"/>
        <family val="1"/>
        <charset val="1"/>
      </rPr>
      <t xml:space="preserve">Quantité de Stock de Fourrages à la date de mise à l'herbe des animaux  </t>
    </r>
    <r>
      <rPr>
        <b val="true"/>
        <sz val="11"/>
        <color rgb="FF000000"/>
        <rFont val="Times New Roman"/>
        <family val="1"/>
        <charset val="1"/>
      </rPr>
      <t xml:space="preserve">QSF</t>
    </r>
    <r>
      <rPr>
        <sz val="11"/>
        <color rgb="FF000000"/>
        <rFont val="Times New Roman"/>
        <family val="1"/>
        <charset val="1"/>
      </rPr>
      <t xml:space="preserve"> :</t>
    </r>
  </si>
  <si>
    <t xml:space="preserve">en TMS</t>
  </si>
  <si>
    <t xml:space="preserve">Besoin du bétail/mois:</t>
  </si>
  <si>
    <t xml:space="preserve">tMS</t>
  </si>
  <si>
    <t xml:space="preserve">Mois de sécurité en stock fourager</t>
  </si>
  <si>
    <t xml:space="preserve">A16 RES5 - Réduire l'impact des pratiques sur la qualité de l'eau</t>
  </si>
  <si>
    <t xml:space="preserve">pg 15</t>
  </si>
  <si>
    <t xml:space="preserve">Résultat du bilan apparent :</t>
  </si>
  <si>
    <t xml:space="preserve">Chargement (UGB/ha) :</t>
  </si>
  <si>
    <t xml:space="preserve">IFT Herbicide :</t>
  </si>
  <si>
    <t xml:space="preserve">Mise en place d'actions pour limiter les transferts :</t>
  </si>
  <si>
    <t xml:space="preserve">Enherbement des cultures pérennes, dispositif de remédiation (bassin "de décantation" avant rejet dans le milieu), protection par enherbement des zones de transfert rapide (au-delà des obligations BCAE), semis sous couvert permanent sans destruction chimique</t>
  </si>
  <si>
    <t xml:space="preserve">Surface en culture à forte capacité d'absorption d'azote pendant le drainage à l'automne :</t>
  </si>
  <si>
    <t xml:space="preserve">En proportion de la SAU :</t>
  </si>
  <si>
    <t xml:space="preserve">Comprend:
</t>
  </si>
  <si>
    <t xml:space="preserve">les CIPAN implantés au plus 3 semaines après les récoltes d'été (au 15 septembre max), durant au moins 3 mois ;</t>
  </si>
  <si>
    <t xml:space="preserve">les cultures de vente pièges à nitrates (notamment les crucifères et le colza) ;</t>
  </si>
  <si>
    <t xml:space="preserve">les PT de plus de 1 an qui ne seront pas retournées dans l'année ;</t>
  </si>
  <si>
    <t xml:space="preserve">les PP ;</t>
  </si>
  <si>
    <t xml:space="preserve">les surfaces enherbées en culture pérenne ;</t>
  </si>
  <si>
    <t xml:space="preserve">les cultures légumières d'automne de plein champs à forte absorption d'azote (choux, poireaux, épinards, betteraves, céleris, salades d'hivers)</t>
  </si>
  <si>
    <t xml:space="preserve">A17 RES6 - Réduire l'impact des pratiques sur la qualité de l'air</t>
  </si>
  <si>
    <t xml:space="preserve">pg 11-13-14</t>
  </si>
  <si>
    <t xml:space="preserve">Nombre de passages d'engins émetteurs de particules primaires et de gaz précurseurs de particules secondaires sur la culture principale :</t>
  </si>
  <si>
    <t xml:space="preserve">pg 13-14</t>
  </si>
  <si>
    <t xml:space="preserve">Travail du sol, récolte de tubercules, moissons, enfouissement de résidus, épandage d'engrais uréique, azoté ou de lisier…</t>
  </si>
  <si>
    <t xml:space="preserve">Nombres de pratiques de réduction des émissions de particules primaires et de gaz précurseurs de particules secondaires :</t>
  </si>
  <si>
    <t xml:space="preserve">Exemples de pratiques: couverture des fosses, filtration de l’air, lavage de l'air, pendillards, injection , enfouissement, séchage des fientes,</t>
  </si>
  <si>
    <t xml:space="preserve">activateur de litière, haie brise vent, limitation/mutualisation des transports, matériel de chauffage et de réfrégiration économe, </t>
  </si>
  <si>
    <t xml:space="preserve">méthanisation avec récupération des gaz fermentiscibles…</t>
  </si>
  <si>
    <t xml:space="preserve">IFT exploitation (Rappel)</t>
  </si>
  <si>
    <t xml:space="preserve">Pression d’usage de pesticides</t>
  </si>
  <si>
    <t xml:space="preserve">IFT ≤ 1</t>
  </si>
  <si>
    <t xml:space="preserve">1 &lt; IFT ≤ 4</t>
  </si>
  <si>
    <t xml:space="preserve">4 &lt; IFT</t>
  </si>
  <si>
    <t xml:space="preserve">Matériel 
anti-dérive</t>
  </si>
  <si>
    <t xml:space="preserve">Aucun traitement </t>
  </si>
  <si>
    <t xml:space="preserve">A18 RES7 - Réduire l'impact des pratiques sur le changement climatique</t>
  </si>
  <si>
    <t xml:space="preserve">pg 2-14</t>
  </si>
  <si>
    <t xml:space="preserve">Postes</t>
  </si>
  <si>
    <t xml:space="preserve">Valeur de l’exploitation</t>
  </si>
  <si>
    <t xml:space="preserve">Unité</t>
  </si>
  <si>
    <t xml:space="preserve">Référence en kg équivalent CO2</t>
  </si>
  <si>
    <t xml:space="preserve">Total exploitation</t>
  </si>
  <si>
    <r>
      <rPr>
        <b val="true"/>
        <sz val="10"/>
        <rFont val="Times New Roman"/>
        <family val="1"/>
        <charset val="1"/>
      </rPr>
      <t xml:space="preserve">CO</t>
    </r>
    <r>
      <rPr>
        <b val="true"/>
        <vertAlign val="subscript"/>
        <sz val="10"/>
        <rFont val="Times New Roman"/>
        <family val="1"/>
        <charset val="1"/>
      </rPr>
      <t xml:space="preserve">2</t>
    </r>
  </si>
  <si>
    <t xml:space="preserve">Gasoil, essence, fioul</t>
  </si>
  <si>
    <t xml:space="preserve">Electricité</t>
  </si>
  <si>
    <t xml:space="preserve"> KWh</t>
  </si>
  <si>
    <t xml:space="preserve">Gaz</t>
  </si>
  <si>
    <t xml:space="preserve"> m3</t>
  </si>
  <si>
    <t xml:space="preserve">N minéral épandu</t>
  </si>
  <si>
    <t xml:space="preserve">kg éléments fertilisants</t>
  </si>
  <si>
    <t xml:space="preserve">Concentrés achetés</t>
  </si>
  <si>
    <r>
      <rPr>
        <b val="true"/>
        <sz val="10"/>
        <rFont val="Times New Roman"/>
        <family val="1"/>
        <charset val="1"/>
      </rPr>
      <t xml:space="preserve">CH</t>
    </r>
    <r>
      <rPr>
        <b val="true"/>
        <vertAlign val="subscript"/>
        <sz val="10"/>
        <rFont val="Times New Roman"/>
        <family val="1"/>
        <charset val="1"/>
      </rPr>
      <t xml:space="preserve">4</t>
    </r>
  </si>
  <si>
    <t xml:space="preserve">Entérique</t>
  </si>
  <si>
    <t xml:space="preserve">UGB Ruminant</t>
  </si>
  <si>
    <t xml:space="preserve">Effluents (bat, stock)</t>
  </si>
  <si>
    <t xml:space="preserve">UGB totaux</t>
  </si>
  <si>
    <t xml:space="preserve">Mois de présence au batiment</t>
  </si>
  <si>
    <t xml:space="preserve">Pâturage</t>
  </si>
  <si>
    <t xml:space="preserve">Mois de présence en paturage</t>
  </si>
  <si>
    <r>
      <rPr>
        <b val="true"/>
        <sz val="10"/>
        <rFont val="Times New Roman"/>
        <family val="1"/>
        <charset val="1"/>
      </rPr>
      <t xml:space="preserve">N</t>
    </r>
    <r>
      <rPr>
        <b val="true"/>
        <vertAlign val="subscript"/>
        <sz val="10"/>
        <rFont val="Times New Roman"/>
        <family val="1"/>
        <charset val="1"/>
      </rPr>
      <t xml:space="preserve">2</t>
    </r>
    <r>
      <rPr>
        <b val="true"/>
        <sz val="10"/>
        <rFont val="Times New Roman"/>
        <family val="1"/>
        <charset val="1"/>
      </rPr>
      <t xml:space="preserve">O</t>
    </r>
  </si>
  <si>
    <t xml:space="preserve">Effluents (bat, stock, ép)</t>
  </si>
  <si>
    <t xml:space="preserve">kg de N</t>
  </si>
  <si>
    <t xml:space="preserve">EB : Emissions brutes (en kg éq CO2) =</t>
  </si>
  <si>
    <t xml:space="preserve">Stockage de carbone</t>
  </si>
  <si>
    <t xml:space="preserve">Prairies permanentes (STH)</t>
  </si>
  <si>
    <t xml:space="preserve">Haies</t>
  </si>
  <si>
    <t xml:space="preserve">mètres linéaires</t>
  </si>
  <si>
    <t xml:space="preserve">Agroforesterie</t>
  </si>
  <si>
    <t xml:space="preserve">100 arbres moyens</t>
  </si>
  <si>
    <t xml:space="preserve"> S : Stockage de carbone (en kg éq CO2) =</t>
  </si>
  <si>
    <t xml:space="preserve">Emissions nettes (en T eq. CO2 / an)</t>
  </si>
  <si>
    <t xml:space="preserve">T eq. CO2 / an</t>
  </si>
  <si>
    <t xml:space="preserve">A19 RES8 - Réduire l'usage des produits phytosanitaires et des traitements vétérinaires</t>
  </si>
  <si>
    <t xml:space="preserve">pg 5-11-12</t>
  </si>
  <si>
    <t xml:space="preserve">Sobriété dans l'utilisation des produits phytosanitaires 
(calcul de l'IFT global simplifié - remplir le tableau suivant - une ligne par traitement - hors produit de biocontrole (sauf soufre))</t>
  </si>
  <si>
    <t xml:space="preserve">pg 11-12</t>
  </si>
  <si>
    <t xml:space="preserve">dose utilisée à l'ha</t>
  </si>
  <si>
    <t xml:space="preserve">surface de la parcelle</t>
  </si>
  <si>
    <t xml:space="preserve">IFT traitement</t>
  </si>
  <si>
    <t xml:space="preserve">IFT global de l'exploitation : </t>
  </si>
  <si>
    <t xml:space="preserve">IFT herbicide de l'exploitation :</t>
  </si>
  <si>
    <t xml:space="preserve">Utilisation de produits de type CMR ou perturbateurs endocriniens :</t>
  </si>
  <si>
    <t xml:space="preserve">CMR : Cancérogènes, Mutagènes, Reprotoxiques</t>
  </si>
  <si>
    <t xml:space="preserve">L'exploitation a recours à des pratiques alternatives pour gérer les adventices, pathogènes et/ou ravageurs :</t>
  </si>
  <si>
    <t xml:space="preserve">Sobriété dans l'utilisation des traitements vétérinaires</t>
  </si>
  <si>
    <t xml:space="preserve">Ne pas remplir si pas d'élevage.</t>
  </si>
  <si>
    <t xml:space="preserve">Nombre de traitements vétérinaires annuels : </t>
  </si>
  <si>
    <t xml:space="preserve">Nombre de traitements vétérinaires moyen :</t>
  </si>
  <si>
    <t xml:space="preserve">Traitements homéopathiques ou par essences naturelles, implantation de plante deparasitaires :</t>
  </si>
  <si>
    <t xml:space="preserve">Absence de délais avant retour des animaux dans les parcelles :</t>
  </si>
  <si>
    <t xml:space="preserve">Utilisation d'antibiotique critique :</t>
  </si>
  <si>
    <t xml:space="preserve">III - Données socio-territoriales</t>
  </si>
  <si>
    <t xml:space="preserve">B1 CAP4 RES9- Production alimentaire de l'exploitation</t>
  </si>
  <si>
    <t xml:space="preserve">Surface consacrée à l'alimentation humaine et animale :</t>
  </si>
  <si>
    <t xml:space="preserve">Part de la SAU consacrée à l'alimentation Humaine:             PAE =</t>
  </si>
  <si>
    <t xml:space="preserve">Production de légumes secs sur l'exploitation ou de fruits et légumes destinées à la vente et à la consommation humaine :</t>
  </si>
  <si>
    <t xml:space="preserve">Présence d'ateliers de production animale hors sol :</t>
  </si>
  <si>
    <t xml:space="preserve">B2 RES10 - Contribution à l'équilibre alimentaire mondial</t>
  </si>
  <si>
    <t xml:space="preserve">pg 4-6-7</t>
  </si>
  <si>
    <t xml:space="preserve">Présence d'élevage :</t>
  </si>
  <si>
    <t xml:space="preserve">En présence d'élevage uniquement :</t>
  </si>
  <si>
    <t xml:space="preserve">Aliment du bétail concentré acheté hors projet territorial collectif :</t>
  </si>
  <si>
    <t xml:space="preserve">Taux d'importation:                  TI =</t>
  </si>
  <si>
    <t xml:space="preserve">Surface importée:</t>
  </si>
  <si>
    <t xml:space="preserve">En absence d'élevage uniquement :</t>
  </si>
  <si>
    <r>
      <rPr>
        <b val="true"/>
        <sz val="11"/>
        <rFont val="Times New Roman"/>
        <family val="1"/>
        <charset val="1"/>
      </rPr>
      <t xml:space="preserve">Surface avec p</t>
    </r>
    <r>
      <rPr>
        <b val="true"/>
        <sz val="11"/>
        <color rgb="FF000000"/>
        <rFont val="Times New Roman"/>
        <family val="1"/>
        <charset val="1"/>
      </rPr>
      <t xml:space="preserve">roduction de plantes riches en protéines :</t>
    </r>
  </si>
  <si>
    <t xml:space="preserve">Part de la SAU consacrée à la production de protéines               Pprot =</t>
  </si>
  <si>
    <t xml:space="preserve">Plantes riches en protéines : soja, tournesol, colza, protéagineux fourragers (luzene) ou alimentaires (pois, féverole, lupin), légumes secs (haricot, lentille, pois chiche)</t>
  </si>
  <si>
    <t xml:space="preserve">B3 ANC1 CAP5 - Qualité de la production</t>
  </si>
  <si>
    <t xml:space="preserve">Production à la qualité alimentaire reconnue / certifiée</t>
  </si>
  <si>
    <t xml:space="preserve">de par son originie par une IGP :</t>
  </si>
  <si>
    <t xml:space="preserve">Laquelle ?</t>
  </si>
  <si>
    <t xml:space="preserve">de par son origine par une AOP ou AOC : </t>
  </si>
  <si>
    <t xml:space="preserve">de par son process (label rouge et autres normes STG) :</t>
  </si>
  <si>
    <t xml:space="preserve">de par sa qualité nutritionnelle (lait de système herbager, alimentation à base de lin…) :</t>
  </si>
  <si>
    <t xml:space="preserve">B4 RES11 - Pertes et gaspillages</t>
  </si>
  <si>
    <t xml:space="preserve">pg 18</t>
  </si>
  <si>
    <t xml:space="preserve">Participation à un programme de prévention, de formation contre le gaspillage :</t>
  </si>
  <si>
    <t xml:space="preserve">Présence d'une capacité de stockage adaptée et de qualité sur l'exploitation :</t>
  </si>
  <si>
    <r>
      <rPr>
        <sz val="11"/>
        <color rgb="FF333333"/>
        <rFont val="Times New Roman"/>
        <family val="1"/>
        <charset val="1"/>
      </rPr>
      <t xml:space="preserve">Développement d'action sociale pour limiter les pertes de produits restés au champ (toutes formes de glanage associatif ou d’ateliers</t>
    </r>
    <r>
      <rPr>
        <sz val="11"/>
        <color rgb="FF0000FF"/>
        <rFont val="Times New Roman"/>
        <family val="1"/>
        <charset val="1"/>
      </rPr>
      <t xml:space="preserve"> </t>
    </r>
    <r>
      <rPr>
        <sz val="11"/>
        <color rgb="FF000000"/>
        <rFont val="Times New Roman"/>
        <family val="1"/>
        <charset val="1"/>
      </rPr>
      <t xml:space="preserve">cueillette à la ferme</t>
    </r>
    <r>
      <rPr>
        <sz val="11"/>
        <color rgb="FF333333"/>
        <rFont val="Times New Roman"/>
        <family val="1"/>
        <charset val="1"/>
      </rPr>
      <t xml:space="preserve">) :</t>
    </r>
  </si>
  <si>
    <t xml:space="preserve">Dons à des associations d’aide alimentaire (banque alimentaire, associations, épiceries solidaires, etc.) :</t>
  </si>
  <si>
    <t xml:space="preserve">Dons ou trocs/échanges de produits autre qu'aux associations (particulier, …) :</t>
  </si>
  <si>
    <t xml:space="preserve">Valorisation alimentaire des produits non conformes aux standards des distributeurs ou des transformateurs, ou commercialisation sans marché rémunérateur, ou adhésion à des groupements de producteurs ou de coopératives valorisant ces types de produits :</t>
  </si>
  <si>
    <t xml:space="preserve">Transformation et valorisation à destination alimentaire de tout produit qui aurait été écarté, y compris co- et sous-produits (sous toutes leurs formes) :</t>
  </si>
  <si>
    <t xml:space="preserve">Autres / Lesquelles :</t>
  </si>
  <si>
    <t xml:space="preserve">B5 RES12 - Liens sociaux, hédoniques et culturels à l'alimentation</t>
  </si>
  <si>
    <t xml:space="preserve">pg 19</t>
  </si>
  <si>
    <t xml:space="preserve">Démarches favorisant le lien ou l'entre-aide entre le consommateur et le producteur :</t>
  </si>
  <si>
    <t xml:space="preserve">Ouverture de l'exploitation aux consommateurs pour vente ou visite, contractualisation entre consommateurs et producteur (ex: AMAP), participation à des journées sur la découverte des produits alimentaires, tables d'hôtes, restauration à la ferme, commerce équitable…</t>
  </si>
  <si>
    <t xml:space="preserve">Production significative de variétés d'aliments à forte valeur patrimoniale territoriale ou peu représentées en commercialisation courante :</t>
  </si>
  <si>
    <t xml:space="preserve">oui </t>
  </si>
  <si>
    <t xml:space="preserve">B6 ANC2 -  Engagement dans des démarches environnementales contractualisées et territoriales</t>
  </si>
  <si>
    <t xml:space="preserve">pg 17-18</t>
  </si>
  <si>
    <t xml:space="preserve">Part de la SAU sous respect d’un cahier des charges territorialisé, lié ou non à un dédomagement :
-MAET
-MAEC système
-Contrat lié au document d'objectif des sites Natura 2000
-Préservation des captages
-Conventions avec des Parcs Naturels Régionaux, Réserves Naturelles, ou des Conservatoires de Sites
-Tout autre engagement de respect d'un cahier des charges précis dans des objectifs environnementaux et/ou patrimoniaux</t>
  </si>
  <si>
    <t xml:space="preserve">B7 ANC3 - Services marchands au territoire</t>
  </si>
  <si>
    <t xml:space="preserve">Services marchands :</t>
  </si>
  <si>
    <t xml:space="preserve">Le(s)quel(s) ? </t>
  </si>
  <si>
    <t xml:space="preserve">Déneigement , débroussaillage</t>
  </si>
  <si>
    <t xml:space="preserve">B8 ANC4 AUT4 - Valorisation par filières courtes ou de proximité</t>
  </si>
  <si>
    <t xml:space="preserve">pg 25</t>
  </si>
  <si>
    <t xml:space="preserve">€</t>
  </si>
  <si>
    <t xml:space="preserve">Part du CA en vente directe ou circuit court :</t>
  </si>
  <si>
    <t xml:space="preserve">Détail(s)</t>
  </si>
  <si>
    <t xml:space="preserve">B9 ANC5 - Valorisation des ressources locales</t>
  </si>
  <si>
    <t xml:space="preserve">pg 3-4-9-11-14-15-17-18</t>
  </si>
  <si>
    <t xml:space="preserve">Approvisionnements locaux auprès de la communauté agricole</t>
  </si>
  <si>
    <t xml:space="preserve">Part de l'alimentation du bétail consommé produit localement :</t>
  </si>
  <si>
    <t xml:space="preserve">Part de l'engrais organique consommé produit localement :</t>
  </si>
  <si>
    <t xml:space="preserve">Achat d'animaux sur le territoire local :</t>
  </si>
  <si>
    <t xml:space="preserve">Récupération/Valorisation d'eau de pluie :</t>
  </si>
  <si>
    <t xml:space="preserve">Approvisionnements locaux auprès des entreprises</t>
  </si>
  <si>
    <t xml:space="preserve">pg 14-17</t>
  </si>
  <si>
    <t xml:space="preserve">Utilisation d’énergie d’origine agricole ou forestière produite sur le territoire local :</t>
  </si>
  <si>
    <t xml:space="preserve">Approvisionnements locaux pour la production d’énergie sur l’exploitation (méthanisation, chaudière bois, …)</t>
  </si>
  <si>
    <t xml:space="preserve">Approvisionnements en matériaux produits localement (bois d’œuvre, piquet de vigne, …)</t>
  </si>
  <si>
    <t xml:space="preserve">Autres approvisionnements significatifs en produits locaux (emballage, bouteille, …)</t>
  </si>
  <si>
    <t xml:space="preserve">Valorisation de sous-produits issus de la communauté locale</t>
  </si>
  <si>
    <t xml:space="preserve">pg 15-18</t>
  </si>
  <si>
    <t xml:space="preserve">B10 ANC6 - Valorisation et qualité du patrimoine bâti, paysage et savoir locaux et ressources naturelles</t>
  </si>
  <si>
    <t xml:space="preserve">pg 5-11-19</t>
  </si>
  <si>
    <t xml:space="preserve">Qualité du patrimoine bâti (y compris habitation si présente sur la ferme): </t>
  </si>
  <si>
    <t xml:space="preserve">Aménagement paysager des surfaces cultivées et lisières et forêts de l’exploitation :</t>
  </si>
  <si>
    <t xml:space="preserve">Qualité et typicité architecturale et intégration paysagère :</t>
  </si>
  <si>
    <t xml:space="preserve">Mise en œuvre d’actions visant à valoriser le paysage (concours fermes fleuries, jachères fleuries, engagement chartes paysagères locales) :</t>
  </si>
  <si>
    <t xml:space="preserve">non </t>
  </si>
  <si>
    <t xml:space="preserve">Contribution par les pratiques culturales ou d’élevage, à la valorisation et à l’entretien du paysage culturel :</t>
  </si>
  <si>
    <t xml:space="preserve">Qualité des abords du siège d’exploitation :</t>
  </si>
  <si>
    <t xml:space="preserve">Comment se fait cette contribution?</t>
  </si>
  <si>
    <t xml:space="preserve">Maintien et/ou développement du patrimoine naturel génétique local:   </t>
  </si>
  <si>
    <r>
      <rPr>
        <sz val="11"/>
        <color rgb="FF000000"/>
        <rFont val="Times New Roman"/>
        <family val="1"/>
        <charset val="1"/>
      </rPr>
      <t xml:space="preserve">Présence de races/variétés/cépages </t>
    </r>
    <r>
      <rPr>
        <b val="true"/>
        <sz val="11"/>
        <color rgb="FF000000"/>
        <rFont val="Times New Roman"/>
        <family val="1"/>
        <charset val="1"/>
      </rPr>
      <t xml:space="preserve">locaux</t>
    </r>
    <r>
      <rPr>
        <sz val="11"/>
        <color rgb="FF000000"/>
        <rFont val="Times New Roman"/>
        <family val="1"/>
        <charset val="1"/>
      </rPr>
      <t xml:space="preserve"> à faibles effectifs rentrant dans l’acte de production</t>
    </r>
  </si>
  <si>
    <t xml:space="preserve">Si cultures, noms des variétés :</t>
  </si>
  <si>
    <t xml:space="preserve">Si animaux, races des animaux :</t>
  </si>
  <si>
    <t xml:space="preserve">B11 RES13 - Accessibilité de l'espace</t>
  </si>
  <si>
    <t xml:space="preserve">B12 RES14 - Gestion des déchets non organiques</t>
  </si>
  <si>
    <t xml:space="preserve">tri ou recyclage</t>
  </si>
  <si>
    <t xml:space="preserve">Résultat du tableau</t>
  </si>
  <si>
    <t xml:space="preserve">Autres 
(ampoules, tubes néons, ampoules infrarouges, à vapeur de sodium…)</t>
  </si>
  <si>
    <t xml:space="preserve">Pratiques à risques :</t>
  </si>
  <si>
    <t xml:space="preserve">B13 AUT5 CAP6 ROB7 - Réseaux d'innovation et mutualisation du matériel</t>
  </si>
  <si>
    <t xml:space="preserve">pg 17-19</t>
  </si>
  <si>
    <t xml:space="preserve">B14 ANC7 CAP7 RES15 - Contribution à l'emploi et gestion du salariat</t>
  </si>
  <si>
    <t xml:space="preserve">pg 20</t>
  </si>
  <si>
    <t xml:space="preserve">Intensité du travail (SAU/UTH) =</t>
  </si>
  <si>
    <t xml:space="preserve">Plus de 50% de la main d’œuvre saisonnière réside de façon permanente sur le territoire</t>
  </si>
  <si>
    <t xml:space="preserve">Territoire = dans un rayon de 50 km</t>
  </si>
  <si>
    <t xml:space="preserve">Nature des tâches :</t>
  </si>
  <si>
    <t xml:space="preserve">variées</t>
  </si>
  <si>
    <t xml:space="preserve">B15 ANC8 AUT6 CAP8 ROB8 - Mutualisation du travail</t>
  </si>
  <si>
    <t xml:space="preserve">pg 17-20</t>
  </si>
  <si>
    <t xml:space="preserve">Travail collectif :</t>
  </si>
  <si>
    <t xml:space="preserve">Projets productifs en commun :</t>
  </si>
  <si>
    <t xml:space="preserve">Lesquels?</t>
  </si>
  <si>
    <t xml:space="preserve">B16 CAP9 RES16 ROB9 - Intensité et qualité au travail</t>
  </si>
  <si>
    <t xml:space="preserve">0 = très insatisfait ; 4 = très satisfait</t>
  </si>
  <si>
    <t xml:space="preserve">Nombre de semaines par an où l'agriculteur se sent surchargé :</t>
  </si>
  <si>
    <t xml:space="preserve">Estimez-vous nécessaire de prendre des congés ?</t>
  </si>
  <si>
    <t xml:space="preserve">En prenez-vous ?</t>
  </si>
  <si>
    <t xml:space="preserve">Pénibilité du travail sur une échelle de 0 à -4 (très pénible)</t>
  </si>
  <si>
    <t xml:space="preserve">0 = aucune pénibilité ; - 4 = très pénible</t>
  </si>
  <si>
    <t xml:space="preserve">B17 RES17- Accueil, hygiène et sécurité</t>
  </si>
  <si>
    <t xml:space="preserve">pg 20-21</t>
  </si>
  <si>
    <t xml:space="preserve">Auto-évaluation de la qualité d'accueil et d'hébergement de la main-d'œuvre temporaire/stagiaires :</t>
  </si>
  <si>
    <t xml:space="preserve">0 = insatisfaisant ; 2 = satisfaisant</t>
  </si>
  <si>
    <t xml:space="preserve">Pratiques exposants les individus aux produits phytosanitaires :</t>
  </si>
  <si>
    <t xml:space="preserve">B18 AUT7 CAP10 ROB10 - Formation</t>
  </si>
  <si>
    <t xml:space="preserve">pg 19-20</t>
  </si>
  <si>
    <t xml:space="preserve">B19 ANC9 RES18 - Implication sociale territoriale et solidarités</t>
  </si>
  <si>
    <t xml:space="preserve">pg 21-23</t>
  </si>
  <si>
    <t xml:space="preserve">Implication dans des structures professionnelles agricoles :</t>
  </si>
  <si>
    <t xml:space="preserve">Oui, en tant que responsable</t>
  </si>
  <si>
    <t xml:space="preserve">pg 21</t>
  </si>
  <si>
    <t xml:space="preserve">Implication dans des structures non agricoles (associatives et/ou électives) hors champ professionnel dans le territoire :</t>
  </si>
  <si>
    <r>
      <rPr>
        <b val="true"/>
        <sz val="11"/>
        <color rgb="FF000000"/>
        <rFont val="Times New Roman"/>
        <family val="1"/>
        <charset val="1"/>
      </rPr>
      <t xml:space="preserve">Travail</t>
    </r>
    <r>
      <rPr>
        <b val="true"/>
        <sz val="10"/>
        <color rgb="FF333333"/>
        <rFont val="Times New Roman"/>
        <family val="1"/>
        <charset val="1"/>
      </rPr>
      <t xml:space="preserve"> </t>
    </r>
    <r>
      <rPr>
        <b val="true"/>
        <sz val="11"/>
        <color rgb="FF333333"/>
        <rFont val="Times New Roman"/>
        <family val="1"/>
        <charset val="1"/>
      </rPr>
      <t xml:space="preserve">avec des structures relevant du champ de l'économie sociale et solidaire et pratiques d’insertion et/ou d’expérimentation sociale : </t>
    </r>
  </si>
  <si>
    <t xml:space="preserve">Si non, raisons? (impossibilité réglementaire, difficultés familiales…)</t>
  </si>
  <si>
    <t xml:space="preserve">Habitation très éloignée des lieux de production (&gt;20km) : </t>
  </si>
  <si>
    <t xml:space="preserve">pg 23</t>
  </si>
  <si>
    <t xml:space="preserve">B20 RES19 - Démarche de transparence</t>
  </si>
  <si>
    <t xml:space="preserve">oui démarche non certifiée</t>
  </si>
  <si>
    <t xml:space="preserve">B21 RES20 - Qualité de vie</t>
  </si>
  <si>
    <t xml:space="preserve">B22 ROB11 - Isolement</t>
  </si>
  <si>
    <r>
      <rPr>
        <b val="true"/>
        <sz val="11"/>
        <color rgb="FF000000"/>
        <rFont val="Times New Roman"/>
        <family val="1"/>
        <charset val="1"/>
      </rPr>
      <t xml:space="preserve">Auto-estimation de</t>
    </r>
    <r>
      <rPr>
        <b val="true"/>
        <sz val="11"/>
        <color rgb="FFFF8080"/>
        <rFont val="Times New Roman"/>
        <family val="1"/>
        <charset val="1"/>
      </rPr>
      <t xml:space="preserve"> 0 à 3</t>
    </r>
    <r>
      <rPr>
        <b val="true"/>
        <i val="true"/>
        <sz val="11"/>
        <color rgb="FFFF8080"/>
        <rFont val="Times New Roman"/>
        <family val="1"/>
        <charset val="1"/>
      </rPr>
      <t xml:space="preserve"> </t>
    </r>
    <r>
      <rPr>
        <b val="true"/>
        <sz val="11"/>
        <color rgb="FF000000"/>
        <rFont val="Times New Roman"/>
        <family val="1"/>
        <charset val="1"/>
      </rPr>
      <t xml:space="preserve">du</t>
    </r>
    <r>
      <rPr>
        <b val="true"/>
        <i val="true"/>
        <sz val="11"/>
        <color rgb="FF000000"/>
        <rFont val="Times New Roman"/>
        <family val="1"/>
        <charset val="1"/>
      </rPr>
      <t xml:space="preserve"> </t>
    </r>
    <r>
      <rPr>
        <b val="true"/>
        <sz val="11"/>
        <color rgb="FF000000"/>
        <rFont val="Times New Roman"/>
        <family val="1"/>
        <charset val="1"/>
      </rPr>
      <t xml:space="preserve">sentiment d'isolement géographique, social, culturel, accès aux services publics :</t>
    </r>
  </si>
  <si>
    <t xml:space="preserve">0 = très fort sentiment d'isolement ; 3 = aucun sentiment d'isolement</t>
  </si>
  <si>
    <r>
      <rPr>
        <b val="true"/>
        <sz val="11"/>
        <color rgb="FF000000"/>
        <rFont val="Times New Roman"/>
        <family val="1"/>
        <charset val="1"/>
      </rPr>
      <t xml:space="preserve">Auto-estimation de</t>
    </r>
    <r>
      <rPr>
        <b val="true"/>
        <sz val="11"/>
        <color rgb="FFFF8080"/>
        <rFont val="Times New Roman"/>
        <family val="1"/>
        <charset val="1"/>
      </rPr>
      <t xml:space="preserve"> 0 à 3</t>
    </r>
    <r>
      <rPr>
        <b val="true"/>
        <i val="true"/>
        <sz val="11"/>
        <color rgb="FFFF8080"/>
        <rFont val="Times New Roman"/>
        <family val="1"/>
        <charset val="1"/>
      </rPr>
      <t xml:space="preserve"> </t>
    </r>
    <r>
      <rPr>
        <b val="true"/>
        <sz val="11"/>
        <color rgb="FF000000"/>
        <rFont val="Times New Roman"/>
        <family val="1"/>
        <charset val="1"/>
      </rPr>
      <t xml:space="preserve">de la qualité d'accès aux services productifs de l'exploitation :</t>
    </r>
  </si>
  <si>
    <t xml:space="preserve">0 = très mauvais accès ; 3 = très bon accès</t>
  </si>
  <si>
    <t xml:space="preserve">B23 RES21 - Bien-être animal</t>
  </si>
  <si>
    <t xml:space="preserve">pg 5-16</t>
  </si>
  <si>
    <t xml:space="preserve">Bien être des animaux d'élevage</t>
  </si>
  <si>
    <t xml:space="preserve">Bon état général du troupeau (absence de boiterie, blessures,….)</t>
  </si>
  <si>
    <t xml:space="preserve">Confort dans les bâtiments d’élevage (paillage suffisant, animaux propres, aire d'exercice non-glissant, …) et au champ (ombrage, abris,…).</t>
  </si>
  <si>
    <t xml:space="preserve">Utilisation d'outils de monitoring pour mise bas</t>
  </si>
  <si>
    <t xml:space="preserve">Conditions de transports (et abattage) respectant les obligations légales</t>
  </si>
  <si>
    <t xml:space="preserve">Fort engagement dans le métier / relation de l’éleveur à l’animal développée</t>
  </si>
  <si>
    <t xml:space="preserve">Pratiques rédhibitoires</t>
  </si>
  <si>
    <t xml:space="preserve"> Zéro-pâturage</t>
  </si>
  <si>
    <t xml:space="preserve">Remarques</t>
  </si>
  <si>
    <t xml:space="preserve">Prise en compte de la faune sauvage</t>
  </si>
  <si>
    <t xml:space="preserve">Maintien d'habitats dans les parcelles (retard de la fauche après le 15 juillet, maintien des chaumes d'environ 20 cm et/ou de bandes refuges non-récoltées)</t>
  </si>
  <si>
    <t xml:space="preserve">Utilisation de repulsifs (non toxiques), d'effaroucheurs sonores ou visuels comme mesure de préventionnon-létale</t>
  </si>
  <si>
    <t xml:space="preserve">IV - Les données économiques de l'exploitation</t>
  </si>
  <si>
    <t xml:space="preserve">Compte de résultat : CHARGES </t>
  </si>
  <si>
    <t xml:space="preserve">pg 22</t>
  </si>
  <si>
    <t xml:space="preserve">Valeur en euros</t>
  </si>
  <si>
    <t xml:space="preserve">Consommation intermédiares pour C10 (CI)</t>
  </si>
  <si>
    <r>
      <rPr>
        <u val="single"/>
        <sz val="11"/>
        <rFont val="Arial"/>
        <family val="2"/>
        <charset val="1"/>
      </rPr>
      <t xml:space="preserve">Liste des consommations prises en compte (les données en gras sont spécifiques à cet indicateur) :
</t>
    </r>
    <r>
      <rPr>
        <sz val="11"/>
        <rFont val="Arial"/>
        <family val="2"/>
        <charset val="1"/>
      </rPr>
      <t xml:space="preserve">Les charges réelles d’approvisionnement (semences, engrais, amendements, produits phytosanitaires, produits vétérinaires, aliments grossiers achetés, aliments concentrés achetés, carburants et lubrifiants, combustibles) autres fournitures stockées; 
L’eau, le gaz, l’électricité, l'eau d’irrigation; Les fournitures non stockées; 
</t>
    </r>
    <r>
      <rPr>
        <b val="true"/>
        <sz val="11"/>
        <rFont val="Arial"/>
        <family val="2"/>
        <charset val="1"/>
      </rPr>
      <t xml:space="preserve">Les loyers du matériel et des animaux (charges); L’entretien des bâtiments et du matériel; Les charges de petit matériel; 
Les frais de travaux par tiers et services pour cultures et élevages (les honoraires du vétérinaire, prestations de service liées aux carburants et combustibles);
</t>
    </r>
    <r>
      <rPr>
        <sz val="11"/>
        <rFont val="Arial"/>
        <family val="2"/>
        <charset val="1"/>
      </rPr>
      <t xml:space="preserve">Les charges opérationnelles liées à la transformation et la commercialisation
</t>
    </r>
    <r>
      <rPr>
        <b val="true"/>
        <sz val="11"/>
        <rFont val="Arial"/>
        <family val="2"/>
        <charset val="1"/>
      </rPr>
      <t xml:space="preserve">Les frais de transports et déplacements; Les frais divers de gestion, les redevances de crédit-bail;
</t>
    </r>
    <r>
      <rPr>
        <sz val="11"/>
        <rFont val="Arial"/>
        <family val="2"/>
        <charset val="1"/>
      </rPr>
      <t xml:space="preserve">Attention: Ne pas intégrer les charges de fermages; Ne pas intégrer les impôts et taxes.</t>
    </r>
  </si>
  <si>
    <t xml:space="preserve">Intrants achetés pour C11</t>
  </si>
  <si>
    <r>
      <rPr>
        <u val="single"/>
        <sz val="11"/>
        <rFont val="Arial"/>
        <family val="2"/>
        <charset val="1"/>
      </rPr>
      <t xml:space="preserve">Liste des intrants pris en compte (les données en gras sont spécifiques à cet indicateur) :
</t>
    </r>
    <r>
      <rPr>
        <sz val="11"/>
        <rFont val="Arial"/>
        <family val="2"/>
        <charset val="1"/>
      </rPr>
      <t xml:space="preserve">Les charges réelles d’approvisionnement (semences, engrais, amendements, produits phytosanitaires, produits vétérinaires, aliments grossiers achetés, aliments concentrés achetés, carburants et lubrifiants, combustibles) autres fournitures stockées;
L’eau, le gaz, l’électricité, l'eau d’irrigation;  Les fournitures non stockées; 
Les charges d'approvisionnement liées à la transformation et la commercialisation (emballages, bouchons, bouteilles, ...);
</t>
    </r>
    <r>
      <rPr>
        <b val="true"/>
        <sz val="11"/>
        <rFont val="Arial"/>
        <family val="2"/>
        <charset val="1"/>
      </rPr>
      <t xml:space="preserve">Les achats d'animaux (non reproducterurs) pour les cycles de production courts;</t>
    </r>
  </si>
  <si>
    <t xml:space="preserve">Compte de résultat : PRODUITS</t>
  </si>
  <si>
    <t xml:space="preserve">Valeur de la Production (PR) </t>
  </si>
  <si>
    <t xml:space="preserve">EMPRUNTS  </t>
  </si>
  <si>
    <t xml:space="preserve">Emprunts Long et Moyen Terme (LMT) (capital total restant du) </t>
  </si>
  <si>
    <t xml:space="preserve">Solde des comptes 16 hors comptes 1643 qui correspondent aux emprunts à court-terme et comptes 1688 qui correspondent aux interets courus
Attention: Si les comptes d’associés sont importants, il convient de les diviser en deux blocs:
• une 1ère part qui est laissée en dettes CT (prendre le montant moyen des prélèvements annuels des associés sur les 3 dernières),
• une 2nd part correspond au reste de la valeur du compte associé que l’on considère alors comme des dettes LMT.
On a alors Emprunts LMT = dettes LMT + montant du compte associé - montant moyen des prélèvements annuels des associés sur les 3 dernières années.
</t>
  </si>
  <si>
    <t xml:space="preserve">Annuités LMT (capital remboursée et intérêt des emprunts LMT)  </t>
  </si>
  <si>
    <t xml:space="preserve">Pour la partie capital: dans les débits des comptes 16, notamment 164  (attention : ne pas prendre en compte les montants du compte 1643 des emprunts CT )
Pour la partie intérêt :  soit dans les comptes 66 (intérêt d'emprunt LMT 6612), soit dans le débit des comptes 168842</t>
  </si>
  <si>
    <t xml:space="preserve">Dans les comptes 66 (plus précisément 6613)</t>
  </si>
  <si>
    <t xml:space="preserve">BILAN</t>
  </si>
  <si>
    <t xml:space="preserve">Actif net hors foncier </t>
  </si>
  <si>
    <t xml:space="preserve">actif net total (en bas de l'actif) - valeur des terres (dans la catégorie immobilisations corporelles de l'actif)</t>
  </si>
  <si>
    <t xml:space="preserve">Capitaux permanents</t>
  </si>
  <si>
    <t xml:space="preserve">capitaux propres + provisions pour risques et charges + emprunt LMT</t>
  </si>
  <si>
    <t xml:space="preserve">C1 CAP11 - Capacité économique</t>
  </si>
  <si>
    <t xml:space="preserve">Besoin en Financement:</t>
  </si>
  <si>
    <t xml:space="preserve">BF=</t>
  </si>
  <si>
    <t xml:space="preserve">Capacité Economique:</t>
  </si>
  <si>
    <t xml:space="preserve">CE  =</t>
  </si>
  <si>
    <t xml:space="preserve">SMIC net mensuel en € à saisir </t>
  </si>
  <si>
    <t xml:space="preserve">SMIC net annuel en €</t>
  </si>
  <si>
    <t xml:space="preserve">CE/SMIC net =</t>
  </si>
  <si>
    <t xml:space="preserve">C2 CAP12 - Poids de la dette</t>
  </si>
  <si>
    <t xml:space="preserve">Poids de la dette (PdD) =</t>
  </si>
  <si>
    <t xml:space="preserve">Pdd =</t>
  </si>
  <si>
    <t xml:space="preserve">C3 AUT8 CAP13 - Taux d'endettement structurel</t>
  </si>
  <si>
    <t xml:space="preserve">Taux d'Endettement Structurel ( TES) en % =</t>
  </si>
  <si>
    <t xml:space="preserve">TES =</t>
  </si>
  <si>
    <t xml:space="preserve">C4 ROB12 - Diversification productive</t>
  </si>
  <si>
    <t xml:space="preserve">pg 24</t>
  </si>
  <si>
    <t xml:space="preserve">CA produits 
(hors subvention)</t>
  </si>
  <si>
    <t xml:space="preserve">CA</t>
  </si>
  <si>
    <t xml:space="preserve">Produit brut année N (hors subvention)</t>
  </si>
  <si>
    <t xml:space="preserve">Atelier 1 : grandes cultures  (hors contrat) </t>
  </si>
  <si>
    <t xml:space="preserve">maïs- sorgho</t>
  </si>
  <si>
    <t xml:space="preserve">Atelier 2 : cultures industrielles (dont plantes à fibres, semences, plantes aromatiques et médécinales et grandes cultures sous contrat)</t>
  </si>
  <si>
    <t xml:space="preserve">Part de l'atelier productif le plus important :</t>
  </si>
  <si>
    <t xml:space="preserve">Autres culture</t>
  </si>
  <si>
    <t xml:space="preserve">culture 4</t>
  </si>
  <si>
    <t xml:space="preserve">Nombre de produits vendus représentant plus de 20% du CA :</t>
  </si>
  <si>
    <t xml:space="preserve">arbo: espèce 4</t>
  </si>
  <si>
    <t xml:space="preserve">Atelier  5 :  viticulture et vinification</t>
  </si>
  <si>
    <t xml:space="preserve">Atelier  9 : caprin lait et viande </t>
  </si>
  <si>
    <t xml:space="preserve">Atelier 13 Autres typres de production (dont éléctricité, gaz naturel, …)</t>
  </si>
  <si>
    <t xml:space="preserve">CA total =</t>
  </si>
  <si>
    <t xml:space="preserve">PB total =</t>
  </si>
  <si>
    <t xml:space="preserve">C5 AUT9 ROB13 - Diversification et relations contractuelles</t>
  </si>
  <si>
    <t xml:space="preserve">Ateliers principal en intégration :</t>
  </si>
  <si>
    <t xml:space="preserve">C6 AUT10 - Sensibilité aux aides</t>
  </si>
  <si>
    <t xml:space="preserve">Sensibilité aux aides :</t>
  </si>
  <si>
    <t xml:space="preserve">%  SA =</t>
  </si>
  <si>
    <t xml:space="preserve">C7 ROB14 - Contribution de revenu extérieur à l'indépendance</t>
  </si>
  <si>
    <t xml:space="preserve">Revenu significatif extérieur ou issu de la pluriactivité de l'agriculteur </t>
  </si>
  <si>
    <t xml:space="preserve">Lequel ?</t>
  </si>
  <si>
    <t xml:space="preserve">y compris revenu du conjoit/de la conjointe</t>
  </si>
  <si>
    <t xml:space="preserve">C8 ROB15 - Transmissibilité économique</t>
  </si>
  <si>
    <t xml:space="preserve">Capital hors foncier € / UTH NS = </t>
  </si>
  <si>
    <t xml:space="preserve">EBE (€) / UTH NS =</t>
  </si>
  <si>
    <t xml:space="preserve">C9 ROB16 - Pérennité problable</t>
  </si>
  <si>
    <t xml:space="preserve">Que pensez-vous de l'existence de votre exploitation dans 10 ans ?</t>
  </si>
  <si>
    <t xml:space="preserve">Projet de développement, d'aménagement ou d'extension :</t>
  </si>
  <si>
    <t xml:space="preserve">Quels sont ce(s) projet(s) ?</t>
  </si>
  <si>
    <t xml:space="preserve">Structure du parcellaire :</t>
  </si>
  <si>
    <t xml:space="preserve">C10 CAP14 - Efficience brute du processus productif</t>
  </si>
  <si>
    <t xml:space="preserve">Efficience Brute :</t>
  </si>
  <si>
    <t xml:space="preserve">EB = </t>
  </si>
  <si>
    <t xml:space="preserve">C11 RES22 - Sobriété en intrants dans le processus productif</t>
  </si>
  <si>
    <t xml:space="preserve">Dépenses en Intrants :</t>
  </si>
  <si>
    <t xml:space="preserve">DI = </t>
  </si>
  <si>
    <t xml:space="preserve">Outils de calcul du Bilan apparent </t>
  </si>
  <si>
    <t xml:space="preserve">Adapté d'après F. Vertes  (INRA Quimper, version janvier 2005)</t>
  </si>
  <si>
    <t xml:space="preserve">Sources des données utilisées pour le calcul du Bilan apparent</t>
  </si>
  <si>
    <t xml:space="preserve">Code couleur</t>
  </si>
  <si>
    <t xml:space="preserve">N°</t>
  </si>
  <si>
    <t xml:space="preserve">Outil de calcul du Bilan apparent Version 2005 (F. Vertes, Inra Quimper)</t>
  </si>
  <si>
    <r>
      <rPr>
        <sz val="10"/>
        <rFont val="Arial"/>
        <family val="2"/>
        <charset val="1"/>
      </rPr>
      <t xml:space="preserve">Résumé sipmlifié du </t>
    </r>
    <r>
      <rPr>
        <i val="true"/>
        <sz val="10"/>
        <rFont val="Arial"/>
        <family val="2"/>
        <charset val="1"/>
      </rPr>
      <t xml:space="preserve">bilan des minéraux, cahier de l'éleveur, comptabilité des minéraux azote, phosphore, potasse</t>
    </r>
    <r>
      <rPr>
        <sz val="10"/>
        <rFont val="Arial"/>
        <family val="2"/>
        <charset val="1"/>
      </rPr>
      <t xml:space="preserve"> publié par l'Institut de l'élevage, D'après La méthode IDEA Guide d'utilisation 2002</t>
    </r>
  </si>
  <si>
    <t xml:space="preserve">RIBEREAU-GAYON J., PEYNAUD E., Traité d’ampélologie, sciences et techniques de la vigne, tome 1 – biologie de la vigne, sols de vignobles, Dunod, Paris, 1971</t>
  </si>
  <si>
    <t xml:space="preserve">Titre</t>
  </si>
  <si>
    <t xml:space="preserve">Données moyennes tirées de la bibliographie (d'après contact avec la Station expérimentale de Creysse)</t>
  </si>
  <si>
    <t xml:space="preserve">ETUDE DES CARACTERISTIQUES ENVIRONNEMENTALES DU CHANVRE PAR L’ANALYSE DE SON CYCLE DE VIE (Ministère de l'agriculture et de la pêche, septembre 2006) </t>
  </si>
  <si>
    <t xml:space="preserve">E1 - Entrée par engrais chimiques </t>
  </si>
  <si>
    <t xml:space="preserve">Fertliser avec les engrais de ferme, Institut de l'élevage, ITAVI, ITCF, ITP, 2001</t>
  </si>
  <si>
    <t xml:space="preserve">Institut de l'élevage</t>
  </si>
  <si>
    <t xml:space="preserve">Les engrais minéraux achetés</t>
  </si>
  <si>
    <t xml:space="preserve">IDEA 3</t>
  </si>
  <si>
    <t xml:space="preserve">Source des données</t>
  </si>
  <si>
    <t xml:space="preserve">*</t>
  </si>
  <si>
    <t xml:space="preserve">Sans Objet</t>
  </si>
  <si>
    <t xml:space="preserve">NPK 12-24-12</t>
  </si>
  <si>
    <t xml:space="preserve">KornKali</t>
  </si>
  <si>
    <t xml:space="preserve">Total (kg)</t>
  </si>
  <si>
    <t xml:space="preserve">Conversion</t>
  </si>
  <si>
    <t xml:space="preserve">P</t>
  </si>
  <si>
    <t xml:space="preserve">K</t>
  </si>
  <si>
    <t xml:space="preserve">Total entrée engrais minéral (kg)</t>
  </si>
  <si>
    <t xml:space="preserve">E2 - Entrée par engrais organiques (importés)</t>
  </si>
  <si>
    <t xml:space="preserve">Les engrais organiques achetés </t>
  </si>
  <si>
    <t xml:space="preserve">tonnes ou m3</t>
  </si>
  <si>
    <t xml:space="preserve">kg N/m3 ou kg N /tonnes </t>
  </si>
  <si>
    <t xml:space="preserve">Bovins</t>
  </si>
  <si>
    <t xml:space="preserve">Ovins</t>
  </si>
  <si>
    <t xml:space="preserve">Fumier ovin</t>
  </si>
  <si>
    <t xml:space="preserve">Caprins</t>
  </si>
  <si>
    <t xml:space="preserve">Fumier caprin</t>
  </si>
  <si>
    <t xml:space="preserve">Volailles</t>
  </si>
  <si>
    <t xml:space="preserve">Porcs</t>
  </si>
  <si>
    <t xml:space="preserve">quelles proportions ?</t>
  </si>
  <si>
    <t xml:space="preserve">Compost fumiers + tourteaux (type Végor, Végéh...)</t>
  </si>
  <si>
    <t xml:space="preserve">E3 - Entrée d'azote atmosphérique par les légumineuses</t>
  </si>
  <si>
    <t xml:space="preserve">E3.1 - Légumineuse de prairie</t>
  </si>
  <si>
    <t xml:space="preserve">Autre mélange       G + L</t>
  </si>
  <si>
    <t xml:space="preserve">Attention si vous avez rajouter des entrées de prairie dans la liste du parcellaire à la cellule , les données de ces dernières ne sont pas redirigées automatiquement dans ce tableau</t>
  </si>
  <si>
    <t xml:space="preserve">%Legumineuse</t>
  </si>
  <si>
    <t xml:space="preserve">rendement </t>
  </si>
  <si>
    <t xml:space="preserve">tonne MS / ha</t>
  </si>
  <si>
    <t xml:space="preserve">kg N / tMS </t>
  </si>
  <si>
    <t xml:space="preserve">Azote fixé </t>
  </si>
  <si>
    <t xml:space="preserve">kg N / ha</t>
  </si>
  <si>
    <t xml:space="preserve">Surface PT Gram+Leg**</t>
  </si>
  <si>
    <t xml:space="preserve">Azote total fixé</t>
  </si>
  <si>
    <t xml:space="preserve">kg N </t>
  </si>
  <si>
    <t xml:space="preserve">E3.2 - Culture de légumineuses pures</t>
  </si>
  <si>
    <t xml:space="preserve">rendement</t>
  </si>
  <si>
    <t xml:space="preserve">N fixé/tMS</t>
  </si>
  <si>
    <t xml:space="preserve">kg N / t MS</t>
  </si>
  <si>
    <t xml:space="preserve">Azote fixé     (kg N/ha)</t>
  </si>
  <si>
    <t xml:space="preserve">Rendement q MF / ha</t>
  </si>
  <si>
    <t xml:space="preserve">Trèfle violet pur</t>
  </si>
  <si>
    <t xml:space="preserve">Luzerne</t>
  </si>
  <si>
    <t xml:space="preserve">Pois</t>
  </si>
  <si>
    <t xml:space="preserve">Autre leg pure</t>
  </si>
  <si>
    <t xml:space="preserve">Féverole print.</t>
  </si>
  <si>
    <t xml:space="preserve">Féverole hiver</t>
  </si>
  <si>
    <t xml:space="preserve">Lupin print.</t>
  </si>
  <si>
    <t xml:space="preserve">N fixé/tMF</t>
  </si>
  <si>
    <t xml:space="preserve">Soja</t>
  </si>
  <si>
    <t xml:space="preserve">q MF / ha</t>
  </si>
  <si>
    <t xml:space="preserve">Haricots</t>
  </si>
  <si>
    <t xml:space="preserve">haricot grain</t>
  </si>
  <si>
    <t xml:space="preserve">kg N</t>
  </si>
  <si>
    <t xml:space="preserve">Total légumineuse pures</t>
  </si>
  <si>
    <t xml:space="preserve">Total légumineuses</t>
  </si>
  <si>
    <t xml:space="preserve">E4 - Entrée par les aliments</t>
  </si>
  <si>
    <t xml:space="preserve">Quantité achetée (tonnes brutes)</t>
  </si>
  <si>
    <t xml:space="preserve">Matières premières</t>
  </si>
  <si>
    <t xml:space="preserve">Tonnes brutes</t>
  </si>
  <si>
    <t xml:space="preserve">kg / tonne produit brute</t>
  </si>
  <si>
    <t xml:space="preserve">Aliment porstsevrage</t>
  </si>
  <si>
    <t xml:space="preserve">Tonne de MS</t>
  </si>
  <si>
    <t xml:space="preserve">kg / t MS</t>
  </si>
  <si>
    <t xml:space="preserve">A valider</t>
  </si>
  <si>
    <t xml:space="preserve">E5 - Entrée par les animaux</t>
  </si>
  <si>
    <t xml:space="preserve">Type d'animaux :</t>
  </si>
  <si>
    <t xml:space="preserve">poids unitaire</t>
  </si>
  <si>
    <t xml:space="preserve">kg accès réfèrences</t>
  </si>
  <si>
    <t xml:space="preserve">kg N / tonne</t>
  </si>
  <si>
    <t xml:space="preserve">Chevaux/ Juments</t>
  </si>
  <si>
    <t xml:space="preserve">Anes / Anesses</t>
  </si>
  <si>
    <t xml:space="preserve">Abeilles</t>
  </si>
  <si>
    <t xml:space="preserve">Total N</t>
  </si>
  <si>
    <t xml:space="preserve">S1 - Sortie par les engrais organiques</t>
  </si>
  <si>
    <t xml:space="preserve">On ne considère que les engrais organiques qui sortent que de l'exploitation (vente)</t>
  </si>
  <si>
    <t xml:space="preserve">Type d'effluents</t>
  </si>
  <si>
    <t xml:space="preserve">Quantités quittant l'exploitation</t>
  </si>
  <si>
    <t xml:space="preserve">tonne ou m3</t>
  </si>
  <si>
    <t xml:space="preserve">kg / m3 ou        kg / tonne </t>
  </si>
  <si>
    <t xml:space="preserve">S2 - Sortie par les végétaux</t>
  </si>
  <si>
    <t xml:space="preserve">Cultures</t>
  </si>
  <si>
    <t xml:space="preserve">Tonne produit brute</t>
  </si>
  <si>
    <t xml:space="preserve">Autre 1 : maîs semences</t>
  </si>
  <si>
    <t xml:space="preserve">tonne MS</t>
  </si>
  <si>
    <t xml:space="preserve">maïs ensilage</t>
  </si>
  <si>
    <t xml:space="preserve">Luzerne (déshydratée)</t>
  </si>
  <si>
    <t xml:space="preserve">S3 - Sortie par les Fruits et légumes</t>
  </si>
  <si>
    <t xml:space="preserve">Type de fruits/légumes</t>
  </si>
  <si>
    <t xml:space="preserve">Quantité vendues</t>
  </si>
  <si>
    <t xml:space="preserve">Tonnes brutes (*ou pour 1000 têtes)</t>
  </si>
  <si>
    <t xml:space="preserve">kg / Tonne de produits frais (*ou kg / 1000 têtes)</t>
  </si>
  <si>
    <t xml:space="preserve">Artichauts camus, castel</t>
  </si>
  <si>
    <r>
      <rPr>
        <sz val="10"/>
        <rFont val="Arial"/>
        <family val="2"/>
        <charset val="1"/>
      </rPr>
      <t xml:space="preserve">Artichauts violet </t>
    </r>
    <r>
      <rPr>
        <b val="true"/>
        <sz val="12"/>
        <rFont val="Arial"/>
        <family val="2"/>
        <charset val="1"/>
      </rPr>
      <t xml:space="preserve">*</t>
    </r>
  </si>
  <si>
    <t xml:space="preserve">Brocolis industriel</t>
  </si>
  <si>
    <t xml:space="preserve">Brocolis marché frais</t>
  </si>
  <si>
    <t xml:space="preserve">Carotte de terre</t>
  </si>
  <si>
    <t xml:space="preserve">Carotte grosse industrie</t>
  </si>
  <si>
    <t xml:space="preserve">Carotte jeune industrie</t>
  </si>
  <si>
    <t xml:space="preserve">Céleri branche</t>
  </si>
  <si>
    <t xml:space="preserve">Céleri rave</t>
  </si>
  <si>
    <t xml:space="preserve">Choux Cabu rouge et vert (pommes)</t>
  </si>
  <si>
    <r>
      <rPr>
        <sz val="10"/>
        <rFont val="Arial"/>
        <family val="2"/>
        <charset val="1"/>
      </rPr>
      <t xml:space="preserve">Choux fleurs couronné (vrac) </t>
    </r>
    <r>
      <rPr>
        <b val="true"/>
        <sz val="12"/>
        <rFont val="Arial"/>
        <family val="2"/>
        <charset val="1"/>
      </rPr>
      <t xml:space="preserve">*</t>
    </r>
  </si>
  <si>
    <r>
      <rPr>
        <sz val="10"/>
        <rFont val="Arial"/>
        <family val="2"/>
        <charset val="1"/>
      </rPr>
      <t xml:space="preserve">Choux fleurs surgélation (conditionné au champ) </t>
    </r>
    <r>
      <rPr>
        <b val="true"/>
        <sz val="12"/>
        <rFont val="Arial"/>
        <family val="2"/>
        <charset val="1"/>
      </rPr>
      <t xml:space="preserve">*</t>
    </r>
  </si>
  <si>
    <t xml:space="preserve">Choux milan</t>
  </si>
  <si>
    <t xml:space="preserve">Courgettes</t>
  </si>
  <si>
    <t xml:space="preserve">Echalotte</t>
  </si>
  <si>
    <t xml:space="preserve">Endives (chicons)</t>
  </si>
  <si>
    <t xml:space="preserve">Endives (racines)</t>
  </si>
  <si>
    <t xml:space="preserve">Epinard</t>
  </si>
  <si>
    <t xml:space="preserve">Fenouil</t>
  </si>
  <si>
    <t xml:space="preserve">Flageolet</t>
  </si>
  <si>
    <t xml:space="preserve">Fraise gariguettes et darselect</t>
  </si>
  <si>
    <t xml:space="preserve">Haricot coco frais (gousse)</t>
  </si>
  <si>
    <t xml:space="preserve">Haricot grain sec</t>
  </si>
  <si>
    <r>
      <rPr>
        <sz val="10"/>
        <rFont val="Arial"/>
        <family val="2"/>
        <charset val="1"/>
      </rPr>
      <t xml:space="preserve">Laitue Iceberg </t>
    </r>
    <r>
      <rPr>
        <b val="true"/>
        <sz val="12"/>
        <rFont val="Arial"/>
        <family val="2"/>
        <charset val="1"/>
      </rPr>
      <t xml:space="preserve">*</t>
    </r>
  </si>
  <si>
    <t xml:space="preserve">Navet</t>
  </si>
  <si>
    <t xml:space="preserve">Oignon</t>
  </si>
  <si>
    <t xml:space="preserve">Persil 4 coupes</t>
  </si>
  <si>
    <t xml:space="preserve">Poireau</t>
  </si>
  <si>
    <t xml:space="preserve">Pois de conserve</t>
  </si>
  <si>
    <t xml:space="preserve">Pomme de terre consommation</t>
  </si>
  <si>
    <t xml:space="preserve">Pomme de terre plant</t>
  </si>
  <si>
    <t xml:space="preserve">Pomme de terre primeur </t>
  </si>
  <si>
    <t xml:space="preserve">Raisin (pour vinification ou raisin de table)</t>
  </si>
  <si>
    <t xml:space="preserve">attention, si rendement en hl, les convertir en kg (1l = 1,3kg)</t>
  </si>
  <si>
    <t xml:space="preserve">Serment (taille annuelle des pieds de vigne si pas d’enfouissement)</t>
  </si>
  <si>
    <t xml:space="preserve">si serment sont exportés ou brûlés. Ne pas compléter en cas de broyage sur place.</t>
  </si>
  <si>
    <t xml:space="preserve">à compléter</t>
  </si>
  <si>
    <t xml:space="preserve">accumulation dans la charpente et racines annuellement</t>
  </si>
  <si>
    <t xml:space="preserve">peut être considérer uniquement les trois premières années</t>
  </si>
  <si>
    <r>
      <rPr>
        <sz val="10"/>
        <rFont val="Arial"/>
        <family val="2"/>
        <charset val="1"/>
      </rPr>
      <t xml:space="preserve">Salades de plein champ</t>
    </r>
    <r>
      <rPr>
        <b val="true"/>
        <sz val="12"/>
        <rFont val="Arial"/>
        <family val="2"/>
        <charset val="1"/>
      </rPr>
      <t xml:space="preserve"> *</t>
    </r>
  </si>
  <si>
    <t xml:space="preserve">Tournesol (grain)</t>
  </si>
  <si>
    <t xml:space="preserve">Taille annuelle des arbres</t>
  </si>
  <si>
    <t xml:space="preserve">Jean-Luc Regnard</t>
  </si>
  <si>
    <t xml:space="preserve">Sylvaine Simon (INRA Gotron)</t>
  </si>
  <si>
    <t xml:space="preserve">Accumulation dans la charpente et les racines</t>
  </si>
  <si>
    <t xml:space="preserve">S4 - Sortie par le lait et les œufs</t>
  </si>
  <si>
    <t xml:space="preserve">Production de lait</t>
  </si>
  <si>
    <t xml:space="preserve">Quantité de lait</t>
  </si>
  <si>
    <t xml:space="preserve">TP </t>
  </si>
  <si>
    <t xml:space="preserve">litre</t>
  </si>
  <si>
    <t xml:space="preserve">(g/litre)</t>
  </si>
  <si>
    <t xml:space="preserve">kg / 1000l</t>
  </si>
  <si>
    <t xml:space="preserve">Vache</t>
  </si>
  <si>
    <t xml:space="preserve">Brebis</t>
  </si>
  <si>
    <t xml:space="preserve">Chèvre</t>
  </si>
  <si>
    <t xml:space="preserve">Production d'œufs</t>
  </si>
  <si>
    <t xml:space="preserve">Nombre d'œufs</t>
  </si>
  <si>
    <t xml:space="preserve">Poids unitaire </t>
  </si>
  <si>
    <t xml:space="preserve">Nombres</t>
  </si>
  <si>
    <t xml:space="preserve">kg N/tonnes</t>
  </si>
  <si>
    <t xml:space="preserve">Oeuf de canard</t>
  </si>
  <si>
    <t xml:space="preserve">Oeuf de dinde</t>
  </si>
  <si>
    <t xml:space="preserve">Oeuf de poule</t>
  </si>
  <si>
    <t xml:space="preserve">Oeuf d'oie</t>
  </si>
  <si>
    <t xml:space="preserve">Total lait+œufs</t>
  </si>
  <si>
    <t xml:space="preserve">S5 - Sortie par les animaux</t>
  </si>
  <si>
    <t xml:space="preserve">ok</t>
  </si>
  <si>
    <t xml:space="preserve">Viande produite : </t>
  </si>
  <si>
    <t xml:space="preserve">Nb vendus</t>
  </si>
  <si>
    <t xml:space="preserve">Poids total sortie</t>
  </si>
  <si>
    <t xml:space="preserve">Chevaux/Juments</t>
  </si>
  <si>
    <t xml:space="preserve">Anes/Anesses</t>
  </si>
  <si>
    <t xml:space="preserve">Stockage N sous les prairies permanentes</t>
  </si>
  <si>
    <t xml:space="preserve"> fonction ajoutée pour IDEA 4</t>
  </si>
  <si>
    <t xml:space="preserve">Surface en prairies permanentes</t>
  </si>
  <si>
    <t xml:space="preserve">Quantité d’azote stockée </t>
  </si>
  <si>
    <t xml:space="preserve">Quantité totale d'azote stockée sous les PP</t>
  </si>
  <si>
    <t xml:space="preserve">kg / an / ha</t>
  </si>
  <si>
    <t xml:space="preserve">kg / an</t>
  </si>
  <si>
    <t xml:space="preserve">Volatilisation de l'azote</t>
  </si>
  <si>
    <t xml:space="preserve">N volatilisé issu du NH3</t>
  </si>
  <si>
    <t xml:space="preserve">Nbr d'UGB</t>
  </si>
  <si>
    <t xml:space="preserve">coef</t>
  </si>
  <si>
    <t xml:space="preserve">kg / UGB</t>
  </si>
  <si>
    <t xml:space="preserve">N volatilisé issu du NO2</t>
  </si>
  <si>
    <t xml:space="preserve">Emissions de NO2 </t>
  </si>
  <si>
    <t xml:space="preserve">PRC</t>
  </si>
  <si>
    <t xml:space="preserve">Coef de conversion</t>
  </si>
  <si>
    <t xml:space="preserve">kg eq-CO2 </t>
  </si>
  <si>
    <t xml:space="preserve">de NO2 à N</t>
  </si>
  <si>
    <t xml:space="preserve">Total N volatilisé</t>
  </si>
  <si>
    <t xml:space="preserve">Bilan de l'azote</t>
  </si>
  <si>
    <t xml:space="preserve">Entrées</t>
  </si>
  <si>
    <t xml:space="preserve">SAU (ha)</t>
  </si>
  <si>
    <t xml:space="preserve">E1 - Engrais chimiques </t>
  </si>
  <si>
    <t xml:space="preserve">E2 - Engrais organiques </t>
  </si>
  <si>
    <t xml:space="preserve">E3 - Azote atmosphérique par les légumineuses</t>
  </si>
  <si>
    <t xml:space="preserve">E4 - Aliments</t>
  </si>
  <si>
    <t xml:space="preserve">E5 - Animaux</t>
  </si>
  <si>
    <t xml:space="preserve">Total entrées</t>
  </si>
  <si>
    <t xml:space="preserve">S1 - Engrais organiques</t>
  </si>
  <si>
    <t xml:space="preserve">S2 - Végétaux</t>
  </si>
  <si>
    <t xml:space="preserve">S3 - Légumes</t>
  </si>
  <si>
    <t xml:space="preserve">S4 - Lait et œufs</t>
  </si>
  <si>
    <t xml:space="preserve">S5 - Animaux</t>
  </si>
  <si>
    <t xml:space="preserve">Total sorties</t>
  </si>
  <si>
    <t xml:space="preserve">Solde du bilan</t>
  </si>
  <si>
    <t xml:space="preserve">- stock sous les prairies permanentes</t>
  </si>
  <si>
    <t xml:space="preserve">- N volatilisé</t>
  </si>
  <si>
    <t xml:space="preserve">Excédent d'azote</t>
  </si>
  <si>
    <t xml:space="preserve">kg N /ha SAU</t>
  </si>
  <si>
    <t xml:space="preserve">Résultat </t>
  </si>
  <si>
    <t xml:space="preserve">Excédent d'azote / ha</t>
  </si>
  <si>
    <t xml:space="preserve">Source : Régions-et-departements.fr/departements-francais (consulté en 01/2020)</t>
  </si>
  <si>
    <t xml:space="preserve">Source : Agrest  - Recensement agricole 2010 (consulté en 01/2020)</t>
  </si>
  <si>
    <t xml:space="preserve">1 - Ain</t>
  </si>
  <si>
    <t xml:space="preserve">1500 - Céréales et oléoprotéagineux</t>
  </si>
  <si>
    <t xml:space="preserve">2 - Aisne</t>
  </si>
  <si>
    <t xml:space="preserve">1600 - Autres grandes cultures</t>
  </si>
  <si>
    <t xml:space="preserve">3 - Allier</t>
  </si>
  <si>
    <t xml:space="preserve">2800 - Maraîchage et champignon</t>
  </si>
  <si>
    <t xml:space="preserve">4 - Alpes-de-Haute-Provence</t>
  </si>
  <si>
    <t xml:space="preserve">2900 - Fleurs et horticulture diverse</t>
  </si>
  <si>
    <t xml:space="preserve">5 - Hautes-Alpes</t>
  </si>
  <si>
    <t xml:space="preserve">3500 - Viticulture</t>
  </si>
  <si>
    <t xml:space="preserve">6 - Alpes-Maritimes</t>
  </si>
  <si>
    <t xml:space="preserve">3900 - Fruits et autres cultures permanentes</t>
  </si>
  <si>
    <t xml:space="preserve">7 - Ardèche</t>
  </si>
  <si>
    <t xml:space="preserve">4500 - Bovins lait</t>
  </si>
  <si>
    <t xml:space="preserve">8 - Ardennes</t>
  </si>
  <si>
    <t xml:space="preserve">4600 - Bovins viande</t>
  </si>
  <si>
    <t xml:space="preserve">9 - Ariège</t>
  </si>
  <si>
    <t xml:space="preserve">4700 - Bovins mixte (lait viande)</t>
  </si>
  <si>
    <t xml:space="preserve">10 - Aube</t>
  </si>
  <si>
    <t xml:space="preserve">4813 - Ovins et caprins</t>
  </si>
  <si>
    <t xml:space="preserve">11 - Aude</t>
  </si>
  <si>
    <t xml:space="preserve">4840 - Autres herbivores</t>
  </si>
  <si>
    <t xml:space="preserve">12 - Aveyron</t>
  </si>
  <si>
    <t xml:space="preserve">5100 - Porcins</t>
  </si>
  <si>
    <t xml:space="preserve">13 - Bouches-du-Rhône</t>
  </si>
  <si>
    <t xml:space="preserve">5200 - Volailles</t>
  </si>
  <si>
    <t xml:space="preserve">14 - Calvados</t>
  </si>
  <si>
    <t xml:space="preserve">5374 - Autres granivores et granivores mixtes </t>
  </si>
  <si>
    <t xml:space="preserve">15 - Cantal</t>
  </si>
  <si>
    <t xml:space="preserve">16 - Charente</t>
  </si>
  <si>
    <t xml:space="preserve">9000 - Exploitations non classées</t>
  </si>
  <si>
    <t xml:space="preserve">17 - Charente-Maritime</t>
  </si>
  <si>
    <t xml:space="preserve">18 - Cher</t>
  </si>
  <si>
    <t xml:space="preserve">19 - Corrèze</t>
  </si>
  <si>
    <t xml:space="preserve">2A - Corse-du-Sud</t>
  </si>
  <si>
    <t xml:space="preserve">2B - Haute-Corse</t>
  </si>
  <si>
    <t xml:space="preserve">21 - Côte-d'Or</t>
  </si>
  <si>
    <t xml:space="preserve">22 - Côtes d'Armor</t>
  </si>
  <si>
    <t xml:space="preserve">23 - Creuse</t>
  </si>
  <si>
    <t xml:space="preserve">24 - Dordogne</t>
  </si>
  <si>
    <t xml:space="preserve">25 - Doubs</t>
  </si>
  <si>
    <t xml:space="preserve">26 - Drôme</t>
  </si>
  <si>
    <t xml:space="preserve">27 - Eure</t>
  </si>
  <si>
    <t xml:space="preserve">28 - Eure-et-Loir</t>
  </si>
  <si>
    <t xml:space="preserve">29 - Finistère</t>
  </si>
  <si>
    <t xml:space="preserve">30 - Gard</t>
  </si>
  <si>
    <t xml:space="preserve">31 - Haute-Garonne</t>
  </si>
  <si>
    <t xml:space="preserve">33 - Gironde</t>
  </si>
  <si>
    <t xml:space="preserve">34 - Hérault</t>
  </si>
  <si>
    <t xml:space="preserve">35 - Ille-et-Vilaine</t>
  </si>
  <si>
    <t xml:space="preserve">36 - Indre</t>
  </si>
  <si>
    <t xml:space="preserve">37 - Indre-et-Loire</t>
  </si>
  <si>
    <t xml:space="preserve">38 - Isère</t>
  </si>
  <si>
    <t xml:space="preserve">39 - Jura</t>
  </si>
  <si>
    <t xml:space="preserve">40 - Landes</t>
  </si>
  <si>
    <t xml:space="preserve">41 - Loir-et-Cher</t>
  </si>
  <si>
    <t xml:space="preserve">42 - Loire</t>
  </si>
  <si>
    <t xml:space="preserve">43 - Haute-Loire</t>
  </si>
  <si>
    <t xml:space="preserve">44 - Loire-Atlantique</t>
  </si>
  <si>
    <t xml:space="preserve">45 - Loiret</t>
  </si>
  <si>
    <t xml:space="preserve">46 - Lot</t>
  </si>
  <si>
    <t xml:space="preserve">47 - Lot-et-Garonne</t>
  </si>
  <si>
    <t xml:space="preserve">48 - Lozère</t>
  </si>
  <si>
    <t xml:space="preserve">49 - Maine-et-Loire</t>
  </si>
  <si>
    <t xml:space="preserve">50 - Manche</t>
  </si>
  <si>
    <t xml:space="preserve">51 - Marne</t>
  </si>
  <si>
    <t xml:space="preserve">52 - Haute-Marne</t>
  </si>
  <si>
    <t xml:space="preserve">53 - Mayenne</t>
  </si>
  <si>
    <t xml:space="preserve">54 - Meurthe-et-Moselle</t>
  </si>
  <si>
    <t xml:space="preserve">55 - Meuse</t>
  </si>
  <si>
    <t xml:space="preserve">56 - Morbihan</t>
  </si>
  <si>
    <t xml:space="preserve">57 - Moselle</t>
  </si>
  <si>
    <t xml:space="preserve">58 - Nièvre</t>
  </si>
  <si>
    <t xml:space="preserve">59 - Nord</t>
  </si>
  <si>
    <t xml:space="preserve">60 - Oise</t>
  </si>
  <si>
    <t xml:space="preserve">61 - Orne</t>
  </si>
  <si>
    <t xml:space="preserve">62 - Pas-de-Calais</t>
  </si>
  <si>
    <t xml:space="preserve">63 - Puy-de-Dôme</t>
  </si>
  <si>
    <t xml:space="preserve">64 - Pyrénées-Atlantiques</t>
  </si>
  <si>
    <t xml:space="preserve">65 - Hautes-Pyrénées</t>
  </si>
  <si>
    <t xml:space="preserve">66 - Pyrénées-Orientales</t>
  </si>
  <si>
    <t xml:space="preserve">67 - Bas-Rhin</t>
  </si>
  <si>
    <t xml:space="preserve">68 - Haut-Rhin</t>
  </si>
  <si>
    <t xml:space="preserve">69 - Rhône</t>
  </si>
  <si>
    <t xml:space="preserve">70 - Haute-Saône</t>
  </si>
  <si>
    <t xml:space="preserve">71 - Saône-et-Loire</t>
  </si>
  <si>
    <t xml:space="preserve">72 - Sarthe</t>
  </si>
  <si>
    <t xml:space="preserve">73 - Savoie</t>
  </si>
  <si>
    <t xml:space="preserve">74 - Haute-Savoie</t>
  </si>
  <si>
    <t xml:space="preserve">75 - Paris</t>
  </si>
  <si>
    <t xml:space="preserve">76 - Seine-Maritime</t>
  </si>
  <si>
    <t xml:space="preserve">77 - Seine-et-Marne</t>
  </si>
  <si>
    <t xml:space="preserve">78 - Yvelines</t>
  </si>
  <si>
    <t xml:space="preserve">79 - Deux-Sèvres</t>
  </si>
  <si>
    <t xml:space="preserve">80 - Somme</t>
  </si>
  <si>
    <t xml:space="preserve">81 - Tarn</t>
  </si>
  <si>
    <t xml:space="preserve">82 - Tarn-et-Garonne</t>
  </si>
  <si>
    <t xml:space="preserve">83 - Var</t>
  </si>
  <si>
    <t xml:space="preserve">84 - Vaucluse</t>
  </si>
  <si>
    <t xml:space="preserve">85 - Vendée</t>
  </si>
  <si>
    <t xml:space="preserve">86 - Vienne</t>
  </si>
  <si>
    <t xml:space="preserve">87 - Haute-Vienne</t>
  </si>
  <si>
    <t xml:space="preserve">88 - Vosges</t>
  </si>
  <si>
    <t xml:space="preserve">89 - Yonne</t>
  </si>
  <si>
    <t xml:space="preserve">90 - Territoire de Belfort</t>
  </si>
  <si>
    <t xml:space="preserve">91 - Essonne</t>
  </si>
  <si>
    <t xml:space="preserve">92 - Hauts-de-Seine</t>
  </si>
  <si>
    <t xml:space="preserve">93 - Seine-St-Denis</t>
  </si>
  <si>
    <t xml:space="preserve">94 - Val-de-Marne</t>
  </si>
  <si>
    <t xml:space="preserve">95 - Val-D'Oise</t>
  </si>
  <si>
    <t xml:space="preserve">971 - Guadeloupe</t>
  </si>
  <si>
    <t xml:space="preserve">972 - Martinique</t>
  </si>
  <si>
    <t xml:space="preserve">973 - Guyane</t>
  </si>
  <si>
    <t xml:space="preserve">974 - La Réunion</t>
  </si>
  <si>
    <t xml:space="preserve">976 - Mayotte</t>
  </si>
  <si>
    <t xml:space="preserve">Source : CORPEN 1988, 1999 et 2001.</t>
  </si>
  <si>
    <t xml:space="preserve">[Calcul de besoins en herbivore.doc]</t>
  </si>
  <si>
    <t xml:space="preserve">Tableaux de détermination des coefficients d'UGB (IDEA3)</t>
  </si>
  <si>
    <t xml:space="preserve">équiv. UGB</t>
  </si>
  <si>
    <r>
      <rPr>
        <b val="true"/>
        <sz val="10"/>
        <color rgb="FF800000"/>
        <rFont val="Times New Roman"/>
        <family val="1"/>
        <charset val="1"/>
      </rPr>
      <t xml:space="preserve">1,05 </t>
    </r>
    <r>
      <rPr>
        <b val="true"/>
        <sz val="10"/>
        <color rgb="FF000000"/>
        <rFont val="Times New Roman"/>
        <family val="1"/>
        <charset val="1"/>
      </rPr>
      <t xml:space="preserve">*</t>
    </r>
  </si>
  <si>
    <t xml:space="preserve">Vache Nourrice, sans son veau</t>
  </si>
  <si>
    <r>
      <rPr>
        <b val="true"/>
        <sz val="10"/>
        <color rgb="FF800000"/>
        <rFont val="Times New Roman"/>
        <family val="1"/>
        <charset val="1"/>
      </rPr>
      <t xml:space="preserve">0,85 </t>
    </r>
    <r>
      <rPr>
        <b val="true"/>
        <sz val="10"/>
        <color rgb="FF000000"/>
        <rFont val="Times New Roman"/>
        <family val="1"/>
        <charset val="1"/>
      </rPr>
      <t xml:space="preserve">*</t>
    </r>
  </si>
  <si>
    <t xml:space="preserve">Attention vérifier les valeur des UGB</t>
  </si>
  <si>
    <r>
      <rPr>
        <b val="true"/>
        <sz val="10"/>
        <color rgb="FF800000"/>
        <rFont val="Times New Roman"/>
        <family val="1"/>
        <charset val="1"/>
      </rPr>
      <t xml:space="preserve">0,70 </t>
    </r>
    <r>
      <rPr>
        <b val="true"/>
        <sz val="10"/>
        <color rgb="FF000000"/>
        <rFont val="Times New Roman"/>
        <family val="1"/>
        <charset val="1"/>
      </rPr>
      <t xml:space="preserve">*</t>
    </r>
  </si>
  <si>
    <r>
      <rPr>
        <b val="true"/>
        <sz val="10"/>
        <color rgb="FF800000"/>
        <rFont val="Times New Roman"/>
        <family val="1"/>
        <charset val="1"/>
      </rPr>
      <t xml:space="preserve">0,80 </t>
    </r>
    <r>
      <rPr>
        <b val="true"/>
        <sz val="10"/>
        <color rgb="FF000000"/>
        <rFont val="Times New Roman"/>
        <family val="1"/>
        <charset val="1"/>
      </rPr>
      <t xml:space="preserve">*</t>
    </r>
  </si>
  <si>
    <t xml:space="preserve">0,60 *</t>
  </si>
  <si>
    <t xml:space="preserve">Mâle 1-2 ans, croissance</t>
  </si>
  <si>
    <t xml:space="preserve">Mâle 1-2 ans, engraissement</t>
  </si>
  <si>
    <t xml:space="preserve">0,60*</t>
  </si>
  <si>
    <t xml:space="preserve">0,30 *</t>
  </si>
  <si>
    <t xml:space="preserve">Mâle 0-1 an, croissance</t>
  </si>
  <si>
    <t xml:space="preserve">Ovins (brebis)</t>
  </si>
  <si>
    <t xml:space="preserve">Agnelle</t>
  </si>
  <si>
    <t xml:space="preserve">0,05 *</t>
  </si>
  <si>
    <t xml:space="preserve">Agneau Engraissé Produit</t>
  </si>
  <si>
    <t xml:space="preserve">Bélier</t>
  </si>
  <si>
    <t xml:space="preserve">0,10 *</t>
  </si>
  <si>
    <t xml:space="preserve">Brebis laitière</t>
  </si>
  <si>
    <t xml:space="preserve">Caprins (chèvre)</t>
  </si>
  <si>
    <t xml:space="preserve">Bouc</t>
  </si>
  <si>
    <t xml:space="preserve">Chevreau Engraissé Produit</t>
  </si>
  <si>
    <t xml:space="preserve">Chevrette</t>
  </si>
  <si>
    <t xml:space="preserve">Equins </t>
  </si>
  <si>
    <t xml:space="preserve">Cheval</t>
  </si>
  <si>
    <t xml:space="preserve">Cheval (lourd)</t>
  </si>
  <si>
    <t xml:space="preserve">0,70 *</t>
  </si>
  <si>
    <t xml:space="preserve">Jument seule</t>
  </si>
  <si>
    <t xml:space="preserve">0,50 *</t>
  </si>
  <si>
    <t xml:space="preserve">Jument seule (lourd)</t>
  </si>
  <si>
    <t xml:space="preserve">Jument suitée</t>
  </si>
  <si>
    <t xml:space="preserve">Jument suitée (lourd)</t>
  </si>
  <si>
    <t xml:space="preserve">Poulain 6m-1an</t>
  </si>
  <si>
    <t xml:space="preserve">0,25 *</t>
  </si>
  <si>
    <t xml:space="preserve">Poulain 6m-1an (lourd)</t>
  </si>
  <si>
    <t xml:space="preserve">Poulain 1-2 ans</t>
  </si>
  <si>
    <t xml:space="preserve">Poulain 1-2 ans (lourd)</t>
  </si>
  <si>
    <t xml:space="preserve">1.4 Les cultures de l'exploitation</t>
  </si>
  <si>
    <t xml:space="preserve">Détermination du taux de légumineuses</t>
  </si>
  <si>
    <t xml:space="preserve">[source : IDEA3]</t>
  </si>
  <si>
    <t xml:space="preserve">Azote fixé par un ha de prairie en association graminée - trèfle blanc ou violet, graminées - luzerne (kg d'N/ha)</t>
  </si>
  <si>
    <t xml:space="preserve">Proportion de trèfle blanc dans la prairie</t>
  </si>
  <si>
    <t xml:space="preserve">Rendement prairie en tonnes MS/ha</t>
  </si>
  <si>
    <t xml:space="preserve">Azote fixé par les cultures de protéagineux (kg d'N/ha)</t>
  </si>
  <si>
    <t xml:space="preserve">Rendement en grain tMS/ha</t>
  </si>
  <si>
    <t xml:space="preserve">1.5 Les effluents de l'exploitation</t>
  </si>
  <si>
    <t xml:space="preserve">Azote fixé par des cultures de trèfle violet ou de luzerne (kg d'N/ha)</t>
  </si>
  <si>
    <t xml:space="preserve">variable</t>
  </si>
  <si>
    <t xml:space="preserve">source </t>
  </si>
  <si>
    <t xml:space="preserve">rdt en TMS</t>
  </si>
  <si>
    <t xml:space="preserve">N </t>
  </si>
  <si>
    <r>
      <rPr>
        <sz val="10"/>
        <rFont val="Arial"/>
        <family val="2"/>
        <charset val="1"/>
      </rPr>
      <t xml:space="preserve">voir bilan apparent </t>
    </r>
    <r>
      <rPr>
        <i val="true"/>
        <sz val="10"/>
        <rFont val="Arial"/>
        <family val="2"/>
        <charset val="1"/>
      </rPr>
      <t xml:space="preserve">[ IDEA 3 et Outil de calcul du Bilan apparent Version 2005 (F. Vertes, Inra Quimper)]</t>
    </r>
  </si>
  <si>
    <t xml:space="preserve">Quantité fixée</t>
  </si>
  <si>
    <t xml:space="preserve">Coefficient d'utilisation d'N</t>
  </si>
  <si>
    <t xml:space="preserve">[Vincent Manneville]</t>
  </si>
  <si>
    <t xml:space="preserve">2.1.4 Gestion de l'énergie</t>
  </si>
  <si>
    <t xml:space="preserve">Type énergie utilisée</t>
  </si>
  <si>
    <t xml:space="preserve">MJ /Unités</t>
  </si>
  <si>
    <t xml:space="preserve">Simplification</t>
  </si>
  <si>
    <t xml:space="preserve">Sources</t>
  </si>
  <si>
    <t xml:space="preserve">commentaire</t>
  </si>
  <si>
    <t xml:space="preserve">Talpin J., 2010, Économies d’énergie sur l’exploitation agricole, ADEME, Guides France Agricole, Paris, livre, 391 p, p,153</t>
  </si>
  <si>
    <t xml:space="preserve">IDELE</t>
  </si>
  <si>
    <t xml:space="preserve">Conso énergie BV Sur Ouest</t>
  </si>
  <si>
    <t xml:space="preserve">électricité</t>
  </si>
  <si>
    <t xml:space="preserve">FAO</t>
  </si>
  <si>
    <t xml:space="preserve">FAO biomasse charbon</t>
  </si>
  <si>
    <t xml:space="preserve">fioul</t>
  </si>
  <si>
    <t xml:space="preserve">carburant</t>
  </si>
  <si>
    <t xml:space="preserve">MAAF, 2016</t>
  </si>
  <si>
    <t xml:space="preserve">2016-note service diagnostic gaz effet serre energi conversion unité</t>
  </si>
  <si>
    <t xml:space="preserve">gazoil</t>
  </si>
  <si>
    <t xml:space="preserve">RMT Biomasse miscanhtus</t>
  </si>
  <si>
    <t xml:space="preserve">essence</t>
  </si>
  <si>
    <t xml:space="preserve">gaz naturel</t>
  </si>
  <si>
    <t xml:space="preserve">gaz</t>
  </si>
  <si>
    <t xml:space="preserve">propane/butane</t>
  </si>
  <si>
    <t xml:space="preserve">charbon de bois</t>
  </si>
  <si>
    <t xml:space="preserve">t brut</t>
  </si>
  <si>
    <t xml:space="preserve">kg brut</t>
  </si>
  <si>
    <t xml:space="preserve">Céréales graines (ref blé)</t>
  </si>
  <si>
    <t xml:space="preserve">t</t>
  </si>
  <si>
    <t xml:space="preserve">aliments porcs,volaille (blé,orge,TS)</t>
  </si>
  <si>
    <t xml:space="preserve">ex aliment truie</t>
  </si>
  <si>
    <t xml:space="preserve">Fertilisation N</t>
  </si>
  <si>
    <t xml:space="preserve">1 uA</t>
  </si>
  <si>
    <t xml:space="preserve">2.2.2 Gestion de la diversité</t>
  </si>
  <si>
    <t xml:space="preserve">Evaluation des infrastructures écologiques</t>
  </si>
  <si>
    <t xml:space="preserve">Mètre linéaire</t>
  </si>
  <si>
    <t xml:space="preserve">Eq m2</t>
  </si>
  <si>
    <t xml:space="preserve">Arbres/forêts/</t>
  </si>
  <si>
    <t xml:space="preserve">Arbre isolés</t>
  </si>
  <si>
    <t xml:space="preserve">1 ha</t>
  </si>
  <si>
    <t xml:space="preserve">Mares et lavognes</t>
  </si>
  <si>
    <t xml:space="preserve">Energie: (AUT1)</t>
  </si>
  <si>
    <t xml:space="preserve">Esimation de l'énergie produite et consommée</t>
  </si>
  <si>
    <t xml:space="preserve">Estimation de consommation de l'habitation en cas de non distinction</t>
  </si>
  <si>
    <t xml:space="preserve">Type conversion</t>
  </si>
  <si>
    <t xml:space="preserve">Unité propre</t>
  </si>
  <si>
    <t xml:space="preserve">Unité de sortie</t>
  </si>
  <si>
    <t xml:space="preserve">Coefficient de conversion des quantités d’énergie non renouvelables consommées d’unité propre à unité de sortie</t>
  </si>
  <si>
    <t xml:space="preserve">TEP en Mégajoule</t>
  </si>
  <si>
    <t xml:space="preserve">TEP</t>
  </si>
  <si>
    <t xml:space="preserve">Mégajoule</t>
  </si>
  <si>
    <t xml:space="preserve">La quantité annuelle d’électricité utilisée est relevée à partir des factures EDF. Si l’exploitation possède plusieurs compteurs, les consommations de chaque compteur sont sommées (sauf celles de l’habitation). S’il n’existe pas de compteurs séparés, la consommation de l’habitation est estimée grâce aux données présentées ci-dessous[1], puis déduite du total.</t>
  </si>
  <si>
    <t xml:space="preserve">Fioul</t>
  </si>
  <si>
    <t xml:space="preserve">Kilowattheure en Mégajoule</t>
  </si>
  <si>
    <t xml:space="preserve">Construction avant 1975</t>
  </si>
  <si>
    <t xml:space="preserve">Construction après 1975</t>
  </si>
  <si>
    <t xml:space="preserve">Gazole</t>
  </si>
  <si>
    <t xml:space="preserve">EQF en Mégajoule PCI</t>
  </si>
  <si>
    <t xml:space="preserve">Mégajoule PCI</t>
  </si>
  <si>
    <t xml:space="preserve">Maison individuelle 5 pièces avec chauffage électrique</t>
  </si>
  <si>
    <t xml:space="preserve">14 500 kWh</t>
  </si>
  <si>
    <t xml:space="preserve">12 000 kWh</t>
  </si>
  <si>
    <t xml:space="preserve">Essence</t>
  </si>
  <si>
    <t xml:space="preserve">kg Méthane/butane en Mégajoule</t>
  </si>
  <si>
    <t xml:space="preserve">kg Méthane</t>
  </si>
  <si>
    <t xml:space="preserve">kg butane</t>
  </si>
  <si>
    <t xml:space="preserve">Habitation sans chauffage électrique</t>
  </si>
  <si>
    <t xml:space="preserve">4 500 kWh</t>
  </si>
  <si>
    <t xml:space="preserve">Gaz naturel</t>
  </si>
  <si>
    <t xml:space="preserve">litre de fioul en Mégajoule</t>
  </si>
  <si>
    <t xml:space="preserve">mégajoule</t>
  </si>
  <si>
    <t xml:space="preserve">source Vincent</t>
  </si>
  <si>
    <t xml:space="preserve">Propane/Butane</t>
  </si>
  <si>
    <t xml:space="preserve">litre de gazoil en Mégajoule</t>
  </si>
  <si>
    <t xml:space="preserve">Electricité basse tension (secteur agricole)</t>
  </si>
  <si>
    <t xml:space="preserve">litre d'essence en Mégajoule</t>
  </si>
  <si>
    <t xml:space="preserve">litre de lubrifiant en Mégajoule</t>
  </si>
  <si>
    <t xml:space="preserve">Electricité moyenne FR</t>
  </si>
  <si>
    <t xml:space="preserve">kg de charbon en Mégajoule</t>
  </si>
  <si>
    <t xml:space="preserve">Sources </t>
  </si>
  <si>
    <t xml:space="preserve">GESTIM'</t>
  </si>
  <si>
    <t xml:space="preserve">litre de GPL en Mégajoule</t>
  </si>
  <si>
    <t xml:space="preserve">m3 de gaz naturel en mégajoule</t>
  </si>
  <si>
    <r>
      <rPr>
        <sz val="10"/>
        <color rgb="FF000000"/>
        <rFont val="Arial"/>
        <family val="2"/>
        <charset val="1"/>
      </rPr>
      <t xml:space="preserve">m</t>
    </r>
    <r>
      <rPr>
        <vertAlign val="superscript"/>
        <sz val="7.5"/>
        <color rgb="FF000000"/>
        <rFont val="Arial"/>
        <family val="2"/>
        <charset val="1"/>
      </rPr>
      <t xml:space="preserve">3</t>
    </r>
  </si>
  <si>
    <t xml:space="preserve">source</t>
  </si>
  <si>
    <t xml:space="preserve">Dia'terre</t>
  </si>
  <si>
    <t xml:space="preserve">Fertilisants</t>
  </si>
  <si>
    <t xml:space="preserve">(AUT1)</t>
  </si>
  <si>
    <t xml:space="preserve">composition</t>
  </si>
  <si>
    <t xml:space="preserve">énergie</t>
  </si>
  <si>
    <t xml:space="preserve">eq MJ/unité N</t>
  </si>
  <si>
    <t xml:space="preserve">Ferti N</t>
  </si>
  <si>
    <t xml:space="preserve">éq MJ par unité</t>
  </si>
  <si>
    <t xml:space="preserve">kg /1000 kg d'engrais (=1tonne)</t>
  </si>
  <si>
    <t xml:space="preserve">tout engrais avec Azote</t>
  </si>
  <si>
    <t xml:space="preserve">par unité N</t>
  </si>
  <si>
    <t xml:space="preserve">par untité  de P2O5</t>
  </si>
  <si>
    <t xml:space="preserve">Potasse (ou amendements)</t>
  </si>
  <si>
    <t xml:space="preserve">par unité de K20</t>
  </si>
  <si>
    <t xml:space="preserve">5-11-11 (comme 7-7-7) (% en N,P,K)</t>
  </si>
  <si>
    <t xml:space="preserve">par unité d'N</t>
  </si>
  <si>
    <t xml:space="preserve">source: vincent</t>
  </si>
  <si>
    <t xml:space="preserve">Energie indirecte associée à la production des éléments concentrés</t>
  </si>
  <si>
    <t xml:space="preserve">AUT1</t>
  </si>
  <si>
    <t xml:space="preserve">Ne prendre que les aliments concentrés achetés</t>
  </si>
  <si>
    <t xml:space="preserve">Aliments</t>
  </si>
  <si>
    <t xml:space="preserve">éq MJ/tonnes</t>
  </si>
  <si>
    <t xml:space="preserve">rq</t>
  </si>
  <si>
    <t xml:space="preserve">correcteur azoté</t>
  </si>
  <si>
    <t xml:space="preserve">chiffre du colza mais prendre ce chiffre que ce soit colza ou soja</t>
  </si>
  <si>
    <t xml:space="preserve">Tout type tourteaux</t>
  </si>
  <si>
    <t xml:space="preserve">détails ( colza 5,7 et soja 3,3)</t>
  </si>
  <si>
    <t xml:space="preserve">VL18</t>
  </si>
  <si>
    <t xml:space="preserve">si acheté. VL 18 considéré comme 80% orge (2,56), 20% soja (5,58)</t>
  </si>
  <si>
    <t xml:space="preserve">luzerne déshydratée</t>
  </si>
  <si>
    <t xml:space="preserve">mâche</t>
  </si>
  <si>
    <t xml:space="preserve">source: grand livre + Vincent</t>
  </si>
  <si>
    <t xml:space="preserve">Tableau référence de la composition des prairies temporaires</t>
  </si>
  <si>
    <t xml:space="preserve">AUT6</t>
  </si>
  <si>
    <t xml:space="preserve">RES2</t>
  </si>
  <si>
    <t xml:space="preserve">source IDEA 3</t>
  </si>
  <si>
    <t xml:space="preserve">Tableau de réfèrence de production d'azote organique, kg d'azote produit par UGB</t>
  </si>
  <si>
    <t xml:space="preserve">AUT7</t>
  </si>
  <si>
    <t xml:space="preserve">kg N org/an</t>
  </si>
  <si>
    <t xml:space="preserve">1 UGB</t>
  </si>
  <si>
    <t xml:space="preserve">valeur directive nitrate</t>
  </si>
  <si>
    <t xml:space="preserve">1 porc charcutier</t>
  </si>
  <si>
    <t xml:space="preserve">vincent</t>
  </si>
  <si>
    <t xml:space="preserve">1 truie naisseur, caillebotis </t>
  </si>
  <si>
    <t xml:space="preserve">alimentation</t>
  </si>
  <si>
    <t xml:space="preserve">(AUT3.1, ROB1)</t>
  </si>
  <si>
    <t xml:space="preserve">consommation tMS/an</t>
  </si>
  <si>
    <t xml:space="preserve">Indicateur de Surface développée </t>
  </si>
  <si>
    <t xml:space="preserve">Grille simplifiée de la grille détaillé ci-joint</t>
  </si>
  <si>
    <t xml:space="preserve">Type d'IAE</t>
  </si>
  <si>
    <t xml:space="preserve">Catégorie</t>
  </si>
  <si>
    <r>
      <rPr>
        <sz val="12"/>
        <color rgb="FFFFFFFF"/>
        <rFont val="Calibri"/>
        <family val="2"/>
        <charset val="1"/>
      </rPr>
      <t xml:space="preserve">Coefficient de conversion</t>
    </r>
    <r>
      <rPr>
        <b val="true"/>
        <sz val="12"/>
        <color rgb="FFFFFFFF"/>
        <rFont val="Calibri"/>
        <family val="2"/>
        <charset val="1"/>
      </rPr>
      <t xml:space="preserve"> surface développée (m²)</t>
    </r>
  </si>
  <si>
    <t xml:space="preserve">100m Linéaire de haie basse, largeur 2m (nb)</t>
  </si>
  <si>
    <t xml:space="preserve">100m Linéaire de haie buissonnante, largueur 5m (nb)</t>
  </si>
  <si>
    <t xml:space="preserve">Arbres/fôrets/</t>
  </si>
  <si>
    <t xml:space="preserve">100m  Linéaire de haie arborescente mono-spécifique, largeur 10m (nb)</t>
  </si>
  <si>
    <t xml:space="preserve">Arbre de temps en temps</t>
  </si>
  <si>
    <t xml:space="preserve">100m Linéaire de haie arborescente pluri-spécifique et poly-stratifiées (nb)</t>
  </si>
  <si>
    <t xml:space="preserve">Prairies</t>
  </si>
  <si>
    <t xml:space="preserve">Bosquets</t>
  </si>
  <si>
    <t xml:space="preserve">Bosquets (ha)</t>
  </si>
  <si>
    <t xml:space="preserve">Arbres</t>
  </si>
  <si>
    <t xml:space="preserve">nb Arbre isolé petit (Φ [7.5 – 22.5 cm [)</t>
  </si>
  <si>
    <t xml:space="preserve">nb Arbre isolé moyen (Φ [22.5 – 47.5 cm [)</t>
  </si>
  <si>
    <t xml:space="preserve">nb Arbre isolé gros (Φ≥47.5 cm)</t>
  </si>
  <si>
    <t xml:space="preserve">Arbre (nb)</t>
  </si>
  <si>
    <t xml:space="preserve">Vergers</t>
  </si>
  <si>
    <t xml:space="preserve">Densité 50-100 arbres</t>
  </si>
  <si>
    <t xml:space="preserve">Densité 100-250 arbres</t>
  </si>
  <si>
    <t xml:space="preserve">Surface toujours en herbe</t>
  </si>
  <si>
    <t xml:space="preserve">Peu productive</t>
  </si>
  <si>
    <t xml:space="preserve">Productive</t>
  </si>
  <si>
    <t xml:space="preserve">Divers</t>
  </si>
  <si>
    <t xml:space="preserve">ha Bandes enherbées ou bandes tampons en bordure de cours d’eau</t>
  </si>
  <si>
    <t xml:space="preserve">100 m linéaire Lisières de bois</t>
  </si>
  <si>
    <t xml:space="preserve">1 ha Bordures de champ</t>
  </si>
  <si>
    <t xml:space="preserve">1 ha Jachère</t>
  </si>
  <si>
    <t xml:space="preserve">1 ha Tourbières</t>
  </si>
  <si>
    <t xml:space="preserve">1 m périmètre de Mares et lavognes</t>
  </si>
  <si>
    <t xml:space="preserve">1 m périmètre de  Fossés et cours d’eau</t>
  </si>
  <si>
    <t xml:space="preserve">1 m linéaire de Talus, Murets et terrasses</t>
  </si>
  <si>
    <t xml:space="preserve">Agroforesterie : 1 ha Sylvopastoralisme (Arbre moyen)</t>
  </si>
  <si>
    <t xml:space="preserve">Agroforesterie : 1 ha Agrisylviculture (Arbre moyen)</t>
  </si>
  <si>
    <t xml:space="preserve">100 m linéaire Ripisylve</t>
  </si>
  <si>
    <t xml:space="preserve">source Biotex</t>
  </si>
  <si>
    <t xml:space="preserve">liste race rustique animal et vegetal</t>
  </si>
  <si>
    <t xml:space="preserve">ROB5</t>
  </si>
  <si>
    <t xml:space="preserve">liste des races animales menacées </t>
  </si>
  <si>
    <t xml:space="preserve">(ANC1)</t>
  </si>
  <si>
    <t xml:space="preserve">Tableau Bilan apparent Azote</t>
  </si>
  <si>
    <t xml:space="preserve">cf IDEA3 </t>
  </si>
  <si>
    <t xml:space="preserve">Pour le calcul du Bilan apparent (Pradel)</t>
  </si>
  <si>
    <t xml:space="preserve">1. Entrées</t>
  </si>
  <si>
    <t xml:space="preserve">1.1. Entrées par les engrais chimiques</t>
  </si>
  <si>
    <t xml:space="preserve">Engrais</t>
  </si>
  <si>
    <t xml:space="preserve">Exportation (Kg) </t>
  </si>
  <si>
    <r>
      <rPr>
        <sz val="10"/>
        <rFont val="Arial"/>
        <family val="2"/>
        <charset val="1"/>
      </rPr>
      <t xml:space="preserve">P</t>
    </r>
    <r>
      <rPr>
        <vertAlign val="subscript"/>
        <sz val="10"/>
        <rFont val="Arial"/>
        <family val="2"/>
        <charset val="1"/>
      </rPr>
      <t xml:space="preserve">2</t>
    </r>
    <r>
      <rPr>
        <sz val="10"/>
        <rFont val="Arial"/>
        <family val="2"/>
        <charset val="1"/>
      </rPr>
      <t xml:space="preserve">O</t>
    </r>
    <r>
      <rPr>
        <vertAlign val="subscript"/>
        <sz val="10"/>
        <rFont val="Arial"/>
        <family val="2"/>
        <charset val="1"/>
      </rPr>
      <t xml:space="preserve">5</t>
    </r>
  </si>
  <si>
    <r>
      <rPr>
        <sz val="10"/>
        <rFont val="Arial"/>
        <family val="2"/>
        <charset val="1"/>
      </rPr>
      <t xml:space="preserve">K</t>
    </r>
    <r>
      <rPr>
        <vertAlign val="subscript"/>
        <sz val="10"/>
        <rFont val="Arial"/>
        <family val="2"/>
        <charset val="1"/>
      </rPr>
      <t xml:space="preserve">2</t>
    </r>
    <r>
      <rPr>
        <sz val="10"/>
        <rFont val="Arial"/>
        <family val="2"/>
        <charset val="1"/>
      </rPr>
      <t xml:space="preserve">O</t>
    </r>
  </si>
  <si>
    <t xml:space="preserve">00-06-12S</t>
  </si>
  <si>
    <t xml:space="preserve">Ql</t>
  </si>
  <si>
    <t xml:space="preserve">00-14-42</t>
  </si>
  <si>
    <t xml:space="preserve">00-18-18</t>
  </si>
  <si>
    <t xml:space="preserve">00-25-25</t>
  </si>
  <si>
    <t xml:space="preserve">03-04-12</t>
  </si>
  <si>
    <t xml:space="preserve">03-08-14</t>
  </si>
  <si>
    <t xml:space="preserve">04-04-15</t>
  </si>
  <si>
    <t xml:space="preserve">04-05-16</t>
  </si>
  <si>
    <t xml:space="preserve">04-07-16</t>
  </si>
  <si>
    <t xml:space="preserve">04-20-20</t>
  </si>
  <si>
    <t xml:space="preserve">05-08-12SK</t>
  </si>
  <si>
    <t xml:space="preserve">05-12-24</t>
  </si>
  <si>
    <t xml:space="preserve">05-20-15</t>
  </si>
  <si>
    <t xml:space="preserve">06-15-30S</t>
  </si>
  <si>
    <t xml:space="preserve">07-07-10SK</t>
  </si>
  <si>
    <t xml:space="preserve">07-08-14S</t>
  </si>
  <si>
    <t xml:space="preserve">07-18-30S</t>
  </si>
  <si>
    <t xml:space="preserve">08-05-05SK</t>
  </si>
  <si>
    <t xml:space="preserve">08-15-22</t>
  </si>
  <si>
    <t xml:space="preserve">08-15-22B</t>
  </si>
  <si>
    <t xml:space="preserve">08-21-33</t>
  </si>
  <si>
    <t xml:space="preserve">09-16-18</t>
  </si>
  <si>
    <t xml:space="preserve">100% (amendement orga)</t>
  </si>
  <si>
    <t xml:space="preserve">10-05-20</t>
  </si>
  <si>
    <t xml:space="preserve">Phosamo</t>
  </si>
  <si>
    <t xml:space="preserve">10-10-15S</t>
  </si>
  <si>
    <t xml:space="preserve">10-12-24</t>
  </si>
  <si>
    <t xml:space="preserve">10-20-20</t>
  </si>
  <si>
    <t xml:space="preserve">10-25-20</t>
  </si>
  <si>
    <t xml:space="preserve">10-26-26</t>
  </si>
  <si>
    <t xml:space="preserve">12-20-10</t>
  </si>
  <si>
    <t xml:space="preserve">12-30-20</t>
  </si>
  <si>
    <t xml:space="preserve">13-13-26</t>
  </si>
  <si>
    <t xml:space="preserve">14-09-18</t>
  </si>
  <si>
    <t xml:space="preserve">15-15-15</t>
  </si>
  <si>
    <t xml:space="preserve">17-17-17</t>
  </si>
  <si>
    <t xml:space="preserve">20-05-10</t>
  </si>
  <si>
    <t xml:space="preserve">ACTIVUS (amendement orga)</t>
  </si>
  <si>
    <t xml:space="preserve">Agri martin (organo-minéral)</t>
  </si>
  <si>
    <t xml:space="preserve">3 (1)</t>
  </si>
  <si>
    <t xml:space="preserve">Agroblen</t>
  </si>
  <si>
    <t xml:space="preserve">Agroblen tablet</t>
  </si>
  <si>
    <t xml:space="preserve">AMENDINE (amendement orga)</t>
  </si>
  <si>
    <t xml:space="preserve">Ammonitrate 33,5%</t>
  </si>
  <si>
    <t xml:space="preserve">Ammonitre</t>
  </si>
  <si>
    <t xml:space="preserve">Exportation (Kg)</t>
  </si>
  <si>
    <t xml:space="preserve">ANGISOL LANGUEDOC (amt orga)</t>
  </si>
  <si>
    <t xml:space="preserve">Basacote plus</t>
  </si>
  <si>
    <t xml:space="preserve">Osmocote plus Triabon</t>
  </si>
  <si>
    <t xml:space="preserve">BIO FUMUR (amendement orga)</t>
  </si>
  <si>
    <t xml:space="preserve">BIOFERTIL (amendement orga)</t>
  </si>
  <si>
    <t xml:space="preserve">BIOMASSE (amendement orga)</t>
  </si>
  <si>
    <t xml:space="preserve">BIOREX (amendement orga)</t>
  </si>
  <si>
    <t xml:space="preserve">BIOSOL (amendement orga)</t>
  </si>
  <si>
    <t xml:space="preserve">Chlorure de potassium</t>
  </si>
  <si>
    <t xml:space="preserve">Corne broyée (organique)</t>
  </si>
  <si>
    <t xml:space="preserve">ECORCIMUS (amendement orga)</t>
  </si>
  <si>
    <t xml:space="preserve">ECOVIT EC. FEUIL. FUMIER (orga)</t>
  </si>
  <si>
    <t xml:space="preserve">ECOVIT EC. FEUILLUS (amt orga)</t>
  </si>
  <si>
    <t xml:space="preserve">ECOVIT EC. RESINEUX (amt orga)</t>
  </si>
  <si>
    <t xml:space="preserve">FERTIL 55 (amendement orga)</t>
  </si>
  <si>
    <t xml:space="preserve">Fertiltopcote</t>
  </si>
  <si>
    <t xml:space="preserve">Fertimaster</t>
  </si>
  <si>
    <t xml:space="preserve">Fertitop</t>
  </si>
  <si>
    <t xml:space="preserve">Ficote</t>
  </si>
  <si>
    <t xml:space="preserve">Fumagly</t>
  </si>
  <si>
    <t xml:space="preserve">FUMEC (amendement orga)</t>
  </si>
  <si>
    <t xml:space="preserve">FUMETERRE (amendement orga)</t>
  </si>
  <si>
    <t xml:space="preserve">Guano Angibaud (organo-minéral)</t>
  </si>
  <si>
    <t xml:space="preserve">9 (1,5)</t>
  </si>
  <si>
    <t xml:space="preserve">Humigerm (organique)</t>
  </si>
  <si>
    <t xml:space="preserve">Hydro</t>
  </si>
  <si>
    <t xml:space="preserve">Hl</t>
  </si>
  <si>
    <t xml:space="preserve">Liquovigne 13</t>
  </si>
  <si>
    <t xml:space="preserve">Magaline du roure (organo-minéral)</t>
  </si>
  <si>
    <t xml:space="preserve">3 (2)</t>
  </si>
  <si>
    <t xml:space="preserve">MARC COMPOSTE (amt orga)</t>
  </si>
  <si>
    <t xml:space="preserve">MARC DE RAISINS (amt orga)</t>
  </si>
  <si>
    <t xml:space="preserve">MARC ENRICHI (amendement orga)</t>
  </si>
  <si>
    <t xml:space="preserve">MEDI 60 (amendement organique)</t>
  </si>
  <si>
    <t xml:space="preserve">MEDIPUS G.R. (amendement orga)</t>
  </si>
  <si>
    <t xml:space="preserve">MEDIPUS P.O. (amendement orga)</t>
  </si>
  <si>
    <t xml:space="preserve">MEDIVRAC (amendement orga)</t>
  </si>
  <si>
    <t xml:space="preserve">MO 90 (amendement orga)</t>
  </si>
  <si>
    <t xml:space="preserve">Multi-grant</t>
  </si>
  <si>
    <t xml:space="preserve">NH3 gazeux 82%</t>
  </si>
  <si>
    <t xml:space="preserve">Nitrate de chaux</t>
  </si>
  <si>
    <t xml:space="preserve">Nitrate de potasse</t>
  </si>
  <si>
    <t xml:space="preserve">Nitrophoska 1</t>
  </si>
  <si>
    <t xml:space="preserve">Nitrophoska 2</t>
  </si>
  <si>
    <t xml:space="preserve">Nitror</t>
  </si>
  <si>
    <t xml:space="preserve">Nutricote starter</t>
  </si>
  <si>
    <t xml:space="preserve">ORGAVEG 65 (amendement orga)</t>
  </si>
  <si>
    <t xml:space="preserve">Osmocote - Nutricote</t>
  </si>
  <si>
    <t xml:space="preserve">OVITERRE (amendement orga)</t>
  </si>
  <si>
    <t xml:space="preserve">Oxyfertil</t>
  </si>
  <si>
    <t xml:space="preserve">Patentkali</t>
  </si>
  <si>
    <t xml:space="preserve">Perlurée - urée</t>
  </si>
  <si>
    <t xml:space="preserve">Phoskali du roure</t>
  </si>
  <si>
    <t xml:space="preserve">Phosphal potassique 18/10</t>
  </si>
  <si>
    <t xml:space="preserve">Phosphate naturel</t>
  </si>
  <si>
    <t xml:space="preserve">Phosphate d'ammoniaque</t>
  </si>
  <si>
    <t xml:space="preserve">Plant prod</t>
  </si>
  <si>
    <t xml:space="preserve">Potamag</t>
  </si>
  <si>
    <t xml:space="preserve">REGENOR (amendement orga)</t>
  </si>
  <si>
    <t xml:space="preserve">RELAIS (amendement orga)</t>
  </si>
  <si>
    <t xml:space="preserve">Roussillon Al (organo-minéral)</t>
  </si>
  <si>
    <t xml:space="preserve">7 (1,2)</t>
  </si>
  <si>
    <t xml:space="preserve">Scories 12%</t>
  </si>
  <si>
    <t xml:space="preserve">Scories 16%</t>
  </si>
  <si>
    <t xml:space="preserve">Scories 18%</t>
  </si>
  <si>
    <t xml:space="preserve">Scories 7/21</t>
  </si>
  <si>
    <t xml:space="preserve">Scories phosphopotassiques</t>
  </si>
  <si>
    <t xml:space="preserve">Scories potassiques 10/10</t>
  </si>
  <si>
    <t xml:space="preserve">Scories potassiques 10/15</t>
  </si>
  <si>
    <t xml:space="preserve">Scories potassiques 10/20</t>
  </si>
  <si>
    <t xml:space="preserve">Scories potassiques 12/12</t>
  </si>
  <si>
    <t xml:space="preserve">Scories potassiques 15/15</t>
  </si>
  <si>
    <t xml:space="preserve">Scories potassiques 6/18</t>
  </si>
  <si>
    <t xml:space="preserve">SCPA</t>
  </si>
  <si>
    <t xml:space="preserve">Solution 30%</t>
  </si>
  <si>
    <t xml:space="preserve">Sud fertilisant 1</t>
  </si>
  <si>
    <t xml:space="preserve">Sud fertilisant 2</t>
  </si>
  <si>
    <t xml:space="preserve">Sud fertilisant 3</t>
  </si>
  <si>
    <t xml:space="preserve">Sulfate d'ammoniaque</t>
  </si>
  <si>
    <t xml:space="preserve">Sulfate de potasse ou de potassium ou solupotasse</t>
  </si>
  <si>
    <t xml:space="preserve">Super 18%</t>
  </si>
  <si>
    <t xml:space="preserve">Super 25%</t>
  </si>
  <si>
    <t xml:space="preserve">Super 45% (super triple)</t>
  </si>
  <si>
    <t xml:space="preserve">Super potassique 12/24</t>
  </si>
  <si>
    <t xml:space="preserve">Super potassique 13/18</t>
  </si>
  <si>
    <t xml:space="preserve">Super potassique 14/28</t>
  </si>
  <si>
    <t xml:space="preserve">Super potassique 20/20</t>
  </si>
  <si>
    <t xml:space="preserve">Super potassique 25/25</t>
  </si>
  <si>
    <t xml:space="preserve">TOURBE DU MÉDOC 1 (amt orga)</t>
  </si>
  <si>
    <t xml:space="preserve">TOURBE DU MÉDOC 2 (amt orga)</t>
  </si>
  <si>
    <t xml:space="preserve">VEGETHUMUS (amendement orga)</t>
  </si>
  <si>
    <t xml:space="preserve">Végéthumus (organique)</t>
  </si>
  <si>
    <t xml:space="preserve">1.2. Entrées et sorties par les engrais organiques importés</t>
  </si>
  <si>
    <t xml:space="preserve">LES COMPOSTS</t>
  </si>
  <si>
    <t xml:space="preserve">Kg/T produit brut</t>
  </si>
  <si>
    <t xml:space="preserve">Teneur (Kg)</t>
  </si>
  <si>
    <t xml:space="preserve">Compost de fumier de bovins</t>
  </si>
  <si>
    <t xml:space="preserve">Compost de fumier d'ovins</t>
  </si>
  <si>
    <t xml:space="preserve">Compost de fumier de dindes</t>
  </si>
  <si>
    <t xml:space="preserve">Compost de fumier de dindes + déchets ligneux</t>
  </si>
  <si>
    <t xml:space="preserve">LES FUMIERS DE VOLAILLES</t>
  </si>
  <si>
    <t xml:space="preserve">Poulets de chair</t>
  </si>
  <si>
    <t xml:space="preserve">A la sortie du bâtiment</t>
  </si>
  <si>
    <t xml:space="preserve">Après stockage, conditions sèches</t>
  </si>
  <si>
    <t xml:space="preserve">Après stockage, conditions favorables à la fermentation</t>
  </si>
  <si>
    <t xml:space="preserve">Après stockage, conditions très humides</t>
  </si>
  <si>
    <t xml:space="preserve">Poulets label</t>
  </si>
  <si>
    <t xml:space="preserve">Dindes de chair</t>
  </si>
  <si>
    <t xml:space="preserve">Pintades de chair</t>
  </si>
  <si>
    <t xml:space="preserve">Animal:</t>
  </si>
  <si>
    <t xml:space="preserve">type :</t>
  </si>
  <si>
    <t xml:space="preserve">Kg d'azote/t ou Kg/m3</t>
  </si>
  <si>
    <t xml:space="preserve">Fumier très compact, litière accumulée</t>
  </si>
  <si>
    <t xml:space="preserve">LES FIENTES</t>
  </si>
  <si>
    <t xml:space="preserve">Poules pondeuses</t>
  </si>
  <si>
    <t xml:space="preserve">Fumier compact</t>
  </si>
  <si>
    <t xml:space="preserve">Fumier mou logette</t>
  </si>
  <si>
    <t xml:space="preserve">Fientes humides</t>
  </si>
  <si>
    <t xml:space="preserve">Fientes séchées en fosse profonde</t>
  </si>
  <si>
    <t xml:space="preserve">Lisier dilué</t>
  </si>
  <si>
    <t xml:space="preserve">Lisier très dilué</t>
  </si>
  <si>
    <t xml:space="preserve">Purin pur</t>
  </si>
  <si>
    <t xml:space="preserve">LES LISIERS DE VOLAILLES</t>
  </si>
  <si>
    <r>
      <rPr>
        <sz val="10"/>
        <rFont val="Arial"/>
        <family val="2"/>
        <charset val="1"/>
      </rPr>
      <t xml:space="preserve">Kg/m</t>
    </r>
    <r>
      <rPr>
        <vertAlign val="superscript"/>
        <sz val="10"/>
        <rFont val="Arial"/>
        <family val="2"/>
        <charset val="1"/>
      </rPr>
      <t xml:space="preserve">3</t>
    </r>
    <r>
      <rPr>
        <sz val="10"/>
        <rFont val="Arial"/>
        <family val="2"/>
        <charset val="1"/>
      </rPr>
      <t xml:space="preserve"> produit brut</t>
    </r>
  </si>
  <si>
    <t xml:space="preserve">Lixiviat (purins dilués de fumières)</t>
  </si>
  <si>
    <t xml:space="preserve">MS = 10%</t>
  </si>
  <si>
    <t xml:space="preserve">MS entre 10 et 15%</t>
  </si>
  <si>
    <t xml:space="preserve">MS &gt; 15%</t>
  </si>
  <si>
    <t xml:space="preserve">Porcin</t>
  </si>
  <si>
    <t xml:space="preserve">Canards gras</t>
  </si>
  <si>
    <t xml:space="preserve">Lisier mixte (fosse extérieure)</t>
  </si>
  <si>
    <t xml:space="preserve">Fumier de litière accumulée</t>
  </si>
  <si>
    <t xml:space="preserve">Lisier de canards gras</t>
  </si>
  <si>
    <t xml:space="preserve">Fumier de litière raclée</t>
  </si>
  <si>
    <t xml:space="preserve">source: IDEA 3</t>
  </si>
  <si>
    <t xml:space="preserve">Lisier de poules pondeuses</t>
  </si>
  <si>
    <t xml:space="preserve">LES FUMIERS DE BOVINS</t>
  </si>
  <si>
    <t xml:space="preserve">fumier compact étables entravées</t>
  </si>
  <si>
    <t xml:space="preserve">fumier mou de logettes</t>
  </si>
  <si>
    <t xml:space="preserve">fumier très compact</t>
  </si>
  <si>
    <t xml:space="preserve">fumier compact de pente paillée</t>
  </si>
  <si>
    <t xml:space="preserve">LES FUMIERS DE CAPRINS, OVINS, PORCINS</t>
  </si>
  <si>
    <t xml:space="preserve">Ovins - Caprins</t>
  </si>
  <si>
    <t xml:space="preserve">fumier de caprins</t>
  </si>
  <si>
    <t xml:space="preserve">fumier d'ovins</t>
  </si>
  <si>
    <t xml:space="preserve">Porcins</t>
  </si>
  <si>
    <t xml:space="preserve">fumier de porcins - litière accumulée</t>
  </si>
  <si>
    <t xml:space="preserve">fumier de porcins - litière raclée</t>
  </si>
  <si>
    <t xml:space="preserve">LES LISIERS DE BOVINS</t>
  </si>
  <si>
    <t xml:space="preserve">Lisier de bovins à l'engrais</t>
  </si>
  <si>
    <t xml:space="preserve">Lisier très dilué en système non couvert</t>
  </si>
  <si>
    <t xml:space="preserve">Lisier dilué en système couvert</t>
  </si>
  <si>
    <t xml:space="preserve">Lisier dilué en système non couvert</t>
  </si>
  <si>
    <t xml:space="preserve">Lisier pur, peu dilué en système couvert</t>
  </si>
  <si>
    <t xml:space="preserve">Lisier plus ou moins pailleux</t>
  </si>
  <si>
    <t xml:space="preserve">Veaux</t>
  </si>
  <si>
    <t xml:space="preserve">Lisier de veaux en batterie</t>
  </si>
  <si>
    <t xml:space="preserve">LES LISIERS DE PORCINS</t>
  </si>
  <si>
    <t xml:space="preserve">lisier alimentation bi-phase</t>
  </si>
  <si>
    <t xml:space="preserve">lisier alimentation standard</t>
  </si>
  <si>
    <t xml:space="preserve">lisier de porcs à l'engrais</t>
  </si>
  <si>
    <t xml:space="preserve">lisiers de porcs mixtes</t>
  </si>
  <si>
    <t xml:space="preserve">purins</t>
  </si>
  <si>
    <t xml:space="preserve">lixiviats dilués</t>
  </si>
  <si>
    <t xml:space="preserve">VALEURS MOYENNES DES FUMIERS,    LISIERS ET PURINS</t>
  </si>
  <si>
    <t xml:space="preserve">Fumiers</t>
  </si>
  <si>
    <t xml:space="preserve">vaches laitières</t>
  </si>
  <si>
    <t xml:space="preserve">vaches allaitantes</t>
  </si>
  <si>
    <t xml:space="preserve">taurillons</t>
  </si>
  <si>
    <t xml:space="preserve">volailles</t>
  </si>
  <si>
    <t xml:space="preserve">chevaux</t>
  </si>
  <si>
    <t xml:space="preserve">porcs</t>
  </si>
  <si>
    <t xml:space="preserve">Lisiers</t>
  </si>
  <si>
    <t xml:space="preserve">bovins</t>
  </si>
  <si>
    <t xml:space="preserve">Purins</t>
  </si>
  <si>
    <t xml:space="preserve">VALEURS DES BOUES D'ÉPURATION</t>
  </si>
  <si>
    <t xml:space="preserve">Boues</t>
  </si>
  <si>
    <t xml:space="preserve">boue liquide</t>
  </si>
  <si>
    <t xml:space="preserve">2-4</t>
  </si>
  <si>
    <t xml:space="preserve">2-3</t>
  </si>
  <si>
    <t xml:space="preserve">0,9</t>
  </si>
  <si>
    <t xml:space="preserve">boue pâteuse</t>
  </si>
  <si>
    <t xml:space="preserve">8-12</t>
  </si>
  <si>
    <t xml:space="preserve">6-9</t>
  </si>
  <si>
    <t xml:space="preserve">0,8</t>
  </si>
  <si>
    <t xml:space="preserve">boue sèche</t>
  </si>
  <si>
    <t xml:space="preserve">30-50</t>
  </si>
  <si>
    <t xml:space="preserve">50-70</t>
  </si>
  <si>
    <t xml:space="preserve">5</t>
  </si>
  <si>
    <t xml:space="preserve">boue chaulée</t>
  </si>
  <si>
    <t xml:space="preserve">6-10</t>
  </si>
  <si>
    <t xml:space="preserve">1</t>
  </si>
  <si>
    <t xml:space="preserve">boue compostée</t>
  </si>
  <si>
    <t xml:space="preserve">5-9</t>
  </si>
  <si>
    <t xml:space="preserve">6-8</t>
  </si>
  <si>
    <t xml:space="preserve">1-2</t>
  </si>
  <si>
    <t xml:space="preserve">rdt en qx/ha</t>
  </si>
  <si>
    <t xml:space="preserve">1.4. Entrées et sorties par les fourrages grossiers et litières</t>
  </si>
  <si>
    <t xml:space="preserve">Kg/tonne MS</t>
  </si>
  <si>
    <t xml:space="preserve">Pulpes bett. surpre.</t>
  </si>
  <si>
    <t xml:space="preserve">Luzerne déshy.</t>
  </si>
  <si>
    <t xml:space="preserve">Paille non traitée</t>
  </si>
  <si>
    <t xml:space="preserve">1.5. Entrées par les concentrés et les compléments minéraux</t>
  </si>
  <si>
    <t xml:space="preserve">Kg/tonne</t>
  </si>
  <si>
    <t xml:space="preserve">Composition moyenne des matières premières</t>
  </si>
  <si>
    <t xml:space="preserve">Orge</t>
  </si>
  <si>
    <t xml:space="preserve">Tourt. Soja 48</t>
  </si>
  <si>
    <t xml:space="preserve">Tourt. Soja 46</t>
  </si>
  <si>
    <t xml:space="preserve">Tourt. Soja 44</t>
  </si>
  <si>
    <t xml:space="preserve">Tourteau colza</t>
  </si>
  <si>
    <t xml:space="preserve">Lupin</t>
  </si>
  <si>
    <t xml:space="preserve">Luzerne déshy. 16%</t>
  </si>
  <si>
    <t xml:space="preserve">Luzerne déshy. 18%</t>
  </si>
  <si>
    <t xml:space="preserve">Luzerne déshy. 20%</t>
  </si>
  <si>
    <t xml:space="preserve">Luzerne déshy. 22%</t>
  </si>
  <si>
    <t xml:space="preserve">Composition moyenne des aliments du commerce</t>
  </si>
  <si>
    <t xml:space="preserve">Aliment porc charc.</t>
  </si>
  <si>
    <t xml:space="preserve">Aliment poule pond.</t>
  </si>
  <si>
    <t xml:space="preserve">1.5. Entrées par les animaux</t>
  </si>
  <si>
    <t xml:space="preserve">Poids vif (T)</t>
  </si>
  <si>
    <t xml:space="preserve">Normande</t>
  </si>
  <si>
    <t xml:space="preserve">Charolais</t>
  </si>
  <si>
    <t xml:space="preserve">Pie-noir</t>
  </si>
  <si>
    <t xml:space="preserve">Limousin</t>
  </si>
  <si>
    <t xml:space="preserve">Veau 8-15j</t>
  </si>
  <si>
    <t xml:space="preserve">-</t>
  </si>
  <si>
    <t xml:space="preserve">Génisse 1 an</t>
  </si>
  <si>
    <t xml:space="preserve">Génisse amouil.</t>
  </si>
  <si>
    <t xml:space="preserve">Vache réforme</t>
  </si>
  <si>
    <t xml:space="preserve">Taurillons 18m</t>
  </si>
  <si>
    <t xml:space="preserve">Bœuf</t>
  </si>
  <si>
    <t xml:space="preserve">Broutard</t>
  </si>
  <si>
    <t xml:space="preserve">Génisses grasse</t>
  </si>
  <si>
    <t xml:space="preserve">Poids vif des animaux hors-sol (tonnes)</t>
  </si>
  <si>
    <t xml:space="preserve">Porcelet</t>
  </si>
  <si>
    <t xml:space="preserve">Porc charcutier</t>
  </si>
  <si>
    <t xml:space="preserve">Truie de réforme</t>
  </si>
  <si>
    <t xml:space="preserve">Poussin</t>
  </si>
  <si>
    <t xml:space="preserve">Poulet 20 semaines</t>
  </si>
  <si>
    <t xml:space="preserve">Poulet standard</t>
  </si>
  <si>
    <t xml:space="preserve">Poulet label</t>
  </si>
  <si>
    <t xml:space="preserve">Dinde</t>
  </si>
  <si>
    <t xml:space="preserve">Pintade</t>
  </si>
  <si>
    <t xml:space="preserve">Canard de chair</t>
  </si>
  <si>
    <t xml:space="preserve">Canard gras</t>
  </si>
  <si>
    <t xml:space="preserve">Oie</t>
  </si>
  <si>
    <t xml:space="preserve">Lapin</t>
  </si>
  <si>
    <t xml:space="preserve">Lapine de réforme</t>
  </si>
  <si>
    <t xml:space="preserve">Kg/tonne brut</t>
  </si>
  <si>
    <t xml:space="preserve">Équin</t>
  </si>
  <si>
    <t xml:space="preserve">Caprin - ovin</t>
  </si>
  <si>
    <t xml:space="preserve">Œuf de poule</t>
  </si>
  <si>
    <t xml:space="preserve">Poussin de poulet</t>
  </si>
  <si>
    <t xml:space="preserve">Poulet</t>
  </si>
  <si>
    <t xml:space="preserve">Poussin de dinde</t>
  </si>
  <si>
    <t xml:space="preserve">Poussin de canard</t>
  </si>
  <si>
    <t xml:space="preserve">Canard</t>
  </si>
  <si>
    <t xml:space="preserve">Poussin de pintade</t>
  </si>
  <si>
    <t xml:space="preserve">2. Sorties</t>
  </si>
  <si>
    <t xml:space="preserve">2.1. Sorties par les animaux</t>
  </si>
  <si>
    <t xml:space="preserve">Coefficient de conversion du poids de carcasse en poids vif</t>
  </si>
  <si>
    <t xml:space="preserve">Veau boucherie</t>
  </si>
  <si>
    <t xml:space="preserve">Génisse grasse</t>
  </si>
  <si>
    <t xml:space="preserve">Taurillon, taureau</t>
  </si>
  <si>
    <t xml:space="preserve">2.2. Sorties par le lait et les produits laitiers</t>
  </si>
  <si>
    <t xml:space="preserve">Kg/1000 litres</t>
  </si>
  <si>
    <t xml:space="preserve">TP (g/kg)</t>
  </si>
  <si>
    <t xml:space="preserve">Lait vache</t>
  </si>
  <si>
    <t xml:space="preserve">Lait brebis</t>
  </si>
  <si>
    <t xml:space="preserve">Lait chèvre</t>
  </si>
  <si>
    <t xml:space="preserve">2.3. Sorties par les cultures de vente</t>
  </si>
  <si>
    <t xml:space="preserve">Abricotier</t>
  </si>
  <si>
    <t xml:space="preserve">Ail</t>
  </si>
  <si>
    <t xml:space="preserve">Ananas</t>
  </si>
  <si>
    <t xml:space="preserve">Artichauts 2 ans têtes</t>
  </si>
  <si>
    <t xml:space="preserve">Artichauts 2 ans têtes+bâtons</t>
  </si>
  <si>
    <t xml:space="preserve">Artichauts 2 ans têtes+bâtons+feuilles</t>
  </si>
  <si>
    <t xml:space="preserve">Artichauts 3 ans têtes</t>
  </si>
  <si>
    <t xml:space="preserve">Artichauts 3 ans têtes+bâtons</t>
  </si>
  <si>
    <t xml:space="preserve">Artichauts 3 ans têtes+bâtons+feuilles</t>
  </si>
  <si>
    <t xml:space="preserve">Artichauts drageons têtes</t>
  </si>
  <si>
    <t xml:space="preserve">Artichauts drageons têtes+bâtons</t>
  </si>
  <si>
    <t xml:space="preserve">Artichauts drageons têtes+bâtons+feuilles</t>
  </si>
  <si>
    <t xml:space="preserve">Asperges</t>
  </si>
  <si>
    <t xml:space="preserve">Avocatier (variété Fuerte)</t>
  </si>
  <si>
    <t xml:space="preserve">Avocatier (variété Lula)</t>
  </si>
  <si>
    <t xml:space="preserve">Avoine</t>
  </si>
  <si>
    <t xml:space="preserve">grain</t>
  </si>
  <si>
    <t xml:space="preserve">grain et paille</t>
  </si>
  <si>
    <t xml:space="preserve">Bananes</t>
  </si>
  <si>
    <t xml:space="preserve">Betterave fourr. racine</t>
  </si>
  <si>
    <t xml:space="preserve">Betterave fourr. verts</t>
  </si>
  <si>
    <t xml:space="preserve">Betterave rouge</t>
  </si>
  <si>
    <t xml:space="preserve">Betterave sucrière</t>
  </si>
  <si>
    <t xml:space="preserve">Carotte                </t>
  </si>
  <si>
    <t xml:space="preserve">Cerisiers</t>
  </si>
  <si>
    <r>
      <rPr>
        <sz val="10"/>
        <rFont val="Arial"/>
        <family val="2"/>
        <charset val="1"/>
      </rPr>
      <t xml:space="preserve">Chou-fleur cond. 01 </t>
    </r>
    <r>
      <rPr>
        <sz val="9"/>
        <rFont val="Arial"/>
        <family val="2"/>
        <charset val="1"/>
      </rPr>
      <t xml:space="preserve">champ</t>
    </r>
    <r>
      <rPr>
        <sz val="10"/>
        <rFont val="Arial"/>
        <family val="2"/>
        <charset val="1"/>
      </rPr>
      <t xml:space="preserve"> </t>
    </r>
  </si>
  <si>
    <t xml:space="preserve">1000 choux</t>
  </si>
  <si>
    <t xml:space="preserve">Chou-fleur cond. 01 vrac</t>
  </si>
  <si>
    <r>
      <rPr>
        <sz val="10"/>
        <rFont val="Arial"/>
        <family val="2"/>
        <charset val="1"/>
      </rPr>
      <t xml:space="preserve">Chou-fleur cond. 03 </t>
    </r>
    <r>
      <rPr>
        <sz val="9"/>
        <rFont val="Arial"/>
        <family val="2"/>
        <charset val="1"/>
      </rPr>
      <t xml:space="preserve">champ</t>
    </r>
  </si>
  <si>
    <t xml:space="preserve">Chou-fleur cond. 03 vrac</t>
  </si>
  <si>
    <r>
      <rPr>
        <sz val="10"/>
        <rFont val="Arial"/>
        <family val="2"/>
        <charset val="1"/>
      </rPr>
      <t xml:space="preserve">Chou-fleur cond. 05 </t>
    </r>
    <r>
      <rPr>
        <sz val="9"/>
        <rFont val="Arial"/>
        <family val="2"/>
        <charset val="1"/>
      </rPr>
      <t xml:space="preserve">champ</t>
    </r>
  </si>
  <si>
    <t xml:space="preserve">Chou-fleur cond. 05 vrac</t>
  </si>
  <si>
    <t xml:space="preserve">Choux four Moellier</t>
  </si>
  <si>
    <t xml:space="preserve">Choux fourrager (1/2 Moellier)</t>
  </si>
  <si>
    <t xml:space="preserve">Citrons (verts et jaunes)</t>
  </si>
  <si>
    <t xml:space="preserve">Colza de printemps (canola)</t>
  </si>
  <si>
    <t xml:space="preserve">Colza hiver</t>
  </si>
  <si>
    <t xml:space="preserve">Concombre</t>
  </si>
  <si>
    <t xml:space="preserve">Echalotte             </t>
  </si>
  <si>
    <t xml:space="preserve">Endive (racine)</t>
  </si>
  <si>
    <t xml:space="preserve">Ensilage herbe                 </t>
  </si>
  <si>
    <t xml:space="preserve">Épinard                </t>
  </si>
  <si>
    <t xml:space="preserve">Féverole hi.</t>
  </si>
  <si>
    <t xml:space="preserve">grain et fanes</t>
  </si>
  <si>
    <t xml:space="preserve">Féverole pr.</t>
  </si>
  <si>
    <t xml:space="preserve">Foin floraison                </t>
  </si>
  <si>
    <t xml:space="preserve">Foin pleine épiaison</t>
  </si>
  <si>
    <t xml:space="preserve">Fraises</t>
  </si>
  <si>
    <t xml:space="preserve">Haricot</t>
  </si>
  <si>
    <t xml:space="preserve">Haricot vert              </t>
  </si>
  <si>
    <t xml:space="preserve">Laitue de printemps</t>
  </si>
  <si>
    <t xml:space="preserve">Laitue d'hiver</t>
  </si>
  <si>
    <t xml:space="preserve">Laitue plein champ</t>
  </si>
  <si>
    <t xml:space="preserve">10 000 têtes</t>
  </si>
  <si>
    <t xml:space="preserve">Laitue serres dec.fev.</t>
  </si>
  <si>
    <t xml:space="preserve">Laitue serres oct.nov.</t>
  </si>
  <si>
    <t xml:space="preserve">Légumineuse avec fleur</t>
  </si>
  <si>
    <t xml:space="preserve">Légumineuse sans fleur</t>
  </si>
  <si>
    <t xml:space="preserve">Lin fibre</t>
  </si>
  <si>
    <t xml:space="preserve">Lin oléagineux</t>
  </si>
  <si>
    <t xml:space="preserve">Lupin hiver</t>
  </si>
  <si>
    <t xml:space="preserve">Lupin printps</t>
  </si>
  <si>
    <t xml:space="preserve">Maïs fourrage</t>
  </si>
  <si>
    <t xml:space="preserve">Maïs semence</t>
  </si>
  <si>
    <t xml:space="preserve">Mandarines</t>
  </si>
  <si>
    <t xml:space="preserve">Melons</t>
  </si>
  <si>
    <t xml:space="preserve">Navets fourragers</t>
  </si>
  <si>
    <t xml:space="preserve">Navets potagers</t>
  </si>
  <si>
    <t xml:space="preserve">Noisetier</t>
  </si>
  <si>
    <t xml:space="preserve">Noyer (cerneaux)</t>
  </si>
  <si>
    <t xml:space="preserve">Oignon                 </t>
  </si>
  <si>
    <t xml:space="preserve">Oranges</t>
  </si>
  <si>
    <t xml:space="preserve">Paille avoine ou seigle achetée</t>
  </si>
  <si>
    <t xml:space="preserve">Paille blé ou triticale achetée</t>
  </si>
  <si>
    <t xml:space="preserve">Paille orge achetée</t>
  </si>
  <si>
    <t xml:space="preserve">Pamplemousses</t>
  </si>
  <si>
    <t xml:space="preserve">Pâture 3 semaines</t>
  </si>
  <si>
    <t xml:space="preserve">Pâture 4 semaines</t>
  </si>
  <si>
    <t xml:space="preserve">Pâture 6 semaines</t>
  </si>
  <si>
    <t xml:space="preserve">Pêcher</t>
  </si>
  <si>
    <t xml:space="preserve">Poirier</t>
  </si>
  <si>
    <t xml:space="preserve">Pois hiver</t>
  </si>
  <si>
    <t xml:space="preserve">Pois printps</t>
  </si>
  <si>
    <t xml:space="preserve">Pomme de terre</t>
  </si>
  <si>
    <t xml:space="preserve">Pommier</t>
  </si>
  <si>
    <t xml:space="preserve">Prunier</t>
  </si>
  <si>
    <t xml:space="preserve">Riz</t>
  </si>
  <si>
    <t xml:space="preserve">Seigle</t>
  </si>
  <si>
    <t xml:space="preserve">Sorgho</t>
  </si>
  <si>
    <t xml:space="preserve">Sorgho ensilage</t>
  </si>
  <si>
    <t xml:space="preserve">Tabac blond</t>
  </si>
  <si>
    <t xml:space="preserve">Tabac brun, burley</t>
  </si>
  <si>
    <t xml:space="preserve">Tomates</t>
  </si>
  <si>
    <t xml:space="preserve">Tournesol</t>
  </si>
  <si>
    <t xml:space="preserve">Vigne</t>
  </si>
  <si>
    <t xml:space="preserve">Estimation des émissions et compensations des emission de GES (equivalent CO2)</t>
  </si>
  <si>
    <r>
      <rPr>
        <b val="true"/>
        <sz val="10"/>
        <color rgb="FF000000"/>
        <rFont val="Times New Roman"/>
        <family val="1"/>
        <charset val="1"/>
      </rPr>
      <t xml:space="preserve">Référence en kg équivalent CO</t>
    </r>
    <r>
      <rPr>
        <b val="true"/>
        <vertAlign val="subscript"/>
        <sz val="10"/>
        <color rgb="FF000000"/>
        <rFont val="Times New Roman"/>
        <family val="1"/>
        <charset val="1"/>
      </rPr>
      <t xml:space="preserve">2</t>
    </r>
  </si>
  <si>
    <r>
      <rPr>
        <b val="true"/>
        <sz val="10"/>
        <color rgb="FF000000"/>
        <rFont val="Times New Roman"/>
        <family val="1"/>
        <charset val="1"/>
      </rPr>
      <t xml:space="preserve">CO</t>
    </r>
    <r>
      <rPr>
        <b val="true"/>
        <vertAlign val="subscript"/>
        <sz val="10"/>
        <color rgb="FF000000"/>
        <rFont val="Times New Roman"/>
        <family val="1"/>
        <charset val="1"/>
      </rPr>
      <t xml:space="preserve">2</t>
    </r>
  </si>
  <si>
    <t xml:space="preserve">X</t>
  </si>
  <si>
    <t xml:space="preserve">……..</t>
  </si>
  <si>
    <t xml:space="preserve">=</t>
  </si>
  <si>
    <r>
      <rPr>
        <b val="true"/>
        <sz val="10"/>
        <color rgb="FF000000"/>
        <rFont val="Times New Roman"/>
        <family val="1"/>
        <charset val="1"/>
      </rPr>
      <t xml:space="preserve">CH</t>
    </r>
    <r>
      <rPr>
        <b val="true"/>
        <vertAlign val="subscript"/>
        <sz val="10"/>
        <color rgb="FF000000"/>
        <rFont val="Times New Roman"/>
        <family val="1"/>
        <charset val="1"/>
      </rPr>
      <t xml:space="preserve">4</t>
    </r>
  </si>
  <si>
    <t xml:space="preserve">X  </t>
  </si>
  <si>
    <t xml:space="preserve">Mois de présence X</t>
  </si>
  <si>
    <r>
      <rPr>
        <b val="true"/>
        <sz val="10"/>
        <color rgb="FF000000"/>
        <rFont val="Times New Roman"/>
        <family val="1"/>
        <charset val="1"/>
      </rPr>
      <t xml:space="preserve">N</t>
    </r>
    <r>
      <rPr>
        <b val="true"/>
        <vertAlign val="subscript"/>
        <sz val="10"/>
        <color rgb="FF000000"/>
        <rFont val="Times New Roman"/>
        <family val="1"/>
        <charset val="1"/>
      </rPr>
      <t xml:space="preserve">2</t>
    </r>
    <r>
      <rPr>
        <b val="true"/>
        <sz val="10"/>
        <color rgb="FF000000"/>
        <rFont val="Times New Roman"/>
        <family val="1"/>
        <charset val="1"/>
      </rPr>
      <t xml:space="preserve">O</t>
    </r>
  </si>
  <si>
    <t xml:space="preserve">X </t>
  </si>
  <si>
    <r>
      <rPr>
        <b val="true"/>
        <sz val="10"/>
        <color rgb="FF000000"/>
        <rFont val="Times New Roman"/>
        <family val="1"/>
        <charset val="1"/>
      </rPr>
      <t xml:space="preserve">Emissions brutes (en kg éq CO</t>
    </r>
    <r>
      <rPr>
        <b val="true"/>
        <vertAlign val="subscript"/>
        <sz val="10"/>
        <color rgb="FF000000"/>
        <rFont val="Times New Roman"/>
        <family val="1"/>
        <charset val="1"/>
      </rPr>
      <t xml:space="preserve">2</t>
    </r>
    <r>
      <rPr>
        <b val="true"/>
        <sz val="10"/>
        <color rgb="FF000000"/>
        <rFont val="Times New Roman"/>
        <family val="1"/>
        <charset val="1"/>
      </rPr>
      <t xml:space="preserve">) =</t>
    </r>
  </si>
  <si>
    <t xml:space="preserve"> X                    </t>
  </si>
  <si>
    <t xml:space="preserve"> Stockage de carbone (en kg éq CO2)=</t>
  </si>
  <si>
    <t xml:space="preserve">formaliser sources document vincent</t>
  </si>
  <si>
    <t xml:space="preserve">INDICATEURS DE DURABILITE DE LA DIMENSION AGRO-ECOLOGIQUE</t>
  </si>
  <si>
    <t xml:space="preserve">Diversité fonctionnelle</t>
  </si>
  <si>
    <t xml:space="preserve">ROB1 : Diversité des espèces cultivées</t>
  </si>
  <si>
    <t xml:space="preserve">Note sur 5</t>
  </si>
  <si>
    <t xml:space="preserve">Modalités</t>
  </si>
  <si>
    <t xml:space="preserve">Note déplafonnée</t>
  </si>
  <si>
    <t xml:space="preserve">Note plafonnée</t>
  </si>
  <si>
    <t xml:space="preserve">Nb famille botanique</t>
  </si>
  <si>
    <t xml:space="preserve">1 famille</t>
  </si>
  <si>
    <t xml:space="preserve">4 ou 5 familles</t>
  </si>
  <si>
    <t xml:space="preserve">6 familles et +</t>
  </si>
  <si>
    <t xml:space="preserve">Item 1 : Diversité et "équitabilité" des cultures</t>
  </si>
  <si>
    <t xml:space="preserve">score</t>
  </si>
  <si>
    <t xml:space="preserve">Gds cultures, fourrages et perennes</t>
  </si>
  <si>
    <t xml:space="preserve">Score</t>
  </si>
  <si>
    <t xml:space="preserve">% (SAU-STH)</t>
  </si>
  <si>
    <t xml:space="preserve">Maraichage </t>
  </si>
  <si>
    <t xml:space="preserve">diversité permanente</t>
  </si>
  <si>
    <t xml:space="preserve">% de la (SAU - STH)</t>
  </si>
  <si>
    <t xml:space="preserve">catégorie</t>
  </si>
  <si>
    <t xml:space="preserve">%PP</t>
  </si>
  <si>
    <t xml:space="preserve">Item 2 : Part de PP dans la SAU</t>
  </si>
  <si>
    <t xml:space="preserve">saut de classe</t>
  </si>
  <si>
    <t xml:space="preserve">ROB2 : Diversité génétique</t>
  </si>
  <si>
    <t xml:space="preserve">Item 1 : Participation à des programmes</t>
  </si>
  <si>
    <t xml:space="preserve">O/N</t>
  </si>
  <si>
    <t xml:space="preserve">Item 2 : Diversité des productions végétales</t>
  </si>
  <si>
    <t xml:space="preserve">Atelier</t>
  </si>
  <si>
    <t xml:space="preserve">Gds cultures, fourrages, etc…</t>
  </si>
  <si>
    <t xml:space="preserve">Tolérance/Résistance/Rusticité </t>
  </si>
  <si>
    <t xml:space="preserve">Surface</t>
  </si>
  <si>
    <t xml:space="preserve">Gds cultures, indus et fourrages</t>
  </si>
  <si>
    <t xml:space="preserve">% de la (SAU-STH)</t>
  </si>
  <si>
    <t xml:space="preserve">Score au % SAU-STH</t>
  </si>
  <si>
    <t xml:space="preserve">Item 3 : Diversité des productions animales</t>
  </si>
  <si>
    <t xml:space="preserve">Cx</t>
  </si>
  <si>
    <t xml:space="preserve">Part des mères croisées (Cx)</t>
  </si>
  <si>
    <t xml:space="preserve">points</t>
  </si>
  <si>
    <t xml:space="preserve">Critère de rusticité en reproduction</t>
  </si>
  <si>
    <t xml:space="preserve">choix repro </t>
  </si>
  <si>
    <t xml:space="preserve">oui, critère principal</t>
  </si>
  <si>
    <t xml:space="preserve">ROB3 : Diversité temporelle des cultures </t>
  </si>
  <si>
    <t xml:space="preserve">Item 1 : Cultures annuelles et pluriannuelles</t>
  </si>
  <si>
    <t xml:space="preserve">item 2</t>
  </si>
  <si>
    <t xml:space="preserve">Successions à délai de retour court</t>
  </si>
  <si>
    <t xml:space="preserve">poids rot. courte</t>
  </si>
  <si>
    <t xml:space="preserve">Cultures pluriann. à fauches multiples</t>
  </si>
  <si>
    <t xml:space="preserve">Durée interculture viticulture</t>
  </si>
  <si>
    <t xml:space="preserve">Point</t>
  </si>
  <si>
    <t xml:space="preserve">Durée interculture arboriculture</t>
  </si>
  <si>
    <t xml:space="preserve">Qualité interculture cult perennes</t>
  </si>
  <si>
    <t xml:space="preserve">Item 2 : Cultures pérennes</t>
  </si>
  <si>
    <t xml:space="preserve">0 à 2 ans</t>
  </si>
  <si>
    <t xml:space="preserve">0 à 1 an</t>
  </si>
  <si>
    <t xml:space="preserve">3 à 5 ans</t>
  </si>
  <si>
    <t xml:space="preserve">1 à 2 ans</t>
  </si>
  <si>
    <t xml:space="preserve">ans</t>
  </si>
  <si>
    <t xml:space="preserve">6 à 7 ans</t>
  </si>
  <si>
    <t xml:space="preserve">2 à 3 ans</t>
  </si>
  <si>
    <t xml:space="preserve">plus de 7 ans</t>
  </si>
  <si>
    <t xml:space="preserve">3 ans et +</t>
  </si>
  <si>
    <t xml:space="preserve">Qualité interculture</t>
  </si>
  <si>
    <t xml:space="preserve">Nbr familles botaniques</t>
  </si>
  <si>
    <t xml:space="preserve">Retour même famille</t>
  </si>
  <si>
    <t xml:space="preserve">Item 3 : Maraichage</t>
  </si>
  <si>
    <t xml:space="preserve">2 familles</t>
  </si>
  <si>
    <t xml:space="preserve">Nbr familles botanique </t>
  </si>
  <si>
    <t xml:space="preserve">3 familles</t>
  </si>
  <si>
    <t xml:space="preserve">4 familles et +</t>
  </si>
  <si>
    <t xml:space="preserve">Retour d'une même famille botanique</t>
  </si>
  <si>
    <t xml:space="preserve">Cultures annuelles et pluri</t>
  </si>
  <si>
    <t xml:space="preserve">Arbo et Viti</t>
  </si>
  <si>
    <t xml:space="preserve">STH</t>
  </si>
  <si>
    <t xml:space="preserve">Couverts intermédiaires à objectif agro</t>
  </si>
  <si>
    <t xml:space="preserve">ROB4 : Qualité de l'organisation spatiale</t>
  </si>
  <si>
    <t xml:space="preserve">% SBD</t>
  </si>
  <si>
    <t xml:space="preserve">Item 1 : Unités spatiales de même culture &gt; 12ha (ou 6)</t>
  </si>
  <si>
    <t xml:space="preserve">points </t>
  </si>
  <si>
    <t xml:space="preserve">Item 2 : Part de la surface de biodiversité developpée</t>
  </si>
  <si>
    <t xml:space="preserve">Ratio</t>
  </si>
  <si>
    <t xml:space="preserve">CAP1 RES1 : Gestion insectes pollinisateurs et auxiliaires</t>
  </si>
  <si>
    <t xml:space="preserve">Part de PP dans la SAU</t>
  </si>
  <si>
    <t xml:space="preserve">Gestion des bordures</t>
  </si>
  <si>
    <t xml:space="preserve">Item 1 : Zones non productives</t>
  </si>
  <si>
    <t xml:space="preserve">Mode de gestion :</t>
  </si>
  <si>
    <t xml:space="preserve">Item 2 :Usage d'insecticides</t>
  </si>
  <si>
    <t xml:space="preserve">% sans pesticides</t>
  </si>
  <si>
    <t xml:space="preserve">Points</t>
  </si>
  <si>
    <t xml:space="preserve">Part SAU ayant reçu insecticides</t>
  </si>
  <si>
    <t xml:space="preserve">Part cheptel ayant reçu insecticides</t>
  </si>
  <si>
    <t xml:space="preserve">Item 3: Accueil pollinisateurs sauvages</t>
  </si>
  <si>
    <t xml:space="preserve">bonus</t>
  </si>
  <si>
    <t xml:space="preserve">point</t>
  </si>
  <si>
    <t xml:space="preserve">Bouclage de flux de matières et d'énergie par une recherche d'autonomie</t>
  </si>
  <si>
    <t xml:space="preserve">AUT 1 : Autonomie en énergie, matériaux, matériels, semences et plants </t>
  </si>
  <si>
    <t xml:space="preserve">Note sur 8</t>
  </si>
  <si>
    <t xml:space="preserve">% autonomie</t>
  </si>
  <si>
    <t xml:space="preserve">Oui de manière significative</t>
  </si>
  <si>
    <t xml:space="preserve">Oui de manière non significative</t>
  </si>
  <si>
    <t xml:space="preserve">Item 1 : Energie</t>
  </si>
  <si>
    <t xml:space="preserve">Item 2 : Matériaux et matériels agricoles</t>
  </si>
  <si>
    <t xml:space="preserve">% surface cultivé en semence de ferme</t>
  </si>
  <si>
    <t xml:space="preserve">Item 3 : Autoproduction de semences/plants</t>
  </si>
  <si>
    <t xml:space="preserve">AUT 2 : Autonomie alimentaire de l’élevage</t>
  </si>
  <si>
    <t xml:space="preserve">% aut fourrage</t>
  </si>
  <si>
    <t xml:space="preserve">Type d'élevage :</t>
  </si>
  <si>
    <t xml:space="preserve">Item 1 : Autonomie en fourrages</t>
  </si>
  <si>
    <t xml:space="preserve">% aut concentrés</t>
  </si>
  <si>
    <t xml:space="preserve">Item 2 : Autonomie en concentrés</t>
  </si>
  <si>
    <t xml:space="preserve">AUT 3 : Autonomie en azote</t>
  </si>
  <si>
    <t xml:space="preserve">ratio N organique</t>
  </si>
  <si>
    <t xml:space="preserve">Nul</t>
  </si>
  <si>
    <t xml:space="preserve">Item 1 : Autonomie vis-à-vis de l'azote extérieur</t>
  </si>
  <si>
    <t xml:space="preserve">% leg dans SAU</t>
  </si>
  <si>
    <t xml:space="preserve">Item 2 : Part des légumineuses dans l'assolement</t>
  </si>
  <si>
    <t xml:space="preserve">Sobriété dans l'utilisation des ressources</t>
  </si>
  <si>
    <t xml:space="preserve">RES 2 : Sobriété dans l'usage de l'eau et partage de la ressource</t>
  </si>
  <si>
    <t xml:space="preserve">Prélèvements</t>
  </si>
  <si>
    <t xml:space="preserve">Pression de prélèvement 
et vulnérabilité de la ressource</t>
  </si>
  <si>
    <t xml:space="preserve">A10</t>
  </si>
  <si>
    <t xml:space="preserve">RES 3 : Sobriété dans l'utilisation du phosphore</t>
  </si>
  <si>
    <t xml:space="preserve">valeur PSPH</t>
  </si>
  <si>
    <t xml:space="preserve">PSPH</t>
  </si>
  <si>
    <t xml:space="preserve">RES 4 : Sobriété dans la consommation en énergie</t>
  </si>
  <si>
    <t xml:space="preserve">valeur EQF</t>
  </si>
  <si>
    <t xml:space="preserve">Consommation nette en énergie</t>
  </si>
  <si>
    <t xml:space="preserve">Assurer des conditions favorables à la production à moyen et long terme</t>
  </si>
  <si>
    <t xml:space="preserve">CAP 2 : Raisonner l'utilisation de l'eau</t>
  </si>
  <si>
    <t xml:space="preserve">Item 1 : Réduire les besoins</t>
  </si>
  <si>
    <t xml:space="preserve">Type culture</t>
  </si>
  <si>
    <t xml:space="preserve">Système herbager avec pâturage</t>
  </si>
  <si>
    <t xml:space="preserve">Stratégies d'économies</t>
  </si>
  <si>
    <t xml:space="preserve">Pas de culture irriguée - Non concerné</t>
  </si>
  <si>
    <t xml:space="preserve">Item 2 : Réduire le gaspillage et optimiser l'usage</t>
  </si>
  <si>
    <t xml:space="preserve">Sous-compteurs/vannes</t>
  </si>
  <si>
    <t xml:space="preserve">Dispositifs écomones</t>
  </si>
  <si>
    <t xml:space="preserve">Item 3 : Recycler et réutiliser l'eau</t>
  </si>
  <si>
    <t xml:space="preserve">Récupération/Réutilisation d'eau</t>
  </si>
  <si>
    <t xml:space="preserve">CAP 3 : Favoriser la fertilité des sols</t>
  </si>
  <si>
    <t xml:space="preserve">Item 1 : Fertilité à long terme des sols</t>
  </si>
  <si>
    <t xml:space="preserve">Gestion MO</t>
  </si>
  <si>
    <t xml:space="preserve">Gestion de la MO</t>
  </si>
  <si>
    <t xml:space="preserve">Pailles brulées</t>
  </si>
  <si>
    <t xml:space="preserve">Métaux lourds</t>
  </si>
  <si>
    <t xml:space="preserve">CPS</t>
  </si>
  <si>
    <t xml:space="preserve">Item 2 : Vie biologique des sols</t>
  </si>
  <si>
    <t xml:space="preserve">Couverture permanente</t>
  </si>
  <si>
    <t xml:space="preserve">NTS</t>
  </si>
  <si>
    <t xml:space="preserve">Non travail du sol</t>
  </si>
  <si>
    <t xml:space="preserve">SAU sans pesticide</t>
  </si>
  <si>
    <t xml:space="preserve">% SAU sans phyto</t>
  </si>
  <si>
    <t xml:space="preserve">Désinfection vapeur</t>
  </si>
  <si>
    <t xml:space="preserve">Desinfection vapeur</t>
  </si>
  <si>
    <t xml:space="preserve">Item 3 : Erosion</t>
  </si>
  <si>
    <t xml:space="preserve">Gestion</t>
  </si>
  <si>
    <t xml:space="preserve">ROB 5 : Maintenir l'efficacité de la protection sanitaire</t>
  </si>
  <si>
    <t xml:space="preserve">Note sur 4</t>
  </si>
  <si>
    <t xml:space="preserve">Usage de produits phytosanitaires ou vétérinaires</t>
  </si>
  <si>
    <t xml:space="preserve">Item 1 : Alternance</t>
  </si>
  <si>
    <t xml:space="preserve">Item 1: Stratégies d’alternance des produits phyto</t>
  </si>
  <si>
    <t xml:space="preserve">Oui seulement des produits phyto</t>
  </si>
  <si>
    <t xml:space="preserve">Oui seulement des produits véto</t>
  </si>
  <si>
    <t xml:space="preserve">Item 2: Stratégie d'usage des produits véto</t>
  </si>
  <si>
    <t xml:space="preserve">ROB 6 : Sécuriser la disponibilité des moyens matériels de production</t>
  </si>
  <si>
    <t xml:space="preserve">nbr de mois de SFS</t>
  </si>
  <si>
    <t xml:space="preserve">Item 1 :Problèmes d’approvisionnement</t>
  </si>
  <si>
    <t xml:space="preserve">Item 2 :Problèmes d'accès à la collecte</t>
  </si>
  <si>
    <t xml:space="preserve">Item 3 : Stock fourrager de sécurité  </t>
  </si>
  <si>
    <t xml:space="preserve">mois</t>
  </si>
  <si>
    <t xml:space="preserve">Réduire les impacts sur la santé humaine et les écosystèmes</t>
  </si>
  <si>
    <t xml:space="preserve">RES 5 : Réduire l'impact des pratiques sur la qualité de l'eau</t>
  </si>
  <si>
    <t xml:space="preserve">Note sur 6</t>
  </si>
  <si>
    <t xml:space="preserve">bilan azote </t>
  </si>
  <si>
    <t xml:space="preserve">Item 1 : Pression azote</t>
  </si>
  <si>
    <t xml:space="preserve">sinon</t>
  </si>
  <si>
    <t xml:space="preserve">Bilan azote</t>
  </si>
  <si>
    <t xml:space="preserve">excédent</t>
  </si>
  <si>
    <t xml:space="preserve">-2</t>
  </si>
  <si>
    <t xml:space="preserve">Chargement en UGB/ha</t>
  </si>
  <si>
    <t xml:space="preserve">fertilisation</t>
  </si>
  <si>
    <t xml:space="preserve">Fertilisation en lessivage</t>
  </si>
  <si>
    <t xml:space="preserve">IFT Herbicide</t>
  </si>
  <si>
    <t xml:space="preserve">Item 2 : Pression herbicide</t>
  </si>
  <si>
    <t xml:space="preserve">IFT herbicide</t>
  </si>
  <si>
    <t xml:space="preserve">% culture pièges</t>
  </si>
  <si>
    <t xml:space="preserve">Item 3 : Action limitation transferts</t>
  </si>
  <si>
    <t xml:space="preserve">Aménagements</t>
  </si>
  <si>
    <t xml:space="preserve">Cultures à forte capacité absorption N</t>
  </si>
  <si>
    <t xml:space="preserve">RES 6 : Réduire l'impact des pratiques sur la qualité de l'air</t>
  </si>
  <si>
    <t xml:space="preserve">Item 1 : Emissions de particules</t>
  </si>
  <si>
    <t xml:space="preserve">NP (nbr passage)</t>
  </si>
  <si>
    <t xml:space="preserve">0 ou 1</t>
  </si>
  <si>
    <t xml:space="preserve">Engins émetteurs</t>
  </si>
  <si>
    <t xml:space="preserve">A REMPLIR</t>
  </si>
  <si>
    <t xml:space="preserve">NP</t>
  </si>
  <si>
    <t xml:space="preserve">Pratiques de limitation</t>
  </si>
  <si>
    <t xml:space="preserve">action(s)</t>
  </si>
  <si>
    <t xml:space="preserve">Item 2 : Pratiques et émissions de pesticides</t>
  </si>
  <si>
    <t xml:space="preserve">RES 7 : Réduire l'impact des pratiques sur le changement climatique</t>
  </si>
  <si>
    <t xml:space="preserve">Émissions nettes</t>
  </si>
  <si>
    <t xml:space="preserve">valeur T eq. CO2</t>
  </si>
  <si>
    <t xml:space="preserve">t eq CO2</t>
  </si>
  <si>
    <t xml:space="preserve">RES 8 : Réduire l'usage des produits phytosanitaires et des traitements vétérinaires</t>
  </si>
  <si>
    <t xml:space="preserve">Sobriété utilisation produits vétérinaires</t>
  </si>
  <si>
    <t xml:space="preserve">IFT Global simplifiée </t>
  </si>
  <si>
    <t xml:space="preserve">Valeur IFT G</t>
  </si>
  <si>
    <t xml:space="preserve">Utilisation de CMR ou perturbateurs endocriniens</t>
  </si>
  <si>
    <t xml:space="preserve">Stratégie alternatives</t>
  </si>
  <si>
    <t xml:space="preserve">stock initial</t>
  </si>
  <si>
    <t xml:space="preserve">évitement</t>
  </si>
  <si>
    <t xml:space="preserve">atténuation</t>
  </si>
  <si>
    <t xml:space="preserve">mécanique et biologique</t>
  </si>
  <si>
    <t xml:space="preserve">Sobriété utilisation traitements vétérinaires</t>
  </si>
  <si>
    <t xml:space="preserve">Traitements vétérinaires</t>
  </si>
  <si>
    <t xml:space="preserve">valeur TV</t>
  </si>
  <si>
    <t xml:space="preserve">TV</t>
  </si>
  <si>
    <t xml:space="preserve">Stratégies alternatives</t>
  </si>
  <si>
    <t xml:space="preserve">Homéopathie, essences</t>
  </si>
  <si>
    <t xml:space="preserve">Produits rémanents</t>
  </si>
  <si>
    <t xml:space="preserve">Stratégies préventive</t>
  </si>
  <si>
    <t xml:space="preserve">Absence de délais avant retour parcelle</t>
  </si>
  <si>
    <t xml:space="preserve">Antibiotique critique</t>
  </si>
  <si>
    <t xml:space="preserve">TOTAL</t>
  </si>
  <si>
    <t xml:space="preserve">INDICATEURS DE DURABILITE DE LA DIMENSION SOCIO-TERRITORIALE</t>
  </si>
  <si>
    <t xml:space="preserve">Alimentation</t>
  </si>
  <si>
    <t xml:space="preserve">B1</t>
  </si>
  <si>
    <t xml:space="preserve">CAP4 RES9 :  Production alimentaire de l'exploitation </t>
  </si>
  <si>
    <t xml:space="preserve">Note plafonnée composante</t>
  </si>
  <si>
    <t xml:space="preserve">valeurs PAE</t>
  </si>
  <si>
    <t xml:space="preserve">Item 1 : Part de la SAU consacrée à l'alimentation humaine   </t>
  </si>
  <si>
    <t xml:space="preserve">PAE</t>
  </si>
  <si>
    <t xml:space="preserve">Item 2 : Production de légumes secs ou de fruits et légumes</t>
  </si>
  <si>
    <t xml:space="preserve">Item 3 : Exploitation en production animale hors sol </t>
  </si>
  <si>
    <t xml:space="preserve">item2</t>
  </si>
  <si>
    <t xml:space="preserve">item3</t>
  </si>
  <si>
    <t xml:space="preserve">RES10 : Contribution à l’équilibre alimentaire mondial</t>
  </si>
  <si>
    <t xml:space="preserve">TI  </t>
  </si>
  <si>
    <t xml:space="preserve">protéine</t>
  </si>
  <si>
    <t xml:space="preserve">Item 1 : Exploitation avec élévage </t>
  </si>
  <si>
    <t xml:space="preserve">Taux importation (TI)</t>
  </si>
  <si>
    <t xml:space="preserve">Item 2 : Exploitation sans élevage</t>
  </si>
  <si>
    <t xml:space="preserve">Part de la SAU consacrée à la production de protéines</t>
  </si>
  <si>
    <t xml:space="preserve">ANC1 CAP5  : Qualités de la production alimentaire</t>
  </si>
  <si>
    <t xml:space="preserve">Item 1 : Qualité alimentaire d'origine et de process</t>
  </si>
  <si>
    <t xml:space="preserve">v.i.</t>
  </si>
  <si>
    <t xml:space="preserve">IGP</t>
  </si>
  <si>
    <t xml:space="preserve">AOC</t>
  </si>
  <si>
    <t xml:space="preserve">Process</t>
  </si>
  <si>
    <t xml:space="preserve">Qualité nutritionnelle</t>
  </si>
  <si>
    <t xml:space="preserve">Item 2 : Qualité nutritionnelle</t>
  </si>
  <si>
    <t xml:space="preserve">AB</t>
  </si>
  <si>
    <t xml:space="preserve">Item 3 : Qualité globale</t>
  </si>
  <si>
    <t xml:space="preserve">certifiée AB</t>
  </si>
  <si>
    <t xml:space="preserve">RES11 : Pertes et gaspillages </t>
  </si>
  <si>
    <t xml:space="preserve">Actions contre les pertes et le gaspillage</t>
  </si>
  <si>
    <t xml:space="preserve">RES12 : Liens sociaux, hédoniques et culturels à l’alimentation</t>
  </si>
  <si>
    <t xml:space="preserve">Item 1 :Démarches favorisant le lien entre consommateur et le producteur </t>
  </si>
  <si>
    <t xml:space="preserve">item 1</t>
  </si>
  <si>
    <t xml:space="preserve">item 3</t>
  </si>
  <si>
    <t xml:space="preserve">Item 2 : Démarches favorisant l’apprentissage ou la culture autour de l’aliment </t>
  </si>
  <si>
    <t xml:space="preserve">Item 3 : Présence d’une diversité pour contribuer au maintien d’une pluralité des saveurs et une contribution à la formation des goûts par le consommateur</t>
  </si>
  <si>
    <t xml:space="preserve">Développement local et économie circulaire</t>
  </si>
  <si>
    <t xml:space="preserve">ANC2 : Engagement dans des démarches environnementales contractualisées et territoriales</t>
  </si>
  <si>
    <t xml:space="preserve">Prévention des risques naturels</t>
  </si>
  <si>
    <t xml:space="preserve">Item 1 : Adhésion à des chartes environnementales</t>
  </si>
  <si>
    <t xml:space="preserve">Oui sur plus de 50% de la SAU</t>
  </si>
  <si>
    <t xml:space="preserve">Oui sur moins de 50% de la SAU</t>
  </si>
  <si>
    <t xml:space="preserve">Item 2 : Contractualisation pour la prévention des risques naturels </t>
  </si>
  <si>
    <t xml:space="preserve">ANC3 : Services marchands au territoire</t>
  </si>
  <si>
    <t xml:space="preserve">Note sur 3</t>
  </si>
  <si>
    <t xml:space="preserve">Item 1: Services marchands rendus au territoire </t>
  </si>
  <si>
    <t xml:space="preserve">item 3 </t>
  </si>
  <si>
    <t xml:space="preserve">Item 2: Agrotourisme</t>
  </si>
  <si>
    <t xml:space="preserve">Item 3: Ferme pédagogique                         </t>
  </si>
  <si>
    <t xml:space="preserve">ANC4 AUT4 : Valorisation par filières courtes ou de proximité</t>
  </si>
  <si>
    <t xml:space="preserve">% CA vente directe</t>
  </si>
  <si>
    <t xml:space="preserve">Item 1 : Valorisation par vente directe ou circuit court </t>
  </si>
  <si>
    <t xml:space="preserve">Item 2 : Valorisation de proximité géographique</t>
  </si>
  <si>
    <t xml:space="preserve">collective</t>
  </si>
  <si>
    <t xml:space="preserve">individuelle</t>
  </si>
  <si>
    <t xml:space="preserve">item3 : Démarche de contractualisation</t>
  </si>
  <si>
    <t xml:space="preserve">ANC5 : Valorisation des ressources locales</t>
  </si>
  <si>
    <t xml:space="preserve">alim animale</t>
  </si>
  <si>
    <t xml:space="preserve">engrais org.</t>
  </si>
  <si>
    <t xml:space="preserve">Item 1 : Approvisionnements locaux agricoles</t>
  </si>
  <si>
    <t xml:space="preserve">Alimentation animale</t>
  </si>
  <si>
    <t xml:space="preserve">Achat d'aminaux locaux</t>
  </si>
  <si>
    <t xml:space="preserve">echange paille fumier</t>
  </si>
  <si>
    <t xml:space="preserve">Sélection variétale</t>
  </si>
  <si>
    <t xml:space="preserve">eau</t>
  </si>
  <si>
    <t xml:space="preserve">Engrais organiques</t>
  </si>
  <si>
    <t xml:space="preserve">Pailles/Fumier</t>
  </si>
  <si>
    <t xml:space="preserve">Récupération eau pluie</t>
  </si>
  <si>
    <t xml:space="preserve">Conso energie locale</t>
  </si>
  <si>
    <t xml:space="preserve">Prod energie locale</t>
  </si>
  <si>
    <t xml:space="preserve">Materiaux locaux</t>
  </si>
  <si>
    <t xml:space="preserve">Autres appro locales</t>
  </si>
  <si>
    <t xml:space="preserve">Item 2  : Approvisionnements locaux entreprises</t>
  </si>
  <si>
    <t xml:space="preserve">Eau de station/process</t>
  </si>
  <si>
    <t xml:space="preserve">Boues station / Déchets</t>
  </si>
  <si>
    <t xml:space="preserve">Autres sous produit</t>
  </si>
  <si>
    <t xml:space="preserve">Item 3  : Valorisation sous produit communauté</t>
  </si>
  <si>
    <t xml:space="preserve">ANC6 : Valorisation et qualité du patrimoine et des ressources naturelles</t>
  </si>
  <si>
    <t xml:space="preserve">Item 1 : Qualité du patrimoine bâti</t>
  </si>
  <si>
    <t xml:space="preserve">Item 2 : Qualité paysagère</t>
  </si>
  <si>
    <t xml:space="preserve">Item  3: Contribution au maintien de savoirs locaux reconnus</t>
  </si>
  <si>
    <t xml:space="preserve">Item 4 : Maintenir/développer le patrimoine génétique local </t>
  </si>
  <si>
    <t xml:space="preserve">RES13 : Accessibilité de l'espace </t>
  </si>
  <si>
    <t xml:space="preserve">Item 1 : En zone rurale</t>
  </si>
  <si>
    <t xml:space="preserve">Item 2 : En zone urbaine </t>
  </si>
  <si>
    <t xml:space="preserve">Item3 : Entretien des chemins</t>
  </si>
  <si>
    <t xml:space="preserve">RES14 : Gestion des déchets non organiques </t>
  </si>
  <si>
    <t xml:space="preserve">Gestion des déchets</t>
  </si>
  <si>
    <t xml:space="preserve">arrondi à</t>
  </si>
  <si>
    <t xml:space="preserve">Pratiques à risques</t>
  </si>
  <si>
    <t xml:space="preserve">malus</t>
  </si>
  <si>
    <t xml:space="preserve">AUT5 CAP6 ROB7 : Réseaux d'innovation et mutualisation du matériel</t>
  </si>
  <si>
    <t xml:space="preserve">Item 1: Participation à des réseaux de connaissances</t>
  </si>
  <si>
    <t xml:space="preserve">Item 2: Mutualisation des matériels équipements/bâtiments/services</t>
  </si>
  <si>
    <t xml:space="preserve">Emploi et qualité au travail</t>
  </si>
  <si>
    <t xml:space="preserve">ANC7 CAP7 RES15 : Contribution à l'emploi et gestion du salariat</t>
  </si>
  <si>
    <t xml:space="preserve">surface/UTH</t>
  </si>
  <si>
    <t xml:space="preserve">Item 1: Intensité du travail (SAU/UTH)</t>
  </si>
  <si>
    <t xml:space="preserve">Item 2: Dynamique</t>
  </si>
  <si>
    <t xml:space="preserve">Création sur l'EA</t>
  </si>
  <si>
    <t xml:space="preserve">Création dans réseau </t>
  </si>
  <si>
    <t xml:space="preserve">sur EA</t>
  </si>
  <si>
    <t xml:space="preserve">territoire</t>
  </si>
  <si>
    <t xml:space="preserve">main d'œuvre</t>
  </si>
  <si>
    <t xml:space="preserve">Item 3 : Salariés</t>
  </si>
  <si>
    <t xml:space="preserve">&gt;50% main d'oeuvre saiso. habite sur le terr. </t>
  </si>
  <si>
    <t xml:space="preserve">Qualité au travail </t>
  </si>
  <si>
    <t xml:space="preserve">ANC8 AUT6 CAP8 ROB8 : Mutualisation du travail</t>
  </si>
  <si>
    <t xml:space="preserve">Item 1 : Travail collectif</t>
  </si>
  <si>
    <t xml:space="preserve">Item 2 : Projets productifs en commun</t>
  </si>
  <si>
    <t xml:space="preserve">CAP9 RES16 ROB9 : Intensité et qualité au travail</t>
  </si>
  <si>
    <t xml:space="preserve">Semaines en surcharge</t>
  </si>
  <si>
    <t xml:space="preserve">Item 1 : Plaisir au travail</t>
  </si>
  <si>
    <t xml:space="preserve">Item 2 : Surcharge temporelle et mentale</t>
  </si>
  <si>
    <t xml:space="preserve">Nombre de semaines</t>
  </si>
  <si>
    <t xml:space="preserve">Item 3 : Congés</t>
  </si>
  <si>
    <t xml:space="preserve">Grille congés</t>
  </si>
  <si>
    <t xml:space="preserve">Nécessaires? / En prenez-vous?</t>
  </si>
  <si>
    <t xml:space="preserve">ouioui</t>
  </si>
  <si>
    <t xml:space="preserve">nonnon</t>
  </si>
  <si>
    <t xml:space="preserve">Item 4 : Pénibilité</t>
  </si>
  <si>
    <t xml:space="preserve">nonoui</t>
  </si>
  <si>
    <t xml:space="preserve">ouinon</t>
  </si>
  <si>
    <t xml:space="preserve">RES17 : Accueil, hygiène et sécurité</t>
  </si>
  <si>
    <t xml:space="preserve">Item 1 : Qualité d'accueil et d'hébergement  </t>
  </si>
  <si>
    <t xml:space="preserve">item 3.1</t>
  </si>
  <si>
    <t xml:space="preserve">item 3.2</t>
  </si>
  <si>
    <t xml:space="preserve">item 3;3</t>
  </si>
  <si>
    <t xml:space="preserve">Item 2 : Sécurité des installations</t>
  </si>
  <si>
    <t xml:space="preserve">Contrôle par un organisme certifié</t>
  </si>
  <si>
    <t xml:space="preserve">Item 3 : Contact avec les pesticides</t>
  </si>
  <si>
    <t xml:space="preserve">Local phyto conforme</t>
  </si>
  <si>
    <t xml:space="preserve">Exposition aux phytos</t>
  </si>
  <si>
    <t xml:space="preserve">Aucun produit phyto</t>
  </si>
  <si>
    <t xml:space="preserve">AUT7 CAP10 ROB10 : Formation</t>
  </si>
  <si>
    <t xml:space="preserve">Item 1: Formation continue</t>
  </si>
  <si>
    <t xml:space="preserve">nombre de jour /an</t>
  </si>
  <si>
    <t xml:space="preserve">Item 2: Accueil stagiaire rémunéré</t>
  </si>
  <si>
    <t xml:space="preserve">Item 3: Accueil groupe professionnel                     </t>
  </si>
  <si>
    <t xml:space="preserve">nombre de groupe</t>
  </si>
  <si>
    <t xml:space="preserve">Ethique et développement humain</t>
  </si>
  <si>
    <t xml:space="preserve">ANC9 RES18 : Implication sociale territoriale et solidarités </t>
  </si>
  <si>
    <t xml:space="preserve">Item 1 : Implication dans des structures professionnelles</t>
  </si>
  <si>
    <t xml:space="preserve">item 1/2</t>
  </si>
  <si>
    <t xml:space="preserve">Oui, en tant que simple adhérent</t>
  </si>
  <si>
    <t xml:space="preserve">Item 2 : Implication dans structures associatives ou électives</t>
  </si>
  <si>
    <t xml:space="preserve">Item  3: Travailler avec des structures de l'ESS</t>
  </si>
  <si>
    <t xml:space="preserve">item 4</t>
  </si>
  <si>
    <t xml:space="preserve">item 5</t>
  </si>
  <si>
    <t xml:space="preserve">Item 4 : Implication de citoyens</t>
  </si>
  <si>
    <t xml:space="preserve">Item 5: Accueil de public</t>
  </si>
  <si>
    <t xml:space="preserve">Habitation éloignée des lieux de production</t>
  </si>
  <si>
    <t xml:space="preserve">RES19 : Démarche de transparence</t>
  </si>
  <si>
    <t xml:space="preserve">Item 1 : Communication sur ses pratiques</t>
  </si>
  <si>
    <t xml:space="preserve">oui démarche certifiée</t>
  </si>
  <si>
    <t xml:space="preserve">Item 2 : Adhésion à un système participatif de garantie </t>
  </si>
  <si>
    <t xml:space="preserve">RES20 : Qualité de vie </t>
  </si>
  <si>
    <t xml:space="preserve">Qualité de vie</t>
  </si>
  <si>
    <t xml:space="preserve">ROB11 : Isolement</t>
  </si>
  <si>
    <t xml:space="preserve">Sentiment d'isolement</t>
  </si>
  <si>
    <t xml:space="preserve">Accès aux services publics</t>
  </si>
  <si>
    <t xml:space="preserve">Accès aux services productifs</t>
  </si>
  <si>
    <t xml:space="preserve">B23</t>
  </si>
  <si>
    <t xml:space="preserve">RES21 : Bien-être animal </t>
  </si>
  <si>
    <t xml:space="preserve">Item 1.1: Nombre pratiques respectées</t>
  </si>
  <si>
    <t xml:space="preserve">Présence d'un atelier d'élevage:</t>
  </si>
  <si>
    <t xml:space="preserve">Item 1 : Prise en compte de la faune sauvage</t>
  </si>
  <si>
    <t xml:space="preserve">Item 1.1: Socle de base</t>
  </si>
  <si>
    <t xml:space="preserve">nombre de pratiques respectées</t>
  </si>
  <si>
    <t xml:space="preserve">Item 1.2: Initiatives ou engagement personnel</t>
  </si>
  <si>
    <t xml:space="preserve">nombre de pratique mise en place</t>
  </si>
  <si>
    <t xml:space="preserve">Item 1.3 : Pratiques rédhibitoires</t>
  </si>
  <si>
    <t xml:space="preserve">Atelier de claustration</t>
  </si>
  <si>
    <t xml:space="preserve">Ecornage âge adulte</t>
  </si>
  <si>
    <t xml:space="preserve">Museliere veau lait</t>
  </si>
  <si>
    <t xml:space="preserve">Item 2 : Prise en compte de la faune sauvage</t>
  </si>
  <si>
    <t xml:space="preserve">Item 2.1 : Mise en place/entretien d'habitats pour la faune sauvage</t>
  </si>
  <si>
    <t xml:space="preserve">Item 2.2 : Cohabiter avec la faune sauvage et éviter les accidents</t>
  </si>
  <si>
    <t xml:space="preserve">Récolte nocturne </t>
  </si>
  <si>
    <t xml:space="preserve">INDICATEURS DE DURABILITE DE LA DIMENSION ECONOMIQUE</t>
  </si>
  <si>
    <t xml:space="preserve">Viabilité économique et financière</t>
  </si>
  <si>
    <t xml:space="preserve">CAP11 : Capacité Economique</t>
  </si>
  <si>
    <t xml:space="preserve">Note sur 20</t>
  </si>
  <si>
    <t xml:space="preserve">CE / SMIC net annuel</t>
  </si>
  <si>
    <t xml:space="preserve">Item 1 : Calcul économique</t>
  </si>
  <si>
    <t xml:space="preserve">(CE) / SMIC net annuel</t>
  </si>
  <si>
    <t xml:space="preserve">Item 2 : Appréciation de l'agriculteur</t>
  </si>
  <si>
    <t xml:space="preserve">CAP12 : Poids de la dette</t>
  </si>
  <si>
    <t xml:space="preserve">Note sur 12</t>
  </si>
  <si>
    <t xml:space="preserve">Pdd</t>
  </si>
  <si>
    <t xml:space="preserve">Poids de la dette</t>
  </si>
  <si>
    <t xml:space="preserve">% EBE</t>
  </si>
  <si>
    <t xml:space="preserve">AUT8 CAP13: Taux d'endettement structurel</t>
  </si>
  <si>
    <t xml:space="preserve">TES</t>
  </si>
  <si>
    <t xml:space="preserve">Taux d'endettement structurel (TES)</t>
  </si>
  <si>
    <t xml:space="preserve">Indépendance</t>
  </si>
  <si>
    <t xml:space="preserve">C4</t>
  </si>
  <si>
    <t xml:space="preserve">ROB12 : Diversification productive</t>
  </si>
  <si>
    <t xml:space="preserve">Note sur 10</t>
  </si>
  <si>
    <t xml:space="preserve">Poids atelier princ.</t>
  </si>
  <si>
    <t xml:space="preserve">Produits vendus</t>
  </si>
  <si>
    <t xml:space="preserve">Item 1 : Part de l'atelier productif le plus important dans le PR</t>
  </si>
  <si>
    <t xml:space="preserve">Item 2 : Diversification du nombre de produits bruts ou transformés commercialisés </t>
  </si>
  <si>
    <t xml:space="preserve">Nb de produits vendus représentant plus de 20 % du CA :</t>
  </si>
  <si>
    <t xml:space="preserve">nombre</t>
  </si>
  <si>
    <t xml:space="preserve">AUT9 ROB13 : Diversification et relations contractuelles</t>
  </si>
  <si>
    <t xml:space="preserve">% du CA client princ.</t>
  </si>
  <si>
    <t xml:space="preserve">Type contrat</t>
  </si>
  <si>
    <t xml:space="preserve">par atelier intégré</t>
  </si>
  <si>
    <t xml:space="preserve">Item 1 : Diversification des clients</t>
  </si>
  <si>
    <t xml:space="preserve">Part du CA du principal client:</t>
  </si>
  <si>
    <t xml:space="preserve">Item 2 : Qualité de la relation contractuelle
</t>
  </si>
  <si>
    <t xml:space="preserve">type contrat</t>
  </si>
  <si>
    <t xml:space="preserve">malus: atelier en intégration:</t>
  </si>
  <si>
    <t xml:space="preserve">0/N</t>
  </si>
  <si>
    <t xml:space="preserve">AUT10 : Sensibilité aux aides</t>
  </si>
  <si>
    <t xml:space="preserve">SA</t>
  </si>
  <si>
    <t xml:space="preserve">Sensibilité aux aides (SA)</t>
  </si>
  <si>
    <t xml:space="preserve">ROB14 : Contribution de revenus extérieurs à l'indépendance</t>
  </si>
  <si>
    <t xml:space="preserve">Revenus exté</t>
  </si>
  <si>
    <t xml:space="preserve">Revenu extérieur à l'exploitation</t>
  </si>
  <si>
    <t xml:space="preserve">Transmissibilité</t>
  </si>
  <si>
    <t xml:space="preserve">ROB15 : Transmissibilité économique</t>
  </si>
  <si>
    <t xml:space="preserve">Note sur 15</t>
  </si>
  <si>
    <t xml:space="preserve">Classe de K</t>
  </si>
  <si>
    <r>
      <rPr>
        <b val="true"/>
        <sz val="12"/>
        <color rgb="FF000000"/>
        <rFont val="Calibri"/>
        <family val="2"/>
        <charset val="1"/>
      </rPr>
      <t xml:space="preserve">EBE / UTH</t>
    </r>
    <r>
      <rPr>
        <b val="true"/>
        <i val="true"/>
        <sz val="12"/>
        <color rgb="FF000000"/>
        <rFont val="Calibri"/>
        <family val="2"/>
        <charset val="1"/>
      </rPr>
      <t xml:space="preserve">NS</t>
    </r>
  </si>
  <si>
    <t xml:space="preserve">Capital hors foncier / UTH NS</t>
  </si>
  <si>
    <t xml:space="preserve">Classe d'EBE</t>
  </si>
  <si>
    <r>
      <rPr>
        <b val="true"/>
        <sz val="12"/>
        <color rgb="FF000000"/>
        <rFont val="Calibri"/>
        <family val="2"/>
        <charset val="1"/>
      </rPr>
      <t xml:space="preserve">K / UTH</t>
    </r>
    <r>
      <rPr>
        <b val="true"/>
        <i val="true"/>
        <sz val="12"/>
        <color rgb="FF000000"/>
        <rFont val="Calibri"/>
        <family val="2"/>
        <charset val="1"/>
      </rPr>
      <t xml:space="preserve">NS</t>
    </r>
  </si>
  <si>
    <r>
      <rPr>
        <sz val="10"/>
        <rFont val="Arial"/>
        <family val="2"/>
        <charset val="1"/>
      </rPr>
      <t xml:space="preserve">EBE / UTH </t>
    </r>
    <r>
      <rPr>
        <sz val="10"/>
        <color rgb="FF000000"/>
        <rFont val="Arial"/>
        <family val="2"/>
        <charset val="1"/>
      </rPr>
      <t xml:space="preserve">NS </t>
    </r>
  </si>
  <si>
    <t xml:space="preserve">ROB16 : Pérennité probable</t>
  </si>
  <si>
    <t xml:space="preserve">Pérénnité probable de l'E.A</t>
  </si>
  <si>
    <t xml:space="preserve">Accès au foncier</t>
  </si>
  <si>
    <t xml:space="preserve">Projets dvlp</t>
  </si>
  <si>
    <t xml:space="preserve">Structure parcelalire</t>
  </si>
  <si>
    <t xml:space="preserve">Item 1 :Existence de l'exploitation dans 10 ans</t>
  </si>
  <si>
    <t xml:space="preserve">Disparition probable</t>
  </si>
  <si>
    <t xml:space="preserve">Item 2 : structure, foncier, projet :</t>
  </si>
  <si>
    <t xml:space="preserve">Accès au foncier sécurisé</t>
  </si>
  <si>
    <t xml:space="preserve">Projets de developpement</t>
  </si>
  <si>
    <t xml:space="preserve">Structure parcellaire</t>
  </si>
  <si>
    <t xml:space="preserve">EB</t>
  </si>
  <si>
    <t xml:space="preserve">Efficience globale</t>
  </si>
  <si>
    <t xml:space="preserve">CAP14 : Efficience brute du processus productif</t>
  </si>
  <si>
    <t xml:space="preserve">Efficience Brute (EB)</t>
  </si>
  <si>
    <t xml:space="preserve">EB :</t>
  </si>
  <si>
    <t xml:space="preserve"> RES22: Sobriété en intrants dans le processus productif</t>
  </si>
  <si>
    <t xml:space="preserve">SI en €/ha SAU</t>
  </si>
  <si>
    <t xml:space="preserve">Dépenses en intrants (DI)</t>
  </si>
  <si>
    <t xml:space="preserve"> €/ ha SAU</t>
  </si>
  <si>
    <t xml:space="preserve">EVALUATION DE LA DURABILITE</t>
  </si>
  <si>
    <t xml:space="preserve">TABLEAUX DES RESULTATS PAR DIMENSION</t>
  </si>
  <si>
    <t xml:space="preserve">Dimension</t>
  </si>
  <si>
    <t xml:space="preserve">Composante</t>
  </si>
  <si>
    <t xml:space="preserve">Indicateur</t>
  </si>
  <si>
    <t xml:space="preserve">nom</t>
  </si>
  <si>
    <t xml:space="preserve">code</t>
  </si>
  <si>
    <t xml:space="preserve">score obtenu / score max</t>
  </si>
  <si>
    <t xml:space="preserve">Dimension agroécologique 
de la durabilité </t>
  </si>
  <si>
    <t xml:space="preserve">Diversité des espèces cultivées</t>
  </si>
  <si>
    <t xml:space="preserve">/</t>
  </si>
  <si>
    <t xml:space="preserve">Diversité génétique</t>
  </si>
  <si>
    <t xml:space="preserve">A2 </t>
  </si>
  <si>
    <t xml:space="preserve">Diversité temporelle des cultures</t>
  </si>
  <si>
    <t xml:space="preserve">A3 </t>
  </si>
  <si>
    <t xml:space="preserve">Qualité de l'organisation spatiale</t>
  </si>
  <si>
    <t xml:space="preserve">A4 </t>
  </si>
  <si>
    <t xml:space="preserve">Gestion des insectes pollinisateurs et des auxiliaires des cultures </t>
  </si>
  <si>
    <t xml:space="preserve">A5 </t>
  </si>
  <si>
    <t xml:space="preserve">Bouclage de flux 
de matières et d'énergie 
par une recherche d'autonomie</t>
  </si>
  <si>
    <t xml:space="preserve">Autonomie en énergie, matériaux, matériels, semences et plants</t>
  </si>
  <si>
    <t xml:space="preserve">A6 </t>
  </si>
  <si>
    <t xml:space="preserve">Autonomie alimentaire de l’élevage</t>
  </si>
  <si>
    <t xml:space="preserve">A7 </t>
  </si>
  <si>
    <t xml:space="preserve">Autonomie en azote</t>
  </si>
  <si>
    <t xml:space="preserve">A8 </t>
  </si>
  <si>
    <t xml:space="preserve">Sobriété dans l'usage de l'eau et partage de la ressource</t>
  </si>
  <si>
    <t xml:space="preserve">A9 </t>
  </si>
  <si>
    <t xml:space="preserve">Sobriété dans l'utilisation du phosphore</t>
  </si>
  <si>
    <t xml:space="preserve">A10 </t>
  </si>
  <si>
    <t xml:space="preserve">Sobriété dans la consommation en énergie</t>
  </si>
  <si>
    <t xml:space="preserve">A11 </t>
  </si>
  <si>
    <t xml:space="preserve">Raisonner l'utilisation de l'eau</t>
  </si>
  <si>
    <t xml:space="preserve">A12 </t>
  </si>
  <si>
    <t xml:space="preserve">Favoriser la fertilité du sol</t>
  </si>
  <si>
    <t xml:space="preserve">Maintenir l'efficacité de la protection sanitaire 
des cultures et des animaux</t>
  </si>
  <si>
    <t xml:space="preserve">Sécuriser la disponibilité des moyens matériels de production</t>
  </si>
  <si>
    <t xml:space="preserve">Réduire l'impact des pratiques sur la qualité de l'eau</t>
  </si>
  <si>
    <t xml:space="preserve">Réduire l'impact des pratiques sur la qualité de l'air</t>
  </si>
  <si>
    <t xml:space="preserve">Réduire l'impact des pratiques sur le changement climatique</t>
  </si>
  <si>
    <t xml:space="preserve">Réduire l'usage des produits phytosanitaires 
et des traitements vétérinaires</t>
  </si>
  <si>
    <t xml:space="preserve">Dimension socio-territoriale 
de la durabilité  </t>
  </si>
  <si>
    <t xml:space="preserve">Production alimentaire de l'exploitation</t>
  </si>
  <si>
    <t xml:space="preserve">Contribution à l’équilibre alimentaire mondial</t>
  </si>
  <si>
    <t xml:space="preserve">Qualités de la production </t>
  </si>
  <si>
    <t xml:space="preserve">Pertes et gaspillage</t>
  </si>
  <si>
    <t xml:space="preserve">Développement local 
et économie circulaire</t>
  </si>
  <si>
    <t xml:space="preserve">Engagement dans des démarches 
environnementales contractualisées et territoriales</t>
  </si>
  <si>
    <t xml:space="preserve">B6 </t>
  </si>
  <si>
    <t xml:space="preserve">Services marchands au territoire</t>
  </si>
  <si>
    <t xml:space="preserve">Valorisation par filières courtes ou de proximité</t>
  </si>
  <si>
    <t xml:space="preserve">Valorisation des ressources locales</t>
  </si>
  <si>
    <t xml:space="preserve">Valorisation et qualité du patrimoine 
(bâti, paysage et savoir-faire) et ressources naturelles</t>
  </si>
  <si>
    <t xml:space="preserve">Accessibilité de l’espace</t>
  </si>
  <si>
    <t xml:space="preserve">Gestion des déchets non organiques </t>
  </si>
  <si>
    <t xml:space="preserve">Réseaux d'innovation et mutualisation du matériel</t>
  </si>
  <si>
    <t xml:space="preserve">B13 </t>
  </si>
  <si>
    <t xml:space="preserve">Contribution à l'emploi et gestion du salariat</t>
  </si>
  <si>
    <t xml:space="preserve">Mutualisation du travail</t>
  </si>
  <si>
    <t xml:space="preserve">Intensité et qualité au travail</t>
  </si>
  <si>
    <t xml:space="preserve">Accueil, hygiène et sécurité</t>
  </si>
  <si>
    <t xml:space="preserve">Formation</t>
  </si>
  <si>
    <t xml:space="preserve">Implication sociale territoriale et solidarités</t>
  </si>
  <si>
    <t xml:space="preserve">Démarche de transparence </t>
  </si>
  <si>
    <t xml:space="preserve">Qualité de la vie</t>
  </si>
  <si>
    <t xml:space="preserve">Isolement</t>
  </si>
  <si>
    <t xml:space="preserve">Bien-être animal</t>
  </si>
  <si>
    <t xml:space="preserve">Dimension économique 
de la durabilité</t>
  </si>
  <si>
    <t xml:space="preserve">Capacité économique</t>
  </si>
  <si>
    <t xml:space="preserve">Taux d'endettement structurel</t>
  </si>
  <si>
    <t xml:space="preserve">Diversification productive</t>
  </si>
  <si>
    <t xml:space="preserve">Diversification et relations contractuelles</t>
  </si>
  <si>
    <t xml:space="preserve">Sensibilité aux aides</t>
  </si>
  <si>
    <t xml:space="preserve">Contribution de revenus extérieurs à l'indépendance</t>
  </si>
  <si>
    <t xml:space="preserve">Transmissibilité économique</t>
  </si>
  <si>
    <t xml:space="preserve">Pérennité probable</t>
  </si>
  <si>
    <t xml:space="preserve">Efficience brute du processus productif</t>
  </si>
  <si>
    <t xml:space="preserve">Sobriété en intrants dans le processus productif</t>
  </si>
  <si>
    <t xml:space="preserve">Durabilité globale</t>
  </si>
  <si>
    <t xml:space="preserve">RESULTATS DES DIMENSIONS</t>
  </si>
  <si>
    <t xml:space="preserve">Les données en bleu permettent la construction des figures.</t>
  </si>
  <si>
    <t xml:space="preserve">Durabilité agroécologique</t>
  </si>
  <si>
    <t xml:space="preserve">/100</t>
  </si>
  <si>
    <t xml:space="preserve">Durabilité socioterritoriale</t>
  </si>
  <si>
    <t xml:space="preserve">Durabilité économique</t>
  </si>
  <si>
    <t xml:space="preserve">RESULTATS DES COMPOSANTES</t>
  </si>
  <si>
    <t xml:space="preserve">Composantes</t>
  </si>
  <si>
    <t xml:space="preserve">Note obtenue
 sur 100</t>
  </si>
  <si>
    <t xml:space="preserve">Réduire les impacts sur la santé et les écosytèmes</t>
  </si>
  <si>
    <t xml:space="preserve">RESULTATS DES INDICATEURS</t>
  </si>
  <si>
    <t xml:space="preserve">Note obtenue / Note max</t>
  </si>
  <si>
    <t xml:space="preserve">Différence au maximum</t>
  </si>
  <si>
    <t xml:space="preserve">"</t>
  </si>
  <si>
    <t xml:space="preserve">La colonne B peut être copiée/collée dans le calculateur propriété</t>
  </si>
  <si>
    <t xml:space="preserve">Métadonnées</t>
  </si>
  <si>
    <t xml:space="preserve">Code</t>
  </si>
  <si>
    <t xml:space="preserve">Nom</t>
  </si>
  <si>
    <t xml:space="preserve">Étendue</t>
  </si>
  <si>
    <t xml:space="preserve">Valeur</t>
  </si>
  <si>
    <t xml:space="preserve">A Exporter</t>
  </si>
  <si>
    <t xml:space="preserve">MTD_00</t>
  </si>
  <si>
    <t xml:space="preserve">Version du calculateur utilisée</t>
  </si>
  <si>
    <t xml:space="preserve">Alpha 10</t>
  </si>
  <si>
    <t xml:space="preserve">MTD_01</t>
  </si>
  <si>
    <t xml:space="preserve">Identifiant exploitation</t>
  </si>
  <si>
    <t xml:space="preserve">Num 6</t>
  </si>
  <si>
    <t xml:space="preserve">MTD_02</t>
  </si>
  <si>
    <t xml:space="preserve">SAU</t>
  </si>
  <si>
    <t xml:space="preserve">0 à 10 000 (2 dc)</t>
  </si>
  <si>
    <t xml:space="preserve">MTD_03</t>
  </si>
  <si>
    <t xml:space="preserve">UTH</t>
  </si>
  <si>
    <t xml:space="preserve">MTD_04</t>
  </si>
  <si>
    <t xml:space="preserve">UTH F</t>
  </si>
  <si>
    <t xml:space="preserve">0 à 100 (2 dc)</t>
  </si>
  <si>
    <t xml:space="preserve">MTD_05</t>
  </si>
  <si>
    <t xml:space="preserve">Tranche d’âge du chef d’exploitation</t>
  </si>
  <si>
    <t xml:space="preserve">« -25 »,« 25-35 »,« 35-45 », « 45-55 »,« 55-65 » et « 65+ »</t>
  </si>
  <si>
    <t xml:space="preserve">MTD_06</t>
  </si>
  <si>
    <t xml:space="preserve">Typologie d'exploitation (OTEX)</t>
  </si>
  <si>
    <t xml:space="preserve">Codes OTEX simplifiés</t>
  </si>
  <si>
    <t xml:space="preserve">MTD_07</t>
  </si>
  <si>
    <t xml:space="preserve">Surface en herbe en % de la SAU</t>
  </si>
  <si>
    <t xml:space="preserve">MTD_08</t>
  </si>
  <si>
    <t xml:space="preserve">Capital d’exploitation</t>
  </si>
  <si>
    <t xml:space="preserve"> 0 à 100 000 000</t>
  </si>
  <si>
    <t xml:space="preserve">MTD_09</t>
  </si>
  <si>
    <t xml:space="preserve">EBE</t>
  </si>
  <si>
    <t xml:space="preserve">– 1 000 000 à 10 000 000</t>
  </si>
  <si>
    <t xml:space="preserve">MTD_10</t>
  </si>
  <si>
    <t xml:space="preserve">MTD_11</t>
  </si>
  <si>
    <t xml:space="preserve">Zone géographique (département)</t>
  </si>
  <si>
    <t xml:space="preserve">liste des départements</t>
  </si>
  <si>
    <t xml:space="preserve">MTD_12</t>
  </si>
  <si>
    <t xml:space="preserve">Atelier hors sol : oui / non</t>
  </si>
  <si>
    <t xml:space="preserve">MTD_13</t>
  </si>
  <si>
    <t xml:space="preserve">Année d'enquête</t>
  </si>
  <si>
    <t xml:space="preserve">Num 4</t>
  </si>
  <si>
    <t xml:space="preserve">MTD_14</t>
  </si>
  <si>
    <t xml:space="preserve">Type d’élevage</t>
  </si>
  <si>
    <t xml:space="preserve">0 - pas d’élevage / 1 – monogastrique / 2 - herbivore</t>
  </si>
  <si>
    <t xml:space="preserve">MTD_15</t>
  </si>
  <si>
    <t xml:space="preserve">Part des PP dans la SAU</t>
  </si>
  <si>
    <t xml:space="preserve">MTD_16</t>
  </si>
  <si>
    <t xml:space="preserve">Usage des produits phytos : oui /non</t>
  </si>
  <si>
    <t xml:space="preserve">Items</t>
  </si>
  <si>
    <t xml:space="preserve">IDEA_A01_1</t>
  </si>
  <si>
    <t xml:space="preserve">5/0</t>
  </si>
  <si>
    <t xml:space="preserve">IDEA_A01_2</t>
  </si>
  <si>
    <t xml:space="preserve">Item 2 : Pourcentage des surfaces en STH sur l'exploitation</t>
  </si>
  <si>
    <t xml:space="preserve">4/0</t>
  </si>
  <si>
    <t xml:space="preserve">IDEA_A02_1</t>
  </si>
  <si>
    <t xml:space="preserve">1/0</t>
  </si>
  <si>
    <t xml:space="preserve">IDEA_A02_2</t>
  </si>
  <si>
    <t xml:space="preserve">Item 2 : Diversité génétique des productions végétales</t>
  </si>
  <si>
    <t xml:space="preserve">IDEA_A02_3</t>
  </si>
  <si>
    <t xml:space="preserve">Item 3 : Diversité génétiques des productions animales</t>
  </si>
  <si>
    <t xml:space="preserve">2/0</t>
  </si>
  <si>
    <t xml:space="preserve">IDEA_A03_1</t>
  </si>
  <si>
    <t xml:space="preserve">Item 1/2/3 : Diversité temporelle des cultures</t>
  </si>
  <si>
    <t xml:space="preserve">IDEA_A04_1</t>
  </si>
  <si>
    <t xml:space="preserve">Item 1 : Aménagement spatial</t>
  </si>
  <si>
    <t xml:space="preserve">3/0</t>
  </si>
  <si>
    <t xml:space="preserve">IDEA_A04_2</t>
  </si>
  <si>
    <t xml:space="preserve">Item 2 : Infrastructures AgroEcologique</t>
  </si>
  <si>
    <t xml:space="preserve">IDEA_A05_1</t>
  </si>
  <si>
    <t xml:space="preserve">Item 1 : Mode de gestion des zones non productives</t>
  </si>
  <si>
    <t xml:space="preserve">IDEA_A05_2</t>
  </si>
  <si>
    <t xml:space="preserve">Item 2 : Usage d'insecticide</t>
  </si>
  <si>
    <t xml:space="preserve">IDEA_A05_3</t>
  </si>
  <si>
    <t xml:space="preserve">Item 3 : Accueil de pollinisateurs sauvages</t>
  </si>
  <si>
    <t xml:space="preserve">IDEA_A06_1</t>
  </si>
  <si>
    <t xml:space="preserve">Item 1 : Autonomie en énergie</t>
  </si>
  <si>
    <t xml:space="preserve">IDEA_A06_2</t>
  </si>
  <si>
    <t xml:space="preserve">Item 2 : Autonomie en matériaux et matériels agricoles</t>
  </si>
  <si>
    <t xml:space="preserve">IDEA_A06_3</t>
  </si>
  <si>
    <t xml:space="preserve">IDEA_A07_1</t>
  </si>
  <si>
    <t xml:space="preserve">8/0</t>
  </si>
  <si>
    <t xml:space="preserve">IDEA_A07_2</t>
  </si>
  <si>
    <t xml:space="preserve">Item 2 : Autonomie en aliments concentrés</t>
  </si>
  <si>
    <t xml:space="preserve">IDEA_A08_1</t>
  </si>
  <si>
    <t xml:space="preserve">6/0</t>
  </si>
  <si>
    <t xml:space="preserve">IDEA_A08_2</t>
  </si>
  <si>
    <t xml:space="preserve">Item 2 : Place des légumineuses dans l'assolement</t>
  </si>
  <si>
    <t xml:space="preserve">IDEA_A09_1</t>
  </si>
  <si>
    <t xml:space="preserve">Item 1 : Pression de prélèvement et vulnérabilité de la ressource</t>
  </si>
  <si>
    <t xml:space="preserve">IDEA_A10_1</t>
  </si>
  <si>
    <t xml:space="preserve">Item 1 : Consommation en phosphore</t>
  </si>
  <si>
    <t xml:space="preserve">IDEA_A11_1</t>
  </si>
  <si>
    <t xml:space="preserve">Item 1 : Consommation en énergie directe et indirecte</t>
  </si>
  <si>
    <t xml:space="preserve">IDEA_A12_1</t>
  </si>
  <si>
    <t xml:space="preserve">Item 1 : Réduire les besoins en eau</t>
  </si>
  <si>
    <t xml:space="preserve">IDEA_A12_2</t>
  </si>
  <si>
    <t xml:space="preserve">IDEA_A12_3</t>
  </si>
  <si>
    <t xml:space="preserve">IDEA_A13_1</t>
  </si>
  <si>
    <t xml:space="preserve">4/-1</t>
  </si>
  <si>
    <t xml:space="preserve">IDEA_A13_2</t>
  </si>
  <si>
    <t xml:space="preserve">IDEA_A13_3</t>
  </si>
  <si>
    <t xml:space="preserve">IDEA_A14_1</t>
  </si>
  <si>
    <t xml:space="preserve">Item 1 : Stratégies d’alternance des produits phyto</t>
  </si>
  <si>
    <t xml:space="preserve">IDEA_A14_2</t>
  </si>
  <si>
    <t xml:space="preserve">Item 2 : Stratégie d'usage des produits véto</t>
  </si>
  <si>
    <t xml:space="preserve">IDEA_A15_1</t>
  </si>
  <si>
    <t xml:space="preserve">Item 1 : Approvisionnement: qualité, quantité, délais</t>
  </si>
  <si>
    <t xml:space="preserve">2/-1</t>
  </si>
  <si>
    <t xml:space="preserve">IDEA_A15_2</t>
  </si>
  <si>
    <t xml:space="preserve">Item 2 : Accès et disponibilité des moyens de collecte</t>
  </si>
  <si>
    <t xml:space="preserve">IDEA_A15_3</t>
  </si>
  <si>
    <t xml:space="preserve">Item 3 : Présence d'un stock fourrager de sécurité</t>
  </si>
  <si>
    <t xml:space="preserve">0/-2</t>
  </si>
  <si>
    <t xml:space="preserve">IDEA_A16_1</t>
  </si>
  <si>
    <t xml:space="preserve">Item 1 : Pression en azote dans le milieu</t>
  </si>
  <si>
    <t xml:space="preserve">2/-2</t>
  </si>
  <si>
    <t xml:space="preserve">IDEA_A16_2</t>
  </si>
  <si>
    <t xml:space="preserve">Item 2 : Pression en herbicide dans le milieu</t>
  </si>
  <si>
    <t xml:space="preserve">IDEA_A16_3</t>
  </si>
  <si>
    <t xml:space="preserve">Item 3 : Actions pour limiter les risques de transferts vers les eaux</t>
  </si>
  <si>
    <t xml:space="preserve">IDEA_A17_1</t>
  </si>
  <si>
    <t xml:space="preserve">IDEA_A17_2</t>
  </si>
  <si>
    <t xml:space="preserve">IDEA_A18_1</t>
  </si>
  <si>
    <t xml:space="preserve">Item 1 : Emissions nette de gaz à effet de serre</t>
  </si>
  <si>
    <t xml:space="preserve">IDEA_A19_1</t>
  </si>
  <si>
    <t xml:space="preserve">Item 1 : Sobriété dans l'utilisation des produits phytosanitaires</t>
  </si>
  <si>
    <t xml:space="preserve">6/-1</t>
  </si>
  <si>
    <t xml:space="preserve">IDEA_A19_2</t>
  </si>
  <si>
    <t xml:space="preserve">Item 2 : Sobriété dans l'utilisation des produits vétérinaires</t>
  </si>
  <si>
    <t xml:space="preserve">6/-2</t>
  </si>
  <si>
    <t xml:space="preserve">IDEA_B01_1</t>
  </si>
  <si>
    <t xml:space="preserve">Item 1 : Part de la SAU consacrée à l'alimentation humaine</t>
  </si>
  <si>
    <t xml:space="preserve">IDEA_B01_2</t>
  </si>
  <si>
    <t xml:space="preserve">Item 2 : Production de légumes secs, de fruits ou de légumes</t>
  </si>
  <si>
    <t xml:space="preserve">IDEA_B01_3</t>
  </si>
  <si>
    <t xml:space="preserve">Item 3 : Exploitation en production animale hors sol</t>
  </si>
  <si>
    <t xml:space="preserve">IDEA_B02_1</t>
  </si>
  <si>
    <t xml:space="preserve">Item 1 : Taux d'importation (Exploitation avec élevage)</t>
  </si>
  <si>
    <t xml:space="preserve">IDEA_B02_2</t>
  </si>
  <si>
    <t xml:space="preserve">Item 2 : Production de plantes riches en protéines (Exploitation sans élevage)</t>
  </si>
  <si>
    <t xml:space="preserve">IDEA_B03_1</t>
  </si>
  <si>
    <t xml:space="preserve">Item 1 : Qualité alimentaire d'origine et/ou de process</t>
  </si>
  <si>
    <t xml:space="preserve">IDEA_B03_2</t>
  </si>
  <si>
    <t xml:space="preserve">IDEA_B03_3</t>
  </si>
  <si>
    <t xml:space="preserve">IDEA_B04_1</t>
  </si>
  <si>
    <t xml:space="preserve">Item 1 : Actions pour diminuer les pertes et gaspillages</t>
  </si>
  <si>
    <t xml:space="preserve">IDEA_B05_1</t>
  </si>
  <si>
    <t xml:space="preserve">Item 1 : Démarches favorisant le lien entre consommateur et le producteur</t>
  </si>
  <si>
    <t xml:space="preserve">IDEA_B05_2</t>
  </si>
  <si>
    <t xml:space="preserve">Item 2 : Démarches favorisant l’apprentissage ou la culture autour de l’aliment</t>
  </si>
  <si>
    <t xml:space="preserve">IDEA_B05_3</t>
  </si>
  <si>
    <t xml:space="preserve">Item 3 : Production significative de variétés d'aliments à forte valeur patrimoniale territoriale ou peu représentées en commercialisation courante</t>
  </si>
  <si>
    <t xml:space="preserve">IDEA_B06_1</t>
  </si>
  <si>
    <t xml:space="preserve">Item 1 : Adhésion à des chartes environnementales ou contractualisation de programmes locaux environnementaux</t>
  </si>
  <si>
    <t xml:space="preserve">IDEA_B06_2</t>
  </si>
  <si>
    <t xml:space="preserve">Item 2 : Contractualisation pour la prévention des risques naturels pour la collectivité</t>
  </si>
  <si>
    <t xml:space="preserve">IDEA_B07_1</t>
  </si>
  <si>
    <t xml:space="preserve">Item 1 : Services marchands rendus au territoire</t>
  </si>
  <si>
    <t xml:space="preserve">IDEA_B07_2</t>
  </si>
  <si>
    <t xml:space="preserve">Item 2 : Agrotourisme</t>
  </si>
  <si>
    <t xml:space="preserve">IDEA_B07_3</t>
  </si>
  <si>
    <t xml:space="preserve">Item 3 : Ferme pédagogique</t>
  </si>
  <si>
    <t xml:space="preserve">IDEA_B08_1</t>
  </si>
  <si>
    <t xml:space="preserve">Item 1 : Valorisation par vente directe ou circuit court</t>
  </si>
  <si>
    <t xml:space="preserve">IDEA_B08_2</t>
  </si>
  <si>
    <t xml:space="preserve">IDEA_B08_3</t>
  </si>
  <si>
    <t xml:space="preserve">Item 3 : Démarche de contractualisation avec des cantines locales ou restauration locale</t>
  </si>
  <si>
    <t xml:space="preserve">IDEA_B09_1</t>
  </si>
  <si>
    <t xml:space="preserve">Item 1 : Approvisionnements locaux au sein de la communauté agricole</t>
  </si>
  <si>
    <t xml:space="preserve">IDEA_B09_2</t>
  </si>
  <si>
    <t xml:space="preserve">Item 2 : Approvisionnement auprès des entreprises du territoire</t>
  </si>
  <si>
    <t xml:space="preserve">IDEA_B09_3</t>
  </si>
  <si>
    <t xml:space="preserve">Item 3 : Valorisation de sous-produits issus de la communauté locale</t>
  </si>
  <si>
    <t xml:space="preserve">IDEA_B10_1</t>
  </si>
  <si>
    <t xml:space="preserve">IDEA_B10_2</t>
  </si>
  <si>
    <t xml:space="preserve">IDEA_B10_3</t>
  </si>
  <si>
    <t xml:space="preserve">Item 3 : Contribution au maintien de savoirs locaux reconnus</t>
  </si>
  <si>
    <t xml:space="preserve">IDEA_B10_4</t>
  </si>
  <si>
    <t xml:space="preserve">Item 4 : Maintenir/développer le patrimoine génétique local</t>
  </si>
  <si>
    <t xml:space="preserve">IDEA_B11_1</t>
  </si>
  <si>
    <t xml:space="preserve">IDEA_B11_2</t>
  </si>
  <si>
    <t xml:space="preserve">Item 2 : En zone urbaine/périurbaine</t>
  </si>
  <si>
    <t xml:space="preserve">IDEA_B11_3</t>
  </si>
  <si>
    <t xml:space="preserve">Item 3 : Entretien des chemins de randonnée ou de voirie d'accès</t>
  </si>
  <si>
    <t xml:space="preserve">IDEA_B12_1</t>
  </si>
  <si>
    <t xml:space="preserve">Item 1 : Gestion des déchets non organiques</t>
  </si>
  <si>
    <t xml:space="preserve">IDEA_B12_2</t>
  </si>
  <si>
    <t xml:space="preserve">Item 2 : Pratiques à risques</t>
  </si>
  <si>
    <t xml:space="preserve">0/-1</t>
  </si>
  <si>
    <t xml:space="preserve">IDEA_B13_1</t>
  </si>
  <si>
    <t xml:space="preserve">Item 1 : Participation à des réseaux de connaissances</t>
  </si>
  <si>
    <t xml:space="preserve">IDEA_B13_2</t>
  </si>
  <si>
    <t xml:space="preserve">Item 2 : Mutualisation des matériels/équipements/bâtiments</t>
  </si>
  <si>
    <t xml:space="preserve">IDEA_B14_1</t>
  </si>
  <si>
    <t xml:space="preserve">Item 1: Intensité du travail</t>
  </si>
  <si>
    <t xml:space="preserve">IDEA_B14_2</t>
  </si>
  <si>
    <t xml:space="preserve">IDEA_B14_3</t>
  </si>
  <si>
    <t xml:space="preserve">IDEA_B15_1</t>
  </si>
  <si>
    <t xml:space="preserve">IDEA_B15_2</t>
  </si>
  <si>
    <t xml:space="preserve">IDEA_B16_1</t>
  </si>
  <si>
    <t xml:space="preserve">Item 1 : Plaisir et satisfaction au travail</t>
  </si>
  <si>
    <t xml:space="preserve">IDEA_B16_2</t>
  </si>
  <si>
    <t xml:space="preserve">Item 2 : Charge temporelle et mentale</t>
  </si>
  <si>
    <t xml:space="preserve">IDEA_B16_3</t>
  </si>
  <si>
    <t xml:space="preserve">3/-3</t>
  </si>
  <si>
    <t xml:space="preserve">IDEA_B16_4</t>
  </si>
  <si>
    <t xml:space="preserve">0/-4</t>
  </si>
  <si>
    <t xml:space="preserve">IDEA_B17_1</t>
  </si>
  <si>
    <t xml:space="preserve">Item 1 : Qualité d'accueil et d'hébergement de la main d'oeuvre temporaire</t>
  </si>
  <si>
    <t xml:space="preserve">IDEA_B17_2</t>
  </si>
  <si>
    <t xml:space="preserve">IDEA_B17_3</t>
  </si>
  <si>
    <t xml:space="preserve">IDEA_B18_1</t>
  </si>
  <si>
    <t xml:space="preserve">Item 1 : Formation continue</t>
  </si>
  <si>
    <t xml:space="preserve">IDEA_B18_2</t>
  </si>
  <si>
    <t xml:space="preserve">Item 2 : Accueil d'un stagiaire ou d'un apprenti</t>
  </si>
  <si>
    <t xml:space="preserve">IDEA_B18_3</t>
  </si>
  <si>
    <t xml:space="preserve">Item 3 : Accueil de groupes de professionnels ou d'étudiants</t>
  </si>
  <si>
    <t xml:space="preserve">IDEA_B19_1</t>
  </si>
  <si>
    <t xml:space="preserve">IDEA_B19_2</t>
  </si>
  <si>
    <t xml:space="preserve">Item 2 : Implication dans de structures associatives ou électives</t>
  </si>
  <si>
    <t xml:space="preserve">IDEA_B19_3</t>
  </si>
  <si>
    <t xml:space="preserve">Item 3 : Travailler avec des structures de l'ESS</t>
  </si>
  <si>
    <t xml:space="preserve">IDEA_B19_4</t>
  </si>
  <si>
    <t xml:space="preserve">Item 4 : Implication de citoyens dans les travaux ou la vie de l'exploitation</t>
  </si>
  <si>
    <t xml:space="preserve">IDEA_B19_5</t>
  </si>
  <si>
    <t xml:space="preserve">Item 5 : Accueil bénévole de public</t>
  </si>
  <si>
    <t xml:space="preserve">IDEA_B19_6</t>
  </si>
  <si>
    <t xml:space="preserve">Item 6 : Habitation éloigné des lieux de production (malus)</t>
  </si>
  <si>
    <t xml:space="preserve">IDEA_B20_1</t>
  </si>
  <si>
    <t xml:space="preserve">IDEA_B20_2</t>
  </si>
  <si>
    <t xml:space="preserve">Item 2 : Adhésion à un système participatif de garantie</t>
  </si>
  <si>
    <t xml:space="preserve">IDEA_B21_1</t>
  </si>
  <si>
    <t xml:space="preserve">Item 1 : Qualité de vie</t>
  </si>
  <si>
    <t xml:space="preserve">IDEA_B22_1</t>
  </si>
  <si>
    <t xml:space="preserve">Item 1 : Accès aux services publics et lien social</t>
  </si>
  <si>
    <t xml:space="preserve">IDEA_B22_2</t>
  </si>
  <si>
    <t xml:space="preserve">Item 2 : Accès aux services productifs</t>
  </si>
  <si>
    <t xml:space="preserve">IDEA_B23_1</t>
  </si>
  <si>
    <t xml:space="preserve">Item 1 : Bien-être des animaux d'élevage</t>
  </si>
  <si>
    <t xml:space="preserve">IDEA_B23_2</t>
  </si>
  <si>
    <t xml:space="preserve">IDEA_C01_1</t>
  </si>
  <si>
    <t xml:space="preserve">20/0</t>
  </si>
  <si>
    <t xml:space="preserve">IDEA_C01_2</t>
  </si>
  <si>
    <t xml:space="preserve">IDEA_C02_1</t>
  </si>
  <si>
    <t xml:space="preserve">Item 1 : Poids de la dette</t>
  </si>
  <si>
    <t xml:space="preserve">12/0</t>
  </si>
  <si>
    <t xml:space="preserve">IDEA_C03_1</t>
  </si>
  <si>
    <t xml:space="preserve">Item 1 : Taux d'endettement structurel</t>
  </si>
  <si>
    <t xml:space="preserve">IDEA_C04_1</t>
  </si>
  <si>
    <t xml:space="preserve">Item 1 : Part de l'atelier productif le plus important dans la production</t>
  </si>
  <si>
    <t xml:space="preserve">IDEA_C04_2</t>
  </si>
  <si>
    <t xml:space="preserve">Item 2 : Diversification du nombre de produits bruts ou transformés commercialisés</t>
  </si>
  <si>
    <t xml:space="preserve">IDEA_C05_1</t>
  </si>
  <si>
    <t xml:space="preserve">Item 1 : Diversité des clients</t>
  </si>
  <si>
    <t xml:space="preserve">IDEA_C05_2</t>
  </si>
  <si>
    <t xml:space="preserve">Item 2 : Qualité de la relation contractuelle</t>
  </si>
  <si>
    <t xml:space="preserve">IDEA_C05_3</t>
  </si>
  <si>
    <t xml:space="preserve">Item 3 : Atelier principal en intégration</t>
  </si>
  <si>
    <t xml:space="preserve">IDEA_C06_1</t>
  </si>
  <si>
    <t xml:space="preserve">Item 1 : Sensibilité aux aides</t>
  </si>
  <si>
    <t xml:space="preserve">IDEA_C07_1</t>
  </si>
  <si>
    <t xml:space="preserve">Item 1 : Contribution de revenus extérieurs à l'indépendance</t>
  </si>
  <si>
    <t xml:space="preserve">IDEA_C08_1</t>
  </si>
  <si>
    <t xml:space="preserve">Item 1 : Transmissibilité économique</t>
  </si>
  <si>
    <t xml:space="preserve">15/0</t>
  </si>
  <si>
    <t xml:space="preserve">IDEA_C09_1</t>
  </si>
  <si>
    <t xml:space="preserve">Item 1 : Existence de l'exploitation dans 10 ans</t>
  </si>
  <si>
    <t xml:space="preserve">IDEA_C09_2</t>
  </si>
  <si>
    <t xml:space="preserve">Item 2 : Foncier, structure et projets</t>
  </si>
  <si>
    <t xml:space="preserve">IDEA_C10_1</t>
  </si>
  <si>
    <t xml:space="preserve">Item 1 : Efficience brute du processus productif</t>
  </si>
  <si>
    <t xml:space="preserve">IDEA_C11_1</t>
  </si>
  <si>
    <t xml:space="preserve">Item 1 : Sobriété en intrants dans le processus productif</t>
  </si>
</sst>
</file>

<file path=xl/styles.xml><?xml version="1.0" encoding="utf-8"?>
<styleSheet xmlns="http://schemas.openxmlformats.org/spreadsheetml/2006/main">
  <numFmts count="20">
    <numFmt numFmtId="164" formatCode="General"/>
    <numFmt numFmtId="165" formatCode="DD/MM/YYYY"/>
    <numFmt numFmtId="166" formatCode="@"/>
    <numFmt numFmtId="167" formatCode="0.0"/>
    <numFmt numFmtId="168" formatCode="#,##0"/>
    <numFmt numFmtId="169" formatCode="0\ %"/>
    <numFmt numFmtId="170" formatCode="0.00"/>
    <numFmt numFmtId="171" formatCode="\ * #,##0.00,&quot;   &quot;;\-* #,##0.00,&quot;   &quot;;\ * \-#&quot;    &quot;;@\ "/>
    <numFmt numFmtId="172" formatCode="0"/>
    <numFmt numFmtId="173" formatCode="#,##0&quot; kg vif&quot;"/>
    <numFmt numFmtId="174" formatCode="General"/>
    <numFmt numFmtId="175" formatCode="#,##0.0"/>
    <numFmt numFmtId="176" formatCode="0&quot; qx&quot;"/>
    <numFmt numFmtId="177" formatCode="0&quot; MJ&quot;"/>
    <numFmt numFmtId="178" formatCode="#,##0.0&quot; ha&quot;"/>
    <numFmt numFmtId="179" formatCode="0.000"/>
    <numFmt numFmtId="180" formatCode="0.00E+00"/>
    <numFmt numFmtId="181" formatCode="0.00\ %"/>
    <numFmt numFmtId="182" formatCode="\ * #,##0.00,&quot;€ &quot;;\-* #,##0.00,&quot;€ &quot;;\ * \-#&quot; € &quot;;@\ "/>
    <numFmt numFmtId="183" formatCode="#,##0.00"/>
  </numFmts>
  <fonts count="202">
    <font>
      <sz val="10"/>
      <name val="Arial"/>
      <family val="2"/>
      <charset val="1"/>
    </font>
    <font>
      <sz val="10"/>
      <name val="Arial"/>
      <family val="0"/>
    </font>
    <font>
      <sz val="10"/>
      <name val="Arial"/>
      <family val="0"/>
    </font>
    <font>
      <sz val="10"/>
      <name val="Arial"/>
      <family val="0"/>
    </font>
    <font>
      <sz val="11"/>
      <color rgb="FF000000"/>
      <name val="Calibri"/>
      <family val="2"/>
      <charset val="1"/>
    </font>
    <font>
      <b val="true"/>
      <sz val="11"/>
      <name val="Arial"/>
      <family val="2"/>
      <charset val="1"/>
    </font>
    <font>
      <b val="true"/>
      <sz val="11"/>
      <color rgb="FF000000"/>
      <name val="Arial"/>
      <family val="2"/>
      <charset val="1"/>
    </font>
    <font>
      <b val="true"/>
      <sz val="12"/>
      <color rgb="FF000000"/>
      <name val="Arial"/>
      <family val="2"/>
      <charset val="1"/>
    </font>
    <font>
      <b val="true"/>
      <sz val="12"/>
      <name val="Arial"/>
      <family val="2"/>
      <charset val="1"/>
    </font>
    <font>
      <sz val="11"/>
      <name val="Cambria"/>
      <family val="1"/>
      <charset val="1"/>
    </font>
    <font>
      <b val="true"/>
      <sz val="12"/>
      <color rgb="FF000000"/>
      <name val="Times New Roman"/>
      <family val="1"/>
      <charset val="1"/>
    </font>
    <font>
      <sz val="12"/>
      <color rgb="FF000000"/>
      <name val="Times New Roman"/>
      <family val="1"/>
      <charset val="1"/>
    </font>
    <font>
      <b val="true"/>
      <sz val="11"/>
      <color rgb="FF000000"/>
      <name val="Calibri"/>
      <family val="0"/>
    </font>
    <font>
      <b val="true"/>
      <sz val="14"/>
      <color rgb="FF000000"/>
      <name val="Times New Roman"/>
      <family val="0"/>
    </font>
    <font>
      <sz val="14"/>
      <name val="Times New Roman"/>
      <family val="0"/>
    </font>
    <font>
      <sz val="11"/>
      <color rgb="FF000000"/>
      <name val="Times New Roman"/>
      <family val="0"/>
    </font>
    <font>
      <sz val="11"/>
      <name val="Times New Roman"/>
      <family val="0"/>
    </font>
    <font>
      <sz val="11"/>
      <color rgb="FF000000"/>
      <name val="Times New Roman"/>
      <family val="1"/>
      <charset val="1"/>
    </font>
    <font>
      <b val="true"/>
      <sz val="18"/>
      <color rgb="FFFFFFFF"/>
      <name val="Calibri"/>
      <family val="2"/>
      <charset val="1"/>
    </font>
    <font>
      <sz val="11"/>
      <color rgb="FFFFFFFF"/>
      <name val="Calibri"/>
      <family val="2"/>
      <charset val="1"/>
    </font>
    <font>
      <b val="true"/>
      <sz val="11"/>
      <color rgb="FF000000"/>
      <name val="Times New Roman"/>
      <family val="1"/>
      <charset val="1"/>
    </font>
    <font>
      <b val="true"/>
      <sz val="11"/>
      <name val="Times New Roman"/>
      <family val="1"/>
      <charset val="1"/>
    </font>
    <font>
      <sz val="11"/>
      <color rgb="FFFFFFFF"/>
      <name val="Times New Roman"/>
      <family val="1"/>
      <charset val="1"/>
    </font>
    <font>
      <b val="true"/>
      <sz val="10"/>
      <name val="Arial"/>
      <family val="2"/>
      <charset val="1"/>
    </font>
    <font>
      <sz val="10"/>
      <color rgb="FF000000"/>
      <name val="Arial"/>
      <family val="2"/>
      <charset val="1"/>
    </font>
    <font>
      <b val="true"/>
      <sz val="11"/>
      <color rgb="FFFF0000"/>
      <name val="Times New Roman"/>
      <family val="1"/>
      <charset val="1"/>
    </font>
    <font>
      <b val="true"/>
      <sz val="11"/>
      <color rgb="FFFF0000"/>
      <name val="Arial"/>
      <family val="2"/>
      <charset val="1"/>
    </font>
    <font>
      <sz val="11"/>
      <name val="Times New Roman"/>
      <family val="1"/>
      <charset val="1"/>
    </font>
    <font>
      <sz val="11"/>
      <color rgb="FFFF0000"/>
      <name val="Times New Roman"/>
      <family val="1"/>
      <charset val="1"/>
    </font>
    <font>
      <sz val="11"/>
      <color rgb="FFFF0000"/>
      <name val="Times New Roman"/>
      <family val="0"/>
    </font>
    <font>
      <b val="true"/>
      <sz val="16"/>
      <color rgb="FFFFFFFF"/>
      <name val="Calibri"/>
      <family val="2"/>
      <charset val="1"/>
    </font>
    <font>
      <b val="true"/>
      <i val="true"/>
      <sz val="11"/>
      <name val="Calibri"/>
      <family val="2"/>
      <charset val="1"/>
    </font>
    <font>
      <i val="true"/>
      <sz val="11"/>
      <name val="Calibri"/>
      <family val="2"/>
      <charset val="1"/>
    </font>
    <font>
      <b val="true"/>
      <sz val="11"/>
      <name val="Calibri"/>
      <family val="2"/>
      <charset val="1"/>
    </font>
    <font>
      <sz val="11"/>
      <name val="Calibri"/>
      <family val="2"/>
      <charset val="1"/>
    </font>
    <font>
      <b val="true"/>
      <sz val="11"/>
      <color rgb="FF000000"/>
      <name val="Calibri"/>
      <family val="2"/>
      <charset val="1"/>
    </font>
    <font>
      <b val="true"/>
      <u val="single"/>
      <sz val="11"/>
      <color rgb="FF000000"/>
      <name val="Calibri"/>
      <family val="2"/>
      <charset val="1"/>
    </font>
    <font>
      <i val="true"/>
      <sz val="11"/>
      <color rgb="FF000000"/>
      <name val="Calibri"/>
      <family val="2"/>
      <charset val="1"/>
    </font>
    <font>
      <sz val="10"/>
      <name val="Calibri"/>
      <family val="2"/>
      <charset val="1"/>
    </font>
    <font>
      <b val="true"/>
      <sz val="10"/>
      <name val="Calibri"/>
      <family val="2"/>
      <charset val="1"/>
    </font>
    <font>
      <i val="true"/>
      <sz val="10"/>
      <name val="Calibri"/>
      <family val="2"/>
      <charset val="1"/>
    </font>
    <font>
      <sz val="10"/>
      <color rgb="FFFF0000"/>
      <name val="Calibri"/>
      <family val="2"/>
      <charset val="1"/>
    </font>
    <font>
      <b val="true"/>
      <sz val="12"/>
      <name val="Calibri"/>
      <family val="2"/>
      <charset val="1"/>
    </font>
    <font>
      <sz val="12"/>
      <name val="Calibri"/>
      <family val="2"/>
      <charset val="1"/>
    </font>
    <font>
      <i val="true"/>
      <sz val="8"/>
      <name val="Calibri"/>
      <family val="2"/>
      <charset val="1"/>
    </font>
    <font>
      <b val="true"/>
      <sz val="14"/>
      <name val="Calibri"/>
      <family val="2"/>
      <charset val="1"/>
    </font>
    <font>
      <sz val="8"/>
      <color rgb="FF000000"/>
      <name val="Calibri"/>
      <family val="2"/>
      <charset val="1"/>
    </font>
    <font>
      <i val="true"/>
      <sz val="9"/>
      <color rgb="FF000000"/>
      <name val="Calibri"/>
      <family val="2"/>
      <charset val="1"/>
    </font>
    <font>
      <sz val="11"/>
      <color rgb="FF0066CC"/>
      <name val="Calibri"/>
      <family val="2"/>
      <charset val="1"/>
    </font>
    <font>
      <i val="true"/>
      <sz val="9"/>
      <name val="Calibri"/>
      <family val="2"/>
      <charset val="1"/>
    </font>
    <font>
      <i val="true"/>
      <sz val="8"/>
      <color rgb="FF000000"/>
      <name val="Calibri"/>
      <family val="2"/>
      <charset val="1"/>
    </font>
    <font>
      <b val="true"/>
      <sz val="8"/>
      <name val="Calibri"/>
      <family val="2"/>
      <charset val="1"/>
    </font>
    <font>
      <sz val="11"/>
      <name val="Arial"/>
      <family val="2"/>
      <charset val="1"/>
    </font>
    <font>
      <vertAlign val="superscript"/>
      <sz val="11"/>
      <name val="Calibri"/>
      <family val="2"/>
      <charset val="1"/>
    </font>
    <font>
      <sz val="11"/>
      <color rgb="FFFF0000"/>
      <name val="Calibri"/>
      <family val="2"/>
      <charset val="1"/>
    </font>
    <font>
      <b val="true"/>
      <sz val="9"/>
      <name val="Calibri"/>
      <family val="2"/>
      <charset val="1"/>
    </font>
    <font>
      <sz val="8"/>
      <name val="Calibri"/>
      <family val="2"/>
      <charset val="1"/>
    </font>
    <font>
      <sz val="14"/>
      <color rgb="FF000000"/>
      <name val="Times New Roman"/>
      <family val="1"/>
      <charset val="1"/>
    </font>
    <font>
      <sz val="10"/>
      <color rgb="FF333333"/>
      <name val="Calibri"/>
      <family val="2"/>
      <charset val="1"/>
    </font>
    <font>
      <sz val="10"/>
      <color rgb="FF0000FF"/>
      <name val="Calibri"/>
      <family val="2"/>
      <charset val="1"/>
    </font>
    <font>
      <sz val="10"/>
      <color rgb="FF000000"/>
      <name val="Calibri"/>
      <family val="2"/>
      <charset val="1"/>
    </font>
    <font>
      <i val="true"/>
      <sz val="10"/>
      <color rgb="FF000000"/>
      <name val="Calibri"/>
      <family val="2"/>
      <charset val="1"/>
    </font>
    <font>
      <b val="true"/>
      <sz val="10"/>
      <color rgb="FF000000"/>
      <name val="Calibri"/>
      <family val="2"/>
      <charset val="1"/>
    </font>
    <font>
      <b val="true"/>
      <sz val="8"/>
      <color rgb="FF000000"/>
      <name val="Calibri"/>
      <family val="2"/>
      <charset val="1"/>
    </font>
    <font>
      <sz val="11"/>
      <color rgb="FF333333"/>
      <name val="Calibri"/>
      <family val="2"/>
      <charset val="1"/>
    </font>
    <font>
      <b val="true"/>
      <sz val="11"/>
      <color rgb="FFFF8080"/>
      <name val="Calibri"/>
      <family val="2"/>
      <charset val="1"/>
    </font>
    <font>
      <b val="true"/>
      <i val="true"/>
      <sz val="11"/>
      <color rgb="FFFF8080"/>
      <name val="Calibri"/>
      <family val="2"/>
      <charset val="1"/>
    </font>
    <font>
      <b val="true"/>
      <i val="true"/>
      <sz val="11"/>
      <color rgb="FF000000"/>
      <name val="Calibri"/>
      <family val="2"/>
      <charset val="1"/>
    </font>
    <font>
      <sz val="8"/>
      <color rgb="FF000000"/>
      <name val="Times New Roman"/>
      <family val="1"/>
      <charset val="1"/>
    </font>
    <font>
      <sz val="10"/>
      <name val="Times New Roman"/>
      <family val="1"/>
      <charset val="1"/>
    </font>
    <font>
      <i val="true"/>
      <sz val="9"/>
      <name val="Arial"/>
      <family val="2"/>
      <charset val="1"/>
    </font>
    <font>
      <sz val="9"/>
      <name val="Calibri"/>
      <family val="2"/>
      <charset val="1"/>
    </font>
    <font>
      <b val="true"/>
      <u val="single"/>
      <sz val="12"/>
      <color rgb="FF333333"/>
      <name val="Times New Roman"/>
      <family val="1"/>
      <charset val="1"/>
    </font>
    <font>
      <i val="true"/>
      <sz val="11"/>
      <color rgb="FFFF6600"/>
      <name val="Calibri"/>
      <family val="2"/>
      <charset val="1"/>
    </font>
    <font>
      <b val="true"/>
      <sz val="11"/>
      <color rgb="FFFF0000"/>
      <name val="Calibri"/>
      <family val="2"/>
      <charset val="1"/>
    </font>
    <font>
      <sz val="9"/>
      <color rgb="FF000000"/>
      <name val="Tahoma"/>
      <family val="2"/>
      <charset val="1"/>
    </font>
    <font>
      <b val="true"/>
      <sz val="9"/>
      <color rgb="FF000000"/>
      <name val="Tahoma"/>
      <family val="2"/>
      <charset val="1"/>
    </font>
    <font>
      <b val="true"/>
      <i val="true"/>
      <sz val="14"/>
      <name val="Times New Roman"/>
      <family val="1"/>
      <charset val="1"/>
    </font>
    <font>
      <i val="true"/>
      <sz val="10"/>
      <name val="Times New Roman"/>
      <family val="1"/>
      <charset val="1"/>
    </font>
    <font>
      <b val="true"/>
      <sz val="10"/>
      <name val="Times New Roman"/>
      <family val="1"/>
      <charset val="1"/>
    </font>
    <font>
      <b val="true"/>
      <i val="true"/>
      <sz val="14"/>
      <color rgb="FFFF6600"/>
      <name val="Times New Roman"/>
      <family val="1"/>
      <charset val="1"/>
    </font>
    <font>
      <b val="true"/>
      <i val="true"/>
      <sz val="12"/>
      <color rgb="FFFF6600"/>
      <name val="Times New Roman"/>
      <family val="1"/>
      <charset val="1"/>
    </font>
    <font>
      <i val="true"/>
      <sz val="11"/>
      <name val="Times New Roman"/>
      <family val="1"/>
      <charset val="1"/>
    </font>
    <font>
      <b val="true"/>
      <sz val="10"/>
      <color rgb="FF000000"/>
      <name val="Times New Roman"/>
      <family val="1"/>
      <charset val="1"/>
    </font>
    <font>
      <sz val="11"/>
      <color rgb="FF969696"/>
      <name val="Times New Roman"/>
      <family val="1"/>
      <charset val="1"/>
    </font>
    <font>
      <b val="true"/>
      <i val="true"/>
      <sz val="11"/>
      <color rgb="FF000000"/>
      <name val="Times New Roman"/>
      <family val="1"/>
      <charset val="1"/>
    </font>
    <font>
      <i val="true"/>
      <sz val="11"/>
      <color rgb="FF000000"/>
      <name val="Times New Roman"/>
      <family val="1"/>
      <charset val="1"/>
    </font>
    <font>
      <b val="true"/>
      <i val="true"/>
      <sz val="10"/>
      <color rgb="FF000000"/>
      <name val="Times New Roman"/>
      <family val="1"/>
      <charset val="1"/>
    </font>
    <font>
      <b val="true"/>
      <i val="true"/>
      <sz val="12"/>
      <name val="Times New Roman"/>
      <family val="1"/>
      <charset val="1"/>
    </font>
    <font>
      <u val="single"/>
      <sz val="11"/>
      <color rgb="FF0066CC"/>
      <name val="Times New Roman"/>
      <family val="1"/>
      <charset val="1"/>
    </font>
    <font>
      <u val="single"/>
      <sz val="11"/>
      <color rgb="FF0066CC"/>
      <name val="Calibri"/>
      <family val="2"/>
      <charset val="1"/>
    </font>
    <font>
      <sz val="8"/>
      <name val="Times New Roman"/>
      <family val="1"/>
      <charset val="1"/>
    </font>
    <font>
      <b val="true"/>
      <sz val="8"/>
      <name val="Times New Roman"/>
      <family val="1"/>
      <charset val="1"/>
    </font>
    <font>
      <b val="true"/>
      <sz val="12"/>
      <name val="Times New Roman"/>
      <family val="1"/>
      <charset val="1"/>
    </font>
    <font>
      <sz val="10"/>
      <color rgb="FFFF0000"/>
      <name val="Times New Roman"/>
      <family val="1"/>
      <charset val="1"/>
    </font>
    <font>
      <b val="true"/>
      <u val="single"/>
      <sz val="11"/>
      <name val="Times New Roman"/>
      <family val="1"/>
      <charset val="1"/>
    </font>
    <font>
      <sz val="9"/>
      <color rgb="FF000000"/>
      <name val="Times New Roman"/>
      <family val="1"/>
      <charset val="1"/>
    </font>
    <font>
      <b val="true"/>
      <sz val="12"/>
      <color rgb="FFFFFFFF"/>
      <name val="Times New Roman"/>
      <family val="1"/>
      <charset val="1"/>
    </font>
    <font>
      <sz val="10"/>
      <color rgb="FF0000FF"/>
      <name val="Arial"/>
      <family val="2"/>
      <charset val="1"/>
    </font>
    <font>
      <b val="true"/>
      <i val="true"/>
      <sz val="8"/>
      <name val="Times New Roman"/>
      <family val="1"/>
      <charset val="1"/>
    </font>
    <font>
      <b val="true"/>
      <sz val="11"/>
      <color rgb="FFFFFFFF"/>
      <name val="Times New Roman"/>
      <family val="1"/>
      <charset val="1"/>
    </font>
    <font>
      <i val="true"/>
      <sz val="10"/>
      <color rgb="FF000000"/>
      <name val="Times New Roman"/>
      <family val="1"/>
      <charset val="1"/>
    </font>
    <font>
      <sz val="13"/>
      <name val="Times New Roman"/>
      <family val="1"/>
      <charset val="1"/>
    </font>
    <font>
      <sz val="10"/>
      <color rgb="FF000000"/>
      <name val="Times New Roman"/>
      <family val="1"/>
      <charset val="1"/>
    </font>
    <font>
      <vertAlign val="superscript"/>
      <sz val="11"/>
      <name val="Times New Roman"/>
      <family val="1"/>
      <charset val="1"/>
    </font>
    <font>
      <b val="true"/>
      <sz val="9"/>
      <name val="Times New Roman"/>
      <family val="1"/>
      <charset val="1"/>
    </font>
    <font>
      <i val="true"/>
      <sz val="11"/>
      <color rgb="FFFF0000"/>
      <name val="Times New Roman"/>
      <family val="1"/>
      <charset val="1"/>
    </font>
    <font>
      <i val="true"/>
      <sz val="8"/>
      <color rgb="FF000000"/>
      <name val="Times New Roman"/>
      <family val="1"/>
      <charset val="1"/>
    </font>
    <font>
      <i val="true"/>
      <sz val="12"/>
      <color rgb="FFFF0000"/>
      <name val="Times New Roman"/>
      <family val="1"/>
      <charset val="1"/>
    </font>
    <font>
      <b val="true"/>
      <sz val="11"/>
      <name val="Cambria"/>
      <family val="1"/>
      <charset val="1"/>
    </font>
    <font>
      <b val="true"/>
      <i val="true"/>
      <sz val="11"/>
      <color rgb="FF800000"/>
      <name val="Times New Roman"/>
      <family val="1"/>
      <charset val="1"/>
    </font>
    <font>
      <b val="true"/>
      <u val="single"/>
      <sz val="11"/>
      <color rgb="FF800000"/>
      <name val="Times New Roman"/>
      <family val="1"/>
      <charset val="1"/>
    </font>
    <font>
      <b val="true"/>
      <i val="true"/>
      <sz val="10"/>
      <name val="Times New Roman"/>
      <family val="1"/>
      <charset val="1"/>
    </font>
    <font>
      <b val="true"/>
      <sz val="9"/>
      <color rgb="FFFF0000"/>
      <name val="Times New Roman"/>
      <family val="1"/>
      <charset val="1"/>
    </font>
    <font>
      <b val="true"/>
      <i val="true"/>
      <sz val="10"/>
      <color rgb="FFFF0000"/>
      <name val="Times New Roman"/>
      <family val="1"/>
      <charset val="1"/>
    </font>
    <font>
      <sz val="9"/>
      <name val="Times New Roman"/>
      <family val="1"/>
      <charset val="1"/>
    </font>
    <font>
      <i val="true"/>
      <sz val="9"/>
      <color rgb="FF000000"/>
      <name val="Times New Roman"/>
      <family val="1"/>
      <charset val="1"/>
    </font>
    <font>
      <b val="true"/>
      <i val="true"/>
      <sz val="11"/>
      <name val="Times New Roman"/>
      <family val="1"/>
      <charset val="1"/>
    </font>
    <font>
      <i val="true"/>
      <sz val="10"/>
      <name val="Arial"/>
      <family val="2"/>
      <charset val="1"/>
    </font>
    <font>
      <u val="single"/>
      <sz val="12"/>
      <color rgb="FF000000"/>
      <name val="Times New Roman"/>
      <family val="1"/>
      <charset val="1"/>
    </font>
    <font>
      <i val="true"/>
      <sz val="10"/>
      <color rgb="FF0066CC"/>
      <name val="Times New Roman"/>
      <family val="1"/>
      <charset val="1"/>
    </font>
    <font>
      <b val="true"/>
      <u val="single"/>
      <sz val="12"/>
      <color rgb="FF000000"/>
      <name val="Times New Roman"/>
      <family val="1"/>
      <charset val="1"/>
    </font>
    <font>
      <b val="true"/>
      <i val="true"/>
      <sz val="11"/>
      <color rgb="FFFF0000"/>
      <name val="Times New Roman"/>
      <family val="1"/>
      <charset val="1"/>
    </font>
    <font>
      <i val="true"/>
      <u val="single"/>
      <sz val="11"/>
      <color rgb="FF000000"/>
      <name val="Times New Roman"/>
      <family val="1"/>
      <charset val="1"/>
    </font>
    <font>
      <b val="true"/>
      <sz val="14"/>
      <color rgb="FF000000"/>
      <name val="Times New Roman"/>
      <family val="1"/>
      <charset val="1"/>
    </font>
    <font>
      <i val="true"/>
      <sz val="12"/>
      <color rgb="FF000000"/>
      <name val="Times New Roman"/>
      <family val="1"/>
      <charset val="1"/>
    </font>
    <font>
      <b val="true"/>
      <sz val="18"/>
      <color rgb="FFFF0000"/>
      <name val="Times New Roman"/>
      <family val="1"/>
      <charset val="1"/>
    </font>
    <font>
      <i val="true"/>
      <sz val="10"/>
      <color rgb="FFFF0000"/>
      <name val="Times New Roman"/>
      <family val="1"/>
      <charset val="1"/>
    </font>
    <font>
      <u val="single"/>
      <sz val="11"/>
      <color rgb="FF000000"/>
      <name val="Times New Roman"/>
      <family val="1"/>
      <charset val="1"/>
    </font>
    <font>
      <sz val="12"/>
      <color rgb="FF000000"/>
      <name val="Calibri"/>
      <family val="2"/>
      <charset val="1"/>
    </font>
    <font>
      <b val="true"/>
      <vertAlign val="subscript"/>
      <sz val="10"/>
      <name val="Times New Roman"/>
      <family val="1"/>
      <charset val="1"/>
    </font>
    <font>
      <b val="true"/>
      <i val="true"/>
      <sz val="10"/>
      <color rgb="FFFF0000"/>
      <name val="Calibri"/>
      <family val="2"/>
      <charset val="1"/>
    </font>
    <font>
      <sz val="11"/>
      <color rgb="FF333333"/>
      <name val="Times New Roman"/>
      <family val="1"/>
      <charset val="1"/>
    </font>
    <font>
      <i val="true"/>
      <sz val="8"/>
      <color rgb="FF0066CC"/>
      <name val="Times New Roman"/>
      <family val="1"/>
      <charset val="1"/>
    </font>
    <font>
      <sz val="11"/>
      <color rgb="FF0000FF"/>
      <name val="Times New Roman"/>
      <family val="1"/>
      <charset val="1"/>
    </font>
    <font>
      <i val="true"/>
      <sz val="11"/>
      <color rgb="FFFF6600"/>
      <name val="Times New Roman"/>
      <family val="1"/>
      <charset val="1"/>
    </font>
    <font>
      <b val="true"/>
      <i val="true"/>
      <sz val="11"/>
      <color rgb="FFFF6600"/>
      <name val="Times New Roman"/>
      <family val="1"/>
      <charset val="1"/>
    </font>
    <font>
      <i val="true"/>
      <sz val="14"/>
      <color rgb="FF000000"/>
      <name val="Times New Roman"/>
      <family val="1"/>
      <charset val="1"/>
    </font>
    <font>
      <sz val="11"/>
      <color rgb="FF0066CC"/>
      <name val="Times New Roman"/>
      <family val="1"/>
      <charset val="1"/>
    </font>
    <font>
      <sz val="10"/>
      <color rgb="FF0066CC"/>
      <name val="Times New Roman"/>
      <family val="1"/>
      <charset val="1"/>
    </font>
    <font>
      <i val="true"/>
      <sz val="11"/>
      <color rgb="FF0066CC"/>
      <name val="Times New Roman"/>
      <family val="1"/>
      <charset val="1"/>
    </font>
    <font>
      <b val="true"/>
      <sz val="10"/>
      <color rgb="FF333333"/>
      <name val="Times New Roman"/>
      <family val="1"/>
      <charset val="1"/>
    </font>
    <font>
      <b val="true"/>
      <sz val="11"/>
      <color rgb="FF333333"/>
      <name val="Times New Roman"/>
      <family val="1"/>
      <charset val="1"/>
    </font>
    <font>
      <b val="true"/>
      <sz val="10"/>
      <color rgb="FFFF0000"/>
      <name val="Times New Roman"/>
      <family val="1"/>
      <charset val="1"/>
    </font>
    <font>
      <b val="true"/>
      <sz val="11"/>
      <color rgb="FFFF8080"/>
      <name val="Times New Roman"/>
      <family val="1"/>
      <charset val="1"/>
    </font>
    <font>
      <b val="true"/>
      <i val="true"/>
      <sz val="11"/>
      <color rgb="FFFF8080"/>
      <name val="Times New Roman"/>
      <family val="1"/>
      <charset val="1"/>
    </font>
    <font>
      <sz val="9"/>
      <color rgb="FF0066CC"/>
      <name val="Times New Roman"/>
      <family val="1"/>
      <charset val="1"/>
    </font>
    <font>
      <u val="single"/>
      <sz val="11"/>
      <name val="Arial"/>
      <family val="2"/>
      <charset val="1"/>
    </font>
    <font>
      <sz val="11"/>
      <color rgb="FF000000"/>
      <name val="Symbol"/>
      <family val="1"/>
      <charset val="2"/>
    </font>
    <font>
      <b val="true"/>
      <sz val="12"/>
      <name val="Cambria"/>
      <family val="1"/>
      <charset val="1"/>
    </font>
    <font>
      <b val="true"/>
      <sz val="11"/>
      <color rgb="FFFF6600"/>
      <name val="Times New Roman"/>
      <family val="1"/>
      <charset val="1"/>
    </font>
    <font>
      <i val="true"/>
      <sz val="10"/>
      <color rgb="FFFF6600"/>
      <name val="Times New Roman"/>
      <family val="1"/>
      <charset val="1"/>
    </font>
    <font>
      <i val="true"/>
      <sz val="9"/>
      <color rgb="FF000000"/>
      <name val="Tahoma"/>
      <family val="2"/>
      <charset val="1"/>
    </font>
    <font>
      <b val="true"/>
      <sz val="14"/>
      <name val="Arial"/>
      <family val="2"/>
      <charset val="1"/>
    </font>
    <font>
      <b val="true"/>
      <sz val="16"/>
      <name val="Arial"/>
      <family val="2"/>
      <charset val="1"/>
    </font>
    <font>
      <i val="true"/>
      <sz val="10"/>
      <color rgb="FFFF0000"/>
      <name val="Arial"/>
      <family val="2"/>
      <charset val="1"/>
    </font>
    <font>
      <sz val="10"/>
      <color rgb="FFFF0000"/>
      <name val="Arial"/>
      <family val="2"/>
      <charset val="1"/>
    </font>
    <font>
      <sz val="9"/>
      <name val="Arial"/>
      <family val="2"/>
      <charset val="1"/>
    </font>
    <font>
      <b val="true"/>
      <sz val="10"/>
      <color rgb="FF0000FF"/>
      <name val="Arial"/>
      <family val="2"/>
      <charset val="1"/>
    </font>
    <font>
      <sz val="11"/>
      <color rgb="FF000000"/>
      <name val="Arial"/>
      <family val="2"/>
      <charset val="1"/>
    </font>
    <font>
      <b val="true"/>
      <sz val="10"/>
      <color rgb="FF000000"/>
      <name val="Arial"/>
      <family val="2"/>
      <charset val="1"/>
    </font>
    <font>
      <sz val="16"/>
      <name val="Arial"/>
      <family val="2"/>
      <charset val="1"/>
    </font>
    <font>
      <b val="true"/>
      <sz val="10"/>
      <color rgb="FFFF0000"/>
      <name val="Arial"/>
      <family val="2"/>
      <charset val="1"/>
    </font>
    <font>
      <sz val="12"/>
      <name val="Arial"/>
      <family val="2"/>
      <charset val="1"/>
    </font>
    <font>
      <sz val="24"/>
      <name val="Arial"/>
      <family val="2"/>
      <charset val="1"/>
    </font>
    <font>
      <b val="true"/>
      <sz val="11"/>
      <color rgb="FFFF0000"/>
      <name val="Calibri"/>
      <family val="0"/>
    </font>
    <font>
      <u val="single"/>
      <sz val="11"/>
      <color rgb="FF000000"/>
      <name val="Calibri"/>
      <family val="2"/>
      <charset val="1"/>
    </font>
    <font>
      <b val="true"/>
      <sz val="10"/>
      <color rgb="FF800000"/>
      <name val="Times New Roman"/>
      <family val="1"/>
      <charset val="1"/>
    </font>
    <font>
      <b val="true"/>
      <i val="true"/>
      <sz val="12"/>
      <name val="Arial"/>
      <family val="2"/>
      <charset val="1"/>
    </font>
    <font>
      <b val="true"/>
      <sz val="9"/>
      <color rgb="FF000000"/>
      <name val="Calibri"/>
      <family val="2"/>
      <charset val="1"/>
    </font>
    <font>
      <sz val="12"/>
      <name val="Times New Roman"/>
      <family val="1"/>
      <charset val="1"/>
    </font>
    <font>
      <b val="true"/>
      <i val="true"/>
      <sz val="11"/>
      <color rgb="FF000000"/>
      <name val="Arial"/>
      <family val="2"/>
      <charset val="1"/>
    </font>
    <font>
      <sz val="9"/>
      <color rgb="FF000000"/>
      <name val="Calibri"/>
      <family val="2"/>
      <charset val="1"/>
    </font>
    <font>
      <i val="true"/>
      <sz val="10"/>
      <color rgb="FF000000"/>
      <name val="Arial"/>
      <family val="2"/>
      <charset val="1"/>
    </font>
    <font>
      <vertAlign val="superscript"/>
      <sz val="7.5"/>
      <color rgb="FF000000"/>
      <name val="Arial"/>
      <family val="2"/>
      <charset val="1"/>
    </font>
    <font>
      <sz val="10"/>
      <name val="MS Sans Serif"/>
      <family val="2"/>
      <charset val="1"/>
    </font>
    <font>
      <b val="true"/>
      <sz val="12"/>
      <color rgb="FFFFFFFF"/>
      <name val="Calibri"/>
      <family val="2"/>
      <charset val="1"/>
    </font>
    <font>
      <sz val="12"/>
      <color rgb="FFFFFFFF"/>
      <name val="Calibri"/>
      <family val="2"/>
      <charset val="1"/>
    </font>
    <font>
      <b val="true"/>
      <sz val="12"/>
      <color rgb="FF000000"/>
      <name val="Calibri"/>
      <family val="2"/>
      <charset val="1"/>
    </font>
    <font>
      <sz val="11"/>
      <color rgb="FF333399"/>
      <name val="Calibri"/>
      <family val="2"/>
      <charset val="1"/>
    </font>
    <font>
      <vertAlign val="subscript"/>
      <sz val="10"/>
      <name val="Arial"/>
      <family val="2"/>
      <charset val="1"/>
    </font>
    <font>
      <sz val="8"/>
      <name val="Arial"/>
      <family val="2"/>
      <charset val="1"/>
    </font>
    <font>
      <vertAlign val="superscript"/>
      <sz val="10"/>
      <name val="Arial"/>
      <family val="2"/>
      <charset val="1"/>
    </font>
    <font>
      <b val="true"/>
      <vertAlign val="subscript"/>
      <sz val="10"/>
      <color rgb="FF000000"/>
      <name val="Times New Roman"/>
      <family val="1"/>
      <charset val="1"/>
    </font>
    <font>
      <b val="true"/>
      <sz val="16"/>
      <color rgb="FF000000"/>
      <name val="Arial"/>
      <family val="2"/>
      <charset val="1"/>
    </font>
    <font>
      <u val="single"/>
      <sz val="10"/>
      <name val="Arial"/>
      <family val="2"/>
      <charset val="1"/>
    </font>
    <font>
      <b val="true"/>
      <sz val="22"/>
      <color rgb="FF000000"/>
      <name val="Calibri"/>
      <family val="2"/>
      <charset val="1"/>
    </font>
    <font>
      <sz val="10"/>
      <color rgb="FF99CC00"/>
      <name val="Arial"/>
      <family val="2"/>
      <charset val="1"/>
    </font>
    <font>
      <b val="true"/>
      <i val="true"/>
      <sz val="12"/>
      <color rgb="FF000000"/>
      <name val="Calibri"/>
      <family val="2"/>
      <charset val="1"/>
    </font>
    <font>
      <b val="true"/>
      <sz val="26"/>
      <color rgb="FF000000"/>
      <name val="Calibri"/>
      <family val="2"/>
      <charset val="1"/>
    </font>
    <font>
      <sz val="12"/>
      <color rgb="FF3366FF"/>
      <name val="Times New Roman"/>
      <family val="1"/>
      <charset val="1"/>
    </font>
    <font>
      <b val="true"/>
      <sz val="14"/>
      <color rgb="FF000000"/>
      <name val="Arial"/>
      <family val="2"/>
      <charset val="1"/>
    </font>
    <font>
      <sz val="10"/>
      <color rgb="FF3366FF"/>
      <name val="Times New Roman"/>
      <family val="1"/>
      <charset val="1"/>
    </font>
    <font>
      <sz val="10"/>
      <color rgb="FF333333"/>
      <name val="Times New Roman"/>
      <family val="1"/>
      <charset val="1"/>
    </font>
    <font>
      <b val="true"/>
      <u val="single"/>
      <sz val="10"/>
      <color rgb="FF3366FF"/>
      <name val="Times New Roman"/>
      <family val="1"/>
      <charset val="1"/>
    </font>
    <font>
      <sz val="8"/>
      <color rgb="FF3366FF"/>
      <name val="Times New Roman"/>
      <family val="1"/>
      <charset val="1"/>
    </font>
    <font>
      <b val="true"/>
      <sz val="12"/>
      <color rgb="FF000000"/>
      <name val="Calibri"/>
      <family val="2"/>
    </font>
    <font>
      <sz val="10"/>
      <color rgb="FF000000"/>
      <name val="Calibri"/>
      <family val="2"/>
    </font>
    <font>
      <b val="true"/>
      <sz val="18"/>
      <color rgb="FF000000"/>
      <name val="Calibri"/>
      <family val="2"/>
    </font>
    <font>
      <sz val="9"/>
      <color rgb="FF000000"/>
      <name val="Arial"/>
      <family val="2"/>
    </font>
    <font>
      <sz val="10"/>
      <color rgb="FF000000"/>
      <name val="Arial"/>
      <family val="2"/>
    </font>
    <font>
      <sz val="11"/>
      <color rgb="FF000000"/>
      <name val="Calibri"/>
      <family val="2"/>
    </font>
  </fonts>
  <fills count="35">
    <fill>
      <patternFill patternType="none"/>
    </fill>
    <fill>
      <patternFill patternType="gray125"/>
    </fill>
    <fill>
      <patternFill patternType="solid">
        <fgColor rgb="FF00FF00"/>
        <bgColor rgb="FF33CCCC"/>
      </patternFill>
    </fill>
    <fill>
      <patternFill patternType="solid">
        <fgColor rgb="FFCCCCFF"/>
        <bgColor rgb="FFB9CDE5"/>
      </patternFill>
    </fill>
    <fill>
      <patternFill patternType="solid">
        <fgColor rgb="FFFFCC00"/>
        <bgColor rgb="FFFFC000"/>
      </patternFill>
    </fill>
    <fill>
      <patternFill patternType="solid">
        <fgColor rgb="FF008000"/>
        <bgColor rgb="FF008080"/>
      </patternFill>
    </fill>
    <fill>
      <patternFill patternType="solid">
        <fgColor rgb="FF808000"/>
        <bgColor rgb="FF808080"/>
      </patternFill>
    </fill>
    <fill>
      <patternFill patternType="solid">
        <fgColor rgb="FF99CC00"/>
        <bgColor rgb="FF92D050"/>
      </patternFill>
    </fill>
    <fill>
      <patternFill patternType="solid">
        <fgColor rgb="FFCCFFCC"/>
        <bgColor rgb="FFCCFFFF"/>
      </patternFill>
    </fill>
    <fill>
      <patternFill patternType="solid">
        <fgColor rgb="FF0066CC"/>
        <bgColor rgb="FF008080"/>
      </patternFill>
    </fill>
    <fill>
      <patternFill patternType="solid">
        <fgColor rgb="FF00CCFF"/>
        <bgColor rgb="FF33CCCC"/>
      </patternFill>
    </fill>
    <fill>
      <patternFill patternType="solid">
        <fgColor rgb="FF99CCFF"/>
        <bgColor rgb="FFB9CDE5"/>
      </patternFill>
    </fill>
    <fill>
      <patternFill patternType="solid">
        <fgColor rgb="FFCCFFFF"/>
        <bgColor rgb="FFCCFFCC"/>
      </patternFill>
    </fill>
    <fill>
      <patternFill patternType="solid">
        <fgColor rgb="FFFF9900"/>
        <bgColor rgb="FFFFC000"/>
      </patternFill>
    </fill>
    <fill>
      <patternFill patternType="solid">
        <fgColor rgb="FFFFCC99"/>
        <bgColor rgb="FFFFCC98"/>
      </patternFill>
    </fill>
    <fill>
      <patternFill patternType="solid">
        <fgColor rgb="FF339966"/>
        <bgColor rgb="FF008080"/>
      </patternFill>
    </fill>
    <fill>
      <patternFill patternType="solid">
        <fgColor rgb="FF3366FF"/>
        <bgColor rgb="FF0066CC"/>
      </patternFill>
    </fill>
    <fill>
      <patternFill patternType="solid">
        <fgColor rgb="FFC0C0C0"/>
        <bgColor rgb="FFB9CDE5"/>
      </patternFill>
    </fill>
    <fill>
      <patternFill patternType="solid">
        <fgColor rgb="FFFF99CC"/>
        <bgColor rgb="FFFF8080"/>
      </patternFill>
    </fill>
    <fill>
      <patternFill patternType="solid">
        <fgColor rgb="FFFFFF99"/>
        <bgColor rgb="FFFFFFCC"/>
      </patternFill>
    </fill>
    <fill>
      <patternFill patternType="solid">
        <fgColor rgb="FF333399"/>
        <bgColor rgb="FF17375E"/>
      </patternFill>
    </fill>
    <fill>
      <patternFill patternType="solid">
        <fgColor rgb="FFFFFFCC"/>
        <bgColor rgb="FFEBF1DE"/>
      </patternFill>
    </fill>
    <fill>
      <patternFill patternType="solid">
        <fgColor rgb="FF333300"/>
        <bgColor rgb="FF333333"/>
      </patternFill>
    </fill>
    <fill>
      <patternFill patternType="solid">
        <fgColor rgb="FFFFFFFF"/>
        <bgColor rgb="FFFEFEFE"/>
      </patternFill>
    </fill>
    <fill>
      <patternFill patternType="solid">
        <fgColor rgb="FFFFFF00"/>
        <bgColor rgb="FFFFCC00"/>
      </patternFill>
    </fill>
    <fill>
      <patternFill patternType="solid">
        <fgColor rgb="FFFF0000"/>
        <bgColor rgb="FF800000"/>
      </patternFill>
    </fill>
    <fill>
      <patternFill patternType="solid">
        <fgColor rgb="FF808080"/>
        <bgColor rgb="FF969696"/>
      </patternFill>
    </fill>
    <fill>
      <patternFill patternType="solid">
        <fgColor rgb="FF969696"/>
        <bgColor rgb="FF808080"/>
      </patternFill>
    </fill>
    <fill>
      <patternFill patternType="solid">
        <fgColor rgb="FF003366"/>
        <bgColor rgb="FF17375E"/>
      </patternFill>
    </fill>
    <fill>
      <patternFill patternType="solid">
        <fgColor rgb="FF600C7A"/>
        <bgColor rgb="FF660066"/>
      </patternFill>
    </fill>
    <fill>
      <patternFill patternType="solid">
        <fgColor rgb="FF800080"/>
        <bgColor rgb="FF660066"/>
      </patternFill>
    </fill>
    <fill>
      <patternFill patternType="solid">
        <fgColor rgb="FF800000"/>
        <bgColor rgb="FF660066"/>
      </patternFill>
    </fill>
    <fill>
      <patternFill patternType="solid">
        <fgColor rgb="FFFF00FF"/>
        <bgColor rgb="FF800080"/>
      </patternFill>
    </fill>
    <fill>
      <patternFill patternType="solid">
        <fgColor rgb="FF660066"/>
        <bgColor rgb="FF600C7A"/>
      </patternFill>
    </fill>
    <fill>
      <patternFill patternType="solid">
        <fgColor rgb="FFFF8080"/>
        <bgColor rgb="FFFF99CC"/>
      </patternFill>
    </fill>
  </fills>
  <borders count="269">
    <border diagonalUp="false" diagonalDown="false">
      <left/>
      <right/>
      <top/>
      <bottom/>
      <diagonal/>
    </border>
    <border diagonalUp="false" diagonalDown="false">
      <left style="medium"/>
      <right style="medium"/>
      <top style="medium"/>
      <bottom style="medium"/>
      <diagonal/>
    </border>
    <border diagonalUp="false" diagonalDown="false">
      <left style="thin">
        <color rgb="FFC0C0C0"/>
      </left>
      <right style="thin">
        <color rgb="FFC0C0C0"/>
      </right>
      <top style="thin">
        <color rgb="FFC0C0C0"/>
      </top>
      <bottom style="thin">
        <color rgb="FFC0C0C0"/>
      </bottom>
      <diagonal/>
    </border>
    <border diagonalUp="false" diagonalDown="false">
      <left/>
      <right style="medium"/>
      <top style="medium"/>
      <bottom style="medium"/>
      <diagonal/>
    </border>
    <border diagonalUp="false" diagonalDown="false">
      <left style="medium"/>
      <right style="medium"/>
      <top/>
      <bottom style="medium"/>
      <diagonal/>
    </border>
    <border diagonalUp="false" diagonalDown="false">
      <left/>
      <right style="medium"/>
      <top/>
      <bottom style="medium"/>
      <diagonal/>
    </border>
    <border diagonalUp="false" diagonalDown="false">
      <left style="thin"/>
      <right style="thin"/>
      <top style="thin"/>
      <bottom style="thin"/>
      <diagonal/>
    </border>
    <border diagonalUp="false" diagonalDown="false">
      <left style="thin"/>
      <right/>
      <top style="thin"/>
      <bottom style="thin"/>
      <diagonal/>
    </border>
    <border diagonalUp="false" diagonalDown="false">
      <left/>
      <right style="thin"/>
      <top style="thin"/>
      <bottom style="thin"/>
      <diagonal/>
    </border>
    <border diagonalUp="false" diagonalDown="false">
      <left style="thin"/>
      <right/>
      <top style="thin"/>
      <bottom/>
      <diagonal/>
    </border>
    <border diagonalUp="false" diagonalDown="false">
      <left/>
      <right style="thin"/>
      <top style="thin"/>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color rgb="FFFEFEFE"/>
      </right>
      <top style="thin"/>
      <bottom style="thick">
        <color rgb="FFFF0000"/>
      </bottom>
      <diagonal/>
    </border>
    <border diagonalUp="false" diagonalDown="false">
      <left style="thin"/>
      <right style="thin"/>
      <top/>
      <bottom style="thin"/>
      <diagonal/>
    </border>
    <border diagonalUp="false" diagonalDown="false">
      <left style="thick">
        <color rgb="FFFF0000"/>
      </left>
      <right style="thick">
        <color rgb="FFFF0000"/>
      </right>
      <top style="thick">
        <color rgb="FFFF0000"/>
      </top>
      <bottom style="thick">
        <color rgb="FFFF0000"/>
      </bottom>
      <diagonal/>
    </border>
    <border diagonalUp="false" diagonalDown="false">
      <left style="thick">
        <color rgb="FFFF0000"/>
      </left>
      <right/>
      <top/>
      <bottom/>
      <diagonal/>
    </border>
    <border diagonalUp="false" diagonalDown="false">
      <left style="medium"/>
      <right/>
      <top/>
      <bottom/>
      <diagonal/>
    </border>
    <border diagonalUp="false" diagonalDown="false">
      <left style="medium">
        <color rgb="FFFEFEFE"/>
      </left>
      <right/>
      <top style="medium">
        <color rgb="FFFEFEFE"/>
      </top>
      <bottom/>
      <diagonal/>
    </border>
    <border diagonalUp="false" diagonalDown="false">
      <left/>
      <right/>
      <top style="medium">
        <color rgb="FFFEFEFE"/>
      </top>
      <bottom/>
      <diagonal/>
    </border>
    <border diagonalUp="false" diagonalDown="false">
      <left/>
      <right style="medium">
        <color rgb="FFFEFEFE"/>
      </right>
      <top style="medium">
        <color rgb="FFFEFEFE"/>
      </top>
      <bottom/>
      <diagonal/>
    </border>
    <border diagonalUp="false" diagonalDown="false">
      <left style="medium">
        <color rgb="FFFEFEFE"/>
      </left>
      <right/>
      <top/>
      <bottom/>
      <diagonal/>
    </border>
    <border diagonalUp="false" diagonalDown="false">
      <left/>
      <right style="medium">
        <color rgb="FFFEFEFE"/>
      </right>
      <top/>
      <bottom/>
      <diagonal/>
    </border>
    <border diagonalUp="false" diagonalDown="false">
      <left style="medium">
        <color rgb="FFFEFEFE"/>
      </left>
      <right/>
      <top/>
      <bottom style="medium">
        <color rgb="FFFEFEFE"/>
      </bottom>
      <diagonal/>
    </border>
    <border diagonalUp="false" diagonalDown="false">
      <left/>
      <right/>
      <top/>
      <bottom style="medium">
        <color rgb="FFFEFEFE"/>
      </bottom>
      <diagonal/>
    </border>
    <border diagonalUp="false" diagonalDown="false">
      <left/>
      <right style="medium">
        <color rgb="FFFEFEFE"/>
      </right>
      <top/>
      <bottom style="medium">
        <color rgb="FFFEFEFE"/>
      </bottom>
      <diagonal/>
    </border>
    <border diagonalUp="false" diagonalDown="false">
      <left style="thin">
        <color rgb="FFFEFEFE"/>
      </left>
      <right style="thin">
        <color rgb="FFFEFEFE"/>
      </right>
      <top style="thin">
        <color rgb="FFFEFEFE"/>
      </top>
      <bottom style="thin">
        <color rgb="FFFEFEFE"/>
      </bottom>
      <diagonal/>
    </border>
    <border diagonalUp="false" diagonalDown="false">
      <left style="thin">
        <color rgb="FFFEFEFE"/>
      </left>
      <right/>
      <top style="thin">
        <color rgb="FFFEFEFE"/>
      </top>
      <bottom/>
      <diagonal/>
    </border>
    <border diagonalUp="false" diagonalDown="false">
      <left/>
      <right style="thin">
        <color rgb="FFFEFEFE"/>
      </right>
      <top style="thin">
        <color rgb="FFFEFEFE"/>
      </top>
      <bottom/>
      <diagonal/>
    </border>
    <border diagonalUp="false" diagonalDown="false">
      <left style="thin">
        <color rgb="FFFEFEFE"/>
      </left>
      <right style="dotted">
        <color rgb="FFFEFEFE"/>
      </right>
      <top style="thin">
        <color rgb="FFFEFEFE"/>
      </top>
      <bottom style="thin">
        <color rgb="FFFEFEFE"/>
      </bottom>
      <diagonal/>
    </border>
    <border diagonalUp="false" diagonalDown="false">
      <left/>
      <right style="thin">
        <color rgb="FFFEFEFE"/>
      </right>
      <top style="thin">
        <color rgb="FFFEFEFE"/>
      </top>
      <bottom style="thin">
        <color rgb="FFFEFEFE"/>
      </bottom>
      <diagonal/>
    </border>
    <border diagonalUp="false" diagonalDown="false">
      <left/>
      <right style="dotted">
        <color rgb="FFFEFEFE"/>
      </right>
      <top style="thin">
        <color rgb="FFFEFEFE"/>
      </top>
      <bottom style="thin">
        <color rgb="FFFEFEFE"/>
      </bottom>
      <diagonal/>
    </border>
    <border diagonalUp="false" diagonalDown="false">
      <left style="thin">
        <color rgb="FFFEFEFE"/>
      </left>
      <right/>
      <top/>
      <bottom/>
      <diagonal/>
    </border>
    <border diagonalUp="false" diagonalDown="false">
      <left/>
      <right style="thin">
        <color rgb="FFFEFEFE"/>
      </right>
      <top/>
      <bottom/>
      <diagonal/>
    </border>
    <border diagonalUp="false" diagonalDown="false">
      <left style="thin">
        <color rgb="FFFEFEFE"/>
      </left>
      <right/>
      <top/>
      <bottom style="thin">
        <color rgb="FFFEFEFE"/>
      </bottom>
      <diagonal/>
    </border>
    <border diagonalUp="false" diagonalDown="false">
      <left/>
      <right style="thin">
        <color rgb="FFFEFEFE"/>
      </right>
      <top/>
      <bottom style="thin">
        <color rgb="FFFEFEFE"/>
      </bottom>
      <diagonal/>
    </border>
    <border diagonalUp="false" diagonalDown="false">
      <left style="thin">
        <color rgb="FFFEFEFE"/>
      </left>
      <right style="thin">
        <color rgb="FFFEFEFE"/>
      </right>
      <top style="thin">
        <color rgb="FFFEFEFE"/>
      </top>
      <bottom/>
      <diagonal/>
    </border>
    <border diagonalUp="false" diagonalDown="false">
      <left style="thin">
        <color rgb="FFFEFEFE"/>
      </left>
      <right/>
      <top style="thin">
        <color rgb="FFFEFEFE"/>
      </top>
      <bottom style="thin">
        <color rgb="FFFEFEFE"/>
      </bottom>
      <diagonal/>
    </border>
    <border diagonalUp="false" diagonalDown="false">
      <left style="thin">
        <color rgb="FFFEFEFE"/>
      </left>
      <right style="thin">
        <color rgb="FFFEFEFE"/>
      </right>
      <top/>
      <bottom/>
      <diagonal/>
    </border>
    <border diagonalUp="false" diagonalDown="false">
      <left/>
      <right/>
      <top style="thin">
        <color rgb="FFFEFEFE"/>
      </top>
      <bottom style="thin">
        <color rgb="FFFEFEFE"/>
      </bottom>
      <diagonal/>
    </border>
    <border diagonalUp="false" diagonalDown="false">
      <left style="thin">
        <color rgb="FFFEFEFE"/>
      </left>
      <right style="thin">
        <color rgb="FFFEFEFE"/>
      </right>
      <top/>
      <bottom style="thin">
        <color rgb="FFFEFEFE"/>
      </bottom>
      <diagonal/>
    </border>
    <border diagonalUp="false" diagonalDown="false">
      <left style="thin">
        <color rgb="FFFEFEFE"/>
      </left>
      <right style="dotted">
        <color rgb="FFFEFEFE"/>
      </right>
      <top/>
      <bottom/>
      <diagonal/>
    </border>
    <border diagonalUp="false" diagonalDown="false">
      <left/>
      <right style="dotted">
        <color rgb="FFFEFEFE"/>
      </right>
      <top/>
      <bottom/>
      <diagonal/>
    </border>
    <border diagonalUp="false" diagonalDown="false">
      <left/>
      <right/>
      <top style="thin">
        <color rgb="FFFEFEFE"/>
      </top>
      <bottom/>
      <diagonal/>
    </border>
    <border diagonalUp="false" diagonalDown="false">
      <left style="thin">
        <color rgb="FFFEFEFE"/>
      </left>
      <right style="dotted">
        <color rgb="FFFEFEFE"/>
      </right>
      <top style="thin">
        <color rgb="FFFEFEFE"/>
      </top>
      <bottom/>
      <diagonal/>
    </border>
    <border diagonalUp="false" diagonalDown="false">
      <left/>
      <right/>
      <top/>
      <bottom style="thin">
        <color rgb="FFFEFEFE"/>
      </bottom>
      <diagonal/>
    </border>
    <border diagonalUp="false" diagonalDown="false">
      <left style="thin">
        <color rgb="FFFEFEFE"/>
      </left>
      <right/>
      <top style="thin"/>
      <bottom style="thin">
        <color rgb="FFFEFEFE"/>
      </bottom>
      <diagonal/>
    </border>
    <border diagonalUp="false" diagonalDown="false">
      <left style="thin">
        <color rgb="FFFEFEFE"/>
      </left>
      <right style="thin"/>
      <top style="thin">
        <color rgb="FFFEFEFE"/>
      </top>
      <bottom style="thin">
        <color rgb="FFFEFEFE"/>
      </bottom>
      <diagonal/>
    </border>
    <border diagonalUp="false" diagonalDown="false">
      <left style="medium">
        <color rgb="FFFEFEFE"/>
      </left>
      <right style="medium">
        <color rgb="FFFEFEFE"/>
      </right>
      <top style="medium">
        <color rgb="FFFEFEFE"/>
      </top>
      <bottom style="thin"/>
      <diagonal/>
    </border>
    <border diagonalUp="false" diagonalDown="false">
      <left style="medium">
        <color rgb="FFFEFEFE"/>
      </left>
      <right style="thin">
        <color rgb="FFFEFEFE"/>
      </right>
      <top style="medium">
        <color rgb="FFFEFEFE"/>
      </top>
      <bottom style="thin"/>
      <diagonal/>
    </border>
    <border diagonalUp="false" diagonalDown="false">
      <left style="thin">
        <color rgb="FFFEFEFE"/>
      </left>
      <right style="medium">
        <color rgb="FFFEFEFE"/>
      </right>
      <top style="medium">
        <color rgb="FFFEFEFE"/>
      </top>
      <bottom/>
      <diagonal/>
    </border>
    <border diagonalUp="false" diagonalDown="false">
      <left style="medium">
        <color rgb="FFFEFEFE"/>
      </left>
      <right style="thin">
        <color rgb="FFFEFEFE"/>
      </right>
      <top style="medium">
        <color rgb="FFFEFEFE"/>
      </top>
      <bottom style="thin">
        <color rgb="FFFEFEFE"/>
      </bottom>
      <diagonal/>
    </border>
    <border diagonalUp="false" diagonalDown="false">
      <left style="thin">
        <color rgb="FFFEFEFE"/>
      </left>
      <right style="medium">
        <color rgb="FFFEFEFE"/>
      </right>
      <top style="medium">
        <color rgb="FFFEFEFE"/>
      </top>
      <bottom style="thin">
        <color rgb="FFFEFEFE"/>
      </bottom>
      <diagonal/>
    </border>
    <border diagonalUp="false" diagonalDown="false">
      <left style="thin">
        <color rgb="FFFEFEFE"/>
      </left>
      <right style="medium">
        <color rgb="FFFEFEFE"/>
      </right>
      <top/>
      <bottom style="thin">
        <color rgb="FFFEFEFE"/>
      </bottom>
      <diagonal/>
    </border>
    <border diagonalUp="false" diagonalDown="false">
      <left style="medium">
        <color rgb="FFFEFEFE"/>
      </left>
      <right style="medium">
        <color rgb="FFFEFEFE"/>
      </right>
      <top style="thin"/>
      <bottom style="thin"/>
      <diagonal/>
    </border>
    <border diagonalUp="false" diagonalDown="false">
      <left style="medium">
        <color rgb="FFFEFEFE"/>
      </left>
      <right style="thin"/>
      <top style="thin"/>
      <bottom style="thin"/>
      <diagonal/>
    </border>
    <border diagonalUp="false" diagonalDown="false">
      <left style="thin"/>
      <right style="medium">
        <color rgb="FFFEFEFE"/>
      </right>
      <top style="thin"/>
      <bottom style="thin"/>
      <diagonal/>
    </border>
    <border diagonalUp="false" diagonalDown="false">
      <left style="medium">
        <color rgb="FFFEFEFE"/>
      </left>
      <right style="thin"/>
      <top/>
      <bottom style="thin"/>
      <diagonal/>
    </border>
    <border diagonalUp="false" diagonalDown="false">
      <left style="thin"/>
      <right style="medium">
        <color rgb="FFFEFEFE"/>
      </right>
      <top/>
      <bottom style="thin"/>
      <diagonal/>
    </border>
    <border diagonalUp="false" diagonalDown="false">
      <left style="medium">
        <color rgb="FFFEFEFE"/>
      </left>
      <right/>
      <top style="thin"/>
      <bottom style="thin"/>
      <diagonal/>
    </border>
    <border diagonalUp="false" diagonalDown="false">
      <left/>
      <right style="medium">
        <color rgb="FFFEFEFE"/>
      </right>
      <top style="thin"/>
      <bottom style="thin"/>
      <diagonal/>
    </border>
    <border diagonalUp="false" diagonalDown="false">
      <left/>
      <right style="thin"/>
      <top/>
      <bottom/>
      <diagonal/>
    </border>
    <border diagonalUp="false" diagonalDown="false">
      <left style="thin"/>
      <right style="thin">
        <color rgb="FFFEFEFE"/>
      </right>
      <top/>
      <bottom/>
      <diagonal/>
    </border>
    <border diagonalUp="false" diagonalDown="false">
      <left style="thin"/>
      <right style="thin"/>
      <top style="thin"/>
      <bottom style="thin">
        <color rgb="FFFEFEFE"/>
      </bottom>
      <diagonal/>
    </border>
    <border diagonalUp="false" diagonalDown="false">
      <left style="medium">
        <color rgb="FFFEFEFE"/>
      </left>
      <right style="medium">
        <color rgb="FFFEFEFE"/>
      </right>
      <top style="medium">
        <color rgb="FFFEFEFE"/>
      </top>
      <bottom style="medium">
        <color rgb="FFFEFEFE"/>
      </bottom>
      <diagonal/>
    </border>
    <border diagonalUp="false" diagonalDown="false">
      <left style="medium">
        <color rgb="FFFEFEFE"/>
      </left>
      <right style="medium">
        <color rgb="FFFEFEFE"/>
      </right>
      <top style="medium">
        <color rgb="FFFEFEFE"/>
      </top>
      <bottom/>
      <diagonal/>
    </border>
    <border diagonalUp="false" diagonalDown="false">
      <left style="thin">
        <color rgb="FFFEFEFE"/>
      </left>
      <right style="thin">
        <color rgb="FFFEFEFE"/>
      </right>
      <top style="medium">
        <color rgb="FFFEFEFE"/>
      </top>
      <bottom/>
      <diagonal/>
    </border>
    <border diagonalUp="false" diagonalDown="false">
      <left style="medium">
        <color rgb="FFFEFEFE"/>
      </left>
      <right style="medium">
        <color rgb="FFFEFEFE"/>
      </right>
      <top/>
      <bottom style="thin">
        <color rgb="FFFEFEFE"/>
      </bottom>
      <diagonal/>
    </border>
    <border diagonalUp="false" diagonalDown="false">
      <left style="medium">
        <color rgb="FFFEFEFE"/>
      </left>
      <right style="thin">
        <color rgb="FFFEFEFE"/>
      </right>
      <top style="medium">
        <color rgb="FFFEFEFE"/>
      </top>
      <bottom style="medium">
        <color rgb="FFFEFEFE"/>
      </bottom>
      <diagonal/>
    </border>
    <border diagonalUp="false" diagonalDown="false">
      <left style="thin">
        <color rgb="FFFEFEFE"/>
      </left>
      <right style="thin">
        <color rgb="FFFEFEFE"/>
      </right>
      <top style="medium">
        <color rgb="FFFEFEFE"/>
      </top>
      <bottom style="medium">
        <color rgb="FFFEFEFE"/>
      </bottom>
      <diagonal/>
    </border>
    <border diagonalUp="false" diagonalDown="false">
      <left style="thin">
        <color rgb="FFFEFEFE"/>
      </left>
      <right style="medium">
        <color rgb="FFFEFEFE"/>
      </right>
      <top style="medium">
        <color rgb="FFFEFEFE"/>
      </top>
      <bottom style="medium">
        <color rgb="FFFEFEFE"/>
      </bottom>
      <diagonal/>
    </border>
    <border diagonalUp="false" diagonalDown="false">
      <left style="medium">
        <color rgb="FFFEFEFE"/>
      </left>
      <right style="medium">
        <color rgb="FFFEFEFE"/>
      </right>
      <top style="thin">
        <color rgb="FFFEFEFE"/>
      </top>
      <bottom style="thin">
        <color rgb="FFFEFEFE"/>
      </bottom>
      <diagonal/>
    </border>
    <border diagonalUp="false" diagonalDown="false">
      <left style="medium">
        <color rgb="FFFEFEFE"/>
      </left>
      <right style="medium">
        <color rgb="FFFEFEFE"/>
      </right>
      <top style="thin">
        <color rgb="FFFEFEFE"/>
      </top>
      <bottom style="medium">
        <color rgb="FFFEFEFE"/>
      </bottom>
      <diagonal/>
    </border>
    <border diagonalUp="false" diagonalDown="false">
      <left style="medium">
        <color rgb="FFFEFEFE"/>
      </left>
      <right style="medium">
        <color rgb="FFFEFEFE"/>
      </right>
      <top style="thin">
        <color rgb="FFFEFEFE"/>
      </top>
      <bottom/>
      <diagonal/>
    </border>
    <border diagonalUp="false" diagonalDown="false">
      <left style="medium">
        <color rgb="FFFEFEFE"/>
      </left>
      <right style="medium">
        <color rgb="FFFEFEFE"/>
      </right>
      <top style="medium">
        <color rgb="FFFEFEFE"/>
      </top>
      <bottom style="thin">
        <color rgb="FFFEFEFE"/>
      </bottom>
      <diagonal/>
    </border>
    <border diagonalUp="false" diagonalDown="false">
      <left style="medium">
        <color rgb="FFFEFEFE"/>
      </left>
      <right style="medium">
        <color rgb="FFFEFEFE"/>
      </right>
      <top/>
      <bottom style="medium">
        <color rgb="FFFEFEFE"/>
      </bottom>
      <diagonal/>
    </border>
    <border diagonalUp="false" diagonalDown="false">
      <left style="medium">
        <color rgb="FFFEFEFE"/>
      </left>
      <right style="thin">
        <color rgb="FFFEFEFE"/>
      </right>
      <top/>
      <bottom style="thin">
        <color rgb="FFFEFEFE"/>
      </bottom>
      <diagonal/>
    </border>
    <border diagonalUp="false" diagonalDown="false">
      <left style="medium">
        <color rgb="FFFEFEFE"/>
      </left>
      <right style="thin">
        <color rgb="FFFEFEFE"/>
      </right>
      <top style="thin">
        <color rgb="FFFEFEFE"/>
      </top>
      <bottom/>
      <diagonal/>
    </border>
    <border diagonalUp="false" diagonalDown="false">
      <left style="thin">
        <color rgb="FFFEFEFE"/>
      </left>
      <right style="medium">
        <color rgb="FFFEFEFE"/>
      </right>
      <top style="thin">
        <color rgb="FFFEFEFE"/>
      </top>
      <bottom/>
      <diagonal/>
    </border>
    <border diagonalUp="false" diagonalDown="false">
      <left style="thin">
        <color rgb="FFFEFEFE"/>
      </left>
      <right style="thin">
        <color rgb="FFFEFEFE"/>
      </right>
      <top style="medium">
        <color rgb="FFFEFEFE"/>
      </top>
      <bottom style="thin">
        <color rgb="FFFEFEFE"/>
      </bottom>
      <diagonal/>
    </border>
    <border diagonalUp="false" diagonalDown="false">
      <left style="medium">
        <color rgb="FFFEFEFE"/>
      </left>
      <right style="thin">
        <color rgb="FFFEFEFE"/>
      </right>
      <top style="thin">
        <color rgb="FFFEFEFE"/>
      </top>
      <bottom style="thin">
        <color rgb="FFFEFEFE"/>
      </bottom>
      <diagonal/>
    </border>
    <border diagonalUp="false" diagonalDown="false">
      <left style="thin">
        <color rgb="FFFEFEFE"/>
      </left>
      <right style="medium">
        <color rgb="FFFEFEFE"/>
      </right>
      <top style="thin">
        <color rgb="FFFEFEFE"/>
      </top>
      <bottom style="thin">
        <color rgb="FFFEFEFE"/>
      </bottom>
      <diagonal/>
    </border>
    <border diagonalUp="false" diagonalDown="false">
      <left/>
      <right style="medium">
        <color rgb="FFFEFEFE"/>
      </right>
      <top/>
      <bottom style="thin">
        <color rgb="FFFEFEFE"/>
      </bottom>
      <diagonal/>
    </border>
    <border diagonalUp="false" diagonalDown="false">
      <left/>
      <right style="medium">
        <color rgb="FFFEFEFE"/>
      </right>
      <top style="thin">
        <color rgb="FFFEFEFE"/>
      </top>
      <bottom style="thin">
        <color rgb="FFFEFEFE"/>
      </bottom>
      <diagonal/>
    </border>
    <border diagonalUp="false" diagonalDown="false">
      <left style="medium">
        <color rgb="FFFEFEFE"/>
      </left>
      <right style="thin">
        <color rgb="FFFEFEFE"/>
      </right>
      <top style="thin">
        <color rgb="FFFEFEFE"/>
      </top>
      <bottom style="medium">
        <color rgb="FFFEFEFE"/>
      </bottom>
      <diagonal/>
    </border>
    <border diagonalUp="false" diagonalDown="false">
      <left style="thin">
        <color rgb="FFFEFEFE"/>
      </left>
      <right style="thin">
        <color rgb="FFFEFEFE"/>
      </right>
      <top style="thin">
        <color rgb="FFFEFEFE"/>
      </top>
      <bottom style="medium">
        <color rgb="FFFEFEFE"/>
      </bottom>
      <diagonal/>
    </border>
    <border diagonalUp="false" diagonalDown="false">
      <left style="thin">
        <color rgb="FFFEFEFE"/>
      </left>
      <right/>
      <top style="thin">
        <color rgb="FFFEFEFE"/>
      </top>
      <bottom style="medium">
        <color rgb="FFFEFEFE"/>
      </bottom>
      <diagonal/>
    </border>
    <border diagonalUp="false" diagonalDown="false">
      <left/>
      <right style="medium">
        <color rgb="FFFEFEFE"/>
      </right>
      <top style="thin">
        <color rgb="FFFEFEFE"/>
      </top>
      <bottom style="medium">
        <color rgb="FFFEFEFE"/>
      </bottom>
      <diagonal/>
    </border>
    <border diagonalUp="false" diagonalDown="false">
      <left style="medium">
        <color rgb="FFFF0000"/>
      </left>
      <right style="medium">
        <color rgb="FFFF0000"/>
      </right>
      <top style="medium">
        <color rgb="FFFF0000"/>
      </top>
      <bottom style="medium">
        <color rgb="FFFF0000"/>
      </bottom>
      <diagonal/>
    </border>
    <border diagonalUp="false" diagonalDown="false">
      <left style="medium"/>
      <right style="thin"/>
      <top style="medium"/>
      <bottom style="thin"/>
      <diagonal/>
    </border>
    <border diagonalUp="false" diagonalDown="false">
      <left style="thin"/>
      <right/>
      <top style="medium"/>
      <bottom style="thin"/>
      <diagonal/>
    </border>
    <border diagonalUp="false" diagonalDown="false">
      <left style="medium">
        <color rgb="FFFEFEFE"/>
      </left>
      <right style="thin"/>
      <top style="medium">
        <color rgb="FFFEFEFE"/>
      </top>
      <bottom style="thin"/>
      <diagonal/>
    </border>
    <border diagonalUp="false" diagonalDown="false">
      <left style="thin"/>
      <right style="medium">
        <color rgb="FFFEFEFE"/>
      </right>
      <top style="medium">
        <color rgb="FFFEFEFE"/>
      </top>
      <bottom/>
      <diagonal/>
    </border>
    <border diagonalUp="false" diagonalDown="false">
      <left/>
      <right style="thin"/>
      <top style="medium"/>
      <bottom style="thin"/>
      <diagonal/>
    </border>
    <border diagonalUp="false" diagonalDown="false">
      <left style="thin"/>
      <right style="thin"/>
      <top style="medium"/>
      <bottom style="thin"/>
      <diagonal/>
    </border>
    <border diagonalUp="false" diagonalDown="false">
      <left style="thin"/>
      <right style="thin">
        <color rgb="FFFEFEFE"/>
      </right>
      <top style="medium"/>
      <bottom style="thin"/>
      <diagonal/>
    </border>
    <border diagonalUp="false" diagonalDown="false">
      <left style="medium"/>
      <right style="thin"/>
      <top style="thin"/>
      <bottom style="thin"/>
      <diagonal/>
    </border>
    <border diagonalUp="false" diagonalDown="false">
      <left style="thin"/>
      <right style="medium"/>
      <top/>
      <bottom style="thin"/>
      <diagonal/>
    </border>
    <border diagonalUp="false" diagonalDown="false">
      <left style="thin"/>
      <right style="medium"/>
      <top style="thin"/>
      <bottom style="thin"/>
      <diagonal/>
    </border>
    <border diagonalUp="false" diagonalDown="false">
      <left style="medium"/>
      <right style="thin"/>
      <top/>
      <bottom/>
      <diagonal/>
    </border>
    <border diagonalUp="false" diagonalDown="false">
      <left/>
      <right/>
      <top style="thin"/>
      <bottom style="thin"/>
      <diagonal/>
    </border>
    <border diagonalUp="false" diagonalDown="false">
      <left style="thin"/>
      <right style="medium"/>
      <top style="thin"/>
      <bottom/>
      <diagonal/>
    </border>
    <border diagonalUp="false" diagonalDown="false">
      <left style="medium"/>
      <right style="thin"/>
      <top style="thin"/>
      <bottom style="medium"/>
      <diagonal/>
    </border>
    <border diagonalUp="false" diagonalDown="false">
      <left style="thin"/>
      <right/>
      <top style="thin"/>
      <bottom style="medium"/>
      <diagonal/>
    </border>
    <border diagonalUp="false" diagonalDown="false">
      <left style="medium">
        <color rgb="FFFEFEFE"/>
      </left>
      <right style="thin"/>
      <top style="thin"/>
      <bottom style="medium">
        <color rgb="FFFEFEFE"/>
      </bottom>
      <diagonal/>
    </border>
    <border diagonalUp="false" diagonalDown="false">
      <left style="thin"/>
      <right style="thin"/>
      <top style="thin"/>
      <bottom style="medium">
        <color rgb="FFFEFEFE"/>
      </bottom>
      <diagonal/>
    </border>
    <border diagonalUp="false" diagonalDown="false">
      <left style="thin"/>
      <right style="medium">
        <color rgb="FFFEFEFE"/>
      </right>
      <top style="thin"/>
      <bottom style="medium">
        <color rgb="FFFEFEFE"/>
      </bottom>
      <diagonal/>
    </border>
    <border diagonalUp="false" diagonalDown="false">
      <left/>
      <right style="thin"/>
      <top style="thin"/>
      <bottom style="medium"/>
      <diagonal/>
    </border>
    <border diagonalUp="false" diagonalDown="false">
      <left style="thin"/>
      <right style="thin"/>
      <top style="thin"/>
      <bottom style="medium"/>
      <diagonal/>
    </border>
    <border diagonalUp="false" diagonalDown="false">
      <left style="thin">
        <color rgb="FFFEFEFE"/>
      </left>
      <right style="medium">
        <color rgb="FFFEFEFE"/>
      </right>
      <top style="thin">
        <color rgb="FFFEFEFE"/>
      </top>
      <bottom style="medium">
        <color rgb="FFFEFEFE"/>
      </bottom>
      <diagonal/>
    </border>
    <border diagonalUp="false" diagonalDown="false">
      <left style="thin"/>
      <right style="medium"/>
      <top style="medium"/>
      <bottom style="thin"/>
      <diagonal/>
    </border>
    <border diagonalUp="false" diagonalDown="false">
      <left style="thin"/>
      <right style="medium"/>
      <top style="thin"/>
      <bottom style="medium"/>
      <diagonal/>
    </border>
    <border diagonalUp="false" diagonalDown="false">
      <left style="thin"/>
      <right style="thin"/>
      <top style="medium">
        <color rgb="FFFEFEFE"/>
      </top>
      <bottom style="thin"/>
      <diagonal/>
    </border>
    <border diagonalUp="false" diagonalDown="false">
      <left style="thin"/>
      <right style="medium">
        <color rgb="FFFEFEFE"/>
      </right>
      <top style="medium">
        <color rgb="FFFEFEFE"/>
      </top>
      <bottom style="thin"/>
      <diagonal/>
    </border>
    <border diagonalUp="false" diagonalDown="false">
      <left style="medium">
        <color rgb="FFFEFEFE"/>
      </left>
      <right style="thin"/>
      <top style="thin"/>
      <bottom/>
      <diagonal/>
    </border>
    <border diagonalUp="false" diagonalDown="false">
      <left style="thin"/>
      <right style="medium">
        <color rgb="FFFEFEFE"/>
      </right>
      <top style="thin"/>
      <bottom/>
      <diagonal/>
    </border>
    <border diagonalUp="false" diagonalDown="false">
      <left style="medium">
        <color rgb="FFFEFEFE"/>
      </left>
      <right/>
      <top style="medium">
        <color rgb="FFFEFEFE"/>
      </top>
      <bottom style="thin">
        <color rgb="FFFEFEFE"/>
      </bottom>
      <diagonal/>
    </border>
    <border diagonalUp="false" diagonalDown="false">
      <left style="medium">
        <color rgb="FFFEFEFE"/>
      </left>
      <right/>
      <top style="thin">
        <color rgb="FFFEFEFE"/>
      </top>
      <bottom style="thin">
        <color rgb="FFFEFEFE"/>
      </bottom>
      <diagonal/>
    </border>
    <border diagonalUp="false" diagonalDown="false">
      <left style="medium"/>
      <right style="medium"/>
      <top style="medium"/>
      <bottom style="thin"/>
      <diagonal/>
    </border>
    <border diagonalUp="false" diagonalDown="false">
      <left style="medium"/>
      <right/>
      <top style="thin"/>
      <bottom style="thin"/>
      <diagonal/>
    </border>
    <border diagonalUp="false" diagonalDown="false">
      <left style="medium">
        <color rgb="FFFEFEFE"/>
      </left>
      <right style="medium">
        <color rgb="FFFEFEFE"/>
      </right>
      <top style="thin"/>
      <bottom/>
      <diagonal/>
    </border>
    <border diagonalUp="false" diagonalDown="false">
      <left style="medium"/>
      <right style="thin"/>
      <top style="thin"/>
      <bottom/>
      <diagonal/>
    </border>
    <border diagonalUp="false" diagonalDown="false">
      <left style="medium">
        <color rgb="FFFEFEFE"/>
      </left>
      <right style="medium">
        <color rgb="FFFEFEFE"/>
      </right>
      <top/>
      <bottom/>
      <diagonal/>
    </border>
    <border diagonalUp="false" diagonalDown="false">
      <left/>
      <right style="thin"/>
      <top/>
      <bottom style="thin"/>
      <diagonal/>
    </border>
    <border diagonalUp="false" diagonalDown="false">
      <left style="medium"/>
      <right style="thin"/>
      <top/>
      <bottom style="thin"/>
      <diagonal/>
    </border>
    <border diagonalUp="false" diagonalDown="false">
      <left style="medium">
        <color rgb="FFFEFEFE"/>
      </left>
      <right style="medium">
        <color rgb="FFFEFEFE"/>
      </right>
      <top style="thin"/>
      <bottom style="medium">
        <color rgb="FFFEFEFE"/>
      </bottom>
      <diagonal/>
    </border>
    <border diagonalUp="false" diagonalDown="false">
      <left style="medium"/>
      <right style="thin"/>
      <top/>
      <bottom style="medium"/>
      <diagonal/>
    </border>
    <border diagonalUp="false" diagonalDown="false">
      <left/>
      <right style="medium"/>
      <top/>
      <bottom/>
      <diagonal/>
    </border>
    <border diagonalUp="false" diagonalDown="false">
      <left style="medium"/>
      <right style="medium"/>
      <top style="medium"/>
      <bottom/>
      <diagonal/>
    </border>
    <border diagonalUp="false" diagonalDown="false">
      <left style="medium"/>
      <right/>
      <top style="thin"/>
      <bottom/>
      <diagonal/>
    </border>
    <border diagonalUp="false" diagonalDown="false">
      <left/>
      <right style="medium"/>
      <top style="thin"/>
      <bottom style="thin"/>
      <diagonal/>
    </border>
    <border diagonalUp="false" diagonalDown="false">
      <left style="medium">
        <color rgb="FFFEFEFE"/>
      </left>
      <right style="thin"/>
      <top/>
      <bottom/>
      <diagonal/>
    </border>
    <border diagonalUp="false" diagonalDown="false">
      <left style="medium"/>
      <right/>
      <top style="thin"/>
      <bottom style="medium"/>
      <diagonal/>
    </border>
    <border diagonalUp="false" diagonalDown="false">
      <left style="thin"/>
      <right/>
      <top style="thin"/>
      <bottom style="medium">
        <color rgb="FFFEFEFE"/>
      </bottom>
      <diagonal/>
    </border>
    <border diagonalUp="false" diagonalDown="false">
      <left/>
      <right style="medium">
        <color rgb="FFFEFEFE"/>
      </right>
      <top style="thin"/>
      <bottom style="medium">
        <color rgb="FFFEFEFE"/>
      </bottom>
      <diagonal/>
    </border>
    <border diagonalUp="false" diagonalDown="false">
      <left/>
      <right style="medium"/>
      <top style="thin"/>
      <bottom style="medium"/>
      <diagonal/>
    </border>
    <border diagonalUp="false" diagonalDown="false">
      <left style="thin"/>
      <right/>
      <top style="medium">
        <color rgb="FFFEFEFE"/>
      </top>
      <bottom style="thin"/>
      <diagonal/>
    </border>
    <border diagonalUp="false" diagonalDown="false">
      <left style="thin">
        <color rgb="FFFEFEFE"/>
      </left>
      <right style="thin"/>
      <top style="medium">
        <color rgb="FFFEFEFE"/>
      </top>
      <bottom style="thin"/>
      <diagonal/>
    </border>
    <border diagonalUp="false" diagonalDown="false">
      <left style="medium">
        <color rgb="FFFEFEFE"/>
      </left>
      <right style="thin"/>
      <top style="medium">
        <color rgb="FFFEFEFE"/>
      </top>
      <bottom/>
      <diagonal/>
    </border>
    <border diagonalUp="false" diagonalDown="false">
      <left style="thin"/>
      <right/>
      <top style="medium">
        <color rgb="FFFEFEFE"/>
      </top>
      <bottom/>
      <diagonal/>
    </border>
    <border diagonalUp="false" diagonalDown="false">
      <left style="thin"/>
      <right style="thin"/>
      <top style="medium">
        <color rgb="FFFEFEFE"/>
      </top>
      <bottom/>
      <diagonal/>
    </border>
    <border diagonalUp="false" diagonalDown="false">
      <left style="medium">
        <color rgb="FFFEFEFE"/>
      </left>
      <right/>
      <top style="thin"/>
      <bottom/>
      <diagonal/>
    </border>
    <border diagonalUp="false" diagonalDown="false">
      <left style="medium">
        <color rgb="FFFF0000"/>
      </left>
      <right/>
      <top/>
      <bottom/>
      <diagonal/>
    </border>
    <border diagonalUp="false" diagonalDown="false">
      <left/>
      <right style="thin">
        <color rgb="FFFEFEFE"/>
      </right>
      <top style="medium">
        <color rgb="FFFEFEFE"/>
      </top>
      <bottom style="medium">
        <color rgb="FFFEFEFE"/>
      </bottom>
      <diagonal/>
    </border>
    <border diagonalUp="false" diagonalDown="false">
      <left/>
      <right style="medium">
        <color rgb="FFFF0000"/>
      </right>
      <top style="medium">
        <color rgb="FFFF0000"/>
      </top>
      <bottom style="medium">
        <color rgb="FFFF0000"/>
      </bottom>
      <diagonal/>
    </border>
    <border diagonalUp="false" diagonalDown="false">
      <left/>
      <right style="medium">
        <color rgb="FFFF0000"/>
      </right>
      <top/>
      <bottom/>
      <diagonal/>
    </border>
    <border diagonalUp="false" diagonalDown="false">
      <left style="medium">
        <color rgb="FFFF0000"/>
      </left>
      <right/>
      <top style="medium">
        <color rgb="FFFF0000"/>
      </top>
      <bottom style="medium">
        <color rgb="FFFF0000"/>
      </bottom>
      <diagonal/>
    </border>
    <border diagonalUp="false" diagonalDown="false">
      <left/>
      <right/>
      <top/>
      <bottom style="thin"/>
      <diagonal/>
    </border>
    <border diagonalUp="false" diagonalDown="false">
      <left style="medium">
        <color rgb="FFFEFEFE"/>
      </left>
      <right style="medium"/>
      <top style="medium">
        <color rgb="FFFEFEFE"/>
      </top>
      <bottom style="medium"/>
      <diagonal/>
    </border>
    <border diagonalUp="false" diagonalDown="false">
      <left style="medium"/>
      <right style="medium">
        <color rgb="FFFEFEFE"/>
      </right>
      <top style="medium">
        <color rgb="FFFEFEFE"/>
      </top>
      <bottom style="medium"/>
      <diagonal/>
    </border>
    <border diagonalUp="false" diagonalDown="false">
      <left style="thin"/>
      <right/>
      <top/>
      <bottom/>
      <diagonal/>
    </border>
    <border diagonalUp="false" diagonalDown="false">
      <left style="medium">
        <color rgb="FFFEFEFE"/>
      </left>
      <right style="medium"/>
      <top style="medium"/>
      <bottom style="medium">
        <color rgb="FFFEFEFE"/>
      </bottom>
      <diagonal/>
    </border>
    <border diagonalUp="false" diagonalDown="false">
      <left/>
      <right style="medium">
        <color rgb="FFFEFEFE"/>
      </right>
      <top/>
      <bottom style="medium"/>
      <diagonal/>
    </border>
    <border diagonalUp="false" diagonalDown="false">
      <left/>
      <right style="medium"/>
      <top/>
      <bottom style="medium">
        <color rgb="FFFEFEFE"/>
      </bottom>
      <diagonal/>
    </border>
    <border diagonalUp="false" diagonalDown="false">
      <left style="medium"/>
      <right style="medium"/>
      <top style="medium"/>
      <bottom style="medium">
        <color rgb="FFFEFEFE"/>
      </bottom>
      <diagonal/>
    </border>
    <border diagonalUp="false" diagonalDown="false">
      <left/>
      <right/>
      <top/>
      <bottom style="medium">
        <color rgb="FFFF0000"/>
      </bottom>
      <diagonal/>
    </border>
    <border diagonalUp="false" diagonalDown="false">
      <left style="thin"/>
      <right/>
      <top/>
      <bottom style="thin"/>
      <diagonal/>
    </border>
    <border diagonalUp="false" diagonalDown="false">
      <left style="medium">
        <color rgb="FFFEFEFE"/>
      </left>
      <right/>
      <top style="thin"/>
      <bottom style="medium">
        <color rgb="FFFEFEFE"/>
      </bottom>
      <diagonal/>
    </border>
    <border diagonalUp="false" diagonalDown="false">
      <left/>
      <right/>
      <top style="thin"/>
      <bottom style="medium">
        <color rgb="FFFEFEFE"/>
      </bottom>
      <diagonal/>
    </border>
    <border diagonalUp="false" diagonalDown="false">
      <left style="medium"/>
      <right style="medium"/>
      <top style="thin"/>
      <bottom style="thin"/>
      <diagonal/>
    </border>
    <border diagonalUp="false" diagonalDown="false">
      <left style="medium"/>
      <right style="thin"/>
      <top style="medium"/>
      <bottom style="medium"/>
      <diagonal/>
    </border>
    <border diagonalUp="false" diagonalDown="false">
      <left style="medium"/>
      <right style="medium"/>
      <top style="thin"/>
      <bottom style="medium"/>
      <diagonal/>
    </border>
    <border diagonalUp="false" diagonalDown="false">
      <left/>
      <right/>
      <top/>
      <bottom style="medium"/>
      <diagonal/>
    </border>
    <border diagonalUp="false" diagonalDown="false">
      <left style="medium">
        <color rgb="FFFEFEFE"/>
      </left>
      <right style="thin"/>
      <top style="medium">
        <color rgb="FFFEFEFE"/>
      </top>
      <bottom style="medium">
        <color rgb="FFFEFEFE"/>
      </bottom>
      <diagonal/>
    </border>
    <border diagonalUp="false" diagonalDown="false">
      <left style="thin"/>
      <right style="thin"/>
      <top style="medium">
        <color rgb="FFFEFEFE"/>
      </top>
      <bottom style="medium">
        <color rgb="FFFEFEFE"/>
      </bottom>
      <diagonal/>
    </border>
    <border diagonalUp="false" diagonalDown="false">
      <left/>
      <right/>
      <top style="medium">
        <color rgb="FFFEFEFE"/>
      </top>
      <bottom style="medium">
        <color rgb="FFFEFEFE"/>
      </bottom>
      <diagonal/>
    </border>
    <border diagonalUp="false" diagonalDown="false">
      <left style="thin"/>
      <right/>
      <top style="medium">
        <color rgb="FFFEFEFE"/>
      </top>
      <bottom style="medium">
        <color rgb="FFFEFEFE"/>
      </bottom>
      <diagonal/>
    </border>
    <border diagonalUp="false" diagonalDown="false">
      <left style="thin"/>
      <right style="medium">
        <color rgb="FFFEFEFE"/>
      </right>
      <top style="medium">
        <color rgb="FFFEFEFE"/>
      </top>
      <bottom style="medium">
        <color rgb="FFFEFEFE"/>
      </bottom>
      <diagonal/>
    </border>
    <border diagonalUp="false" diagonalDown="false">
      <left/>
      <right/>
      <top style="medium">
        <color rgb="FFFF0000"/>
      </top>
      <bottom style="medium">
        <color rgb="FFFF0000"/>
      </bottom>
      <diagonal/>
    </border>
    <border diagonalUp="false" diagonalDown="false">
      <left style="thin"/>
      <right style="medium">
        <color rgb="FFFF0000"/>
      </right>
      <top/>
      <bottom/>
      <diagonal/>
    </border>
    <border diagonalUp="false" diagonalDown="false">
      <left style="medium"/>
      <right/>
      <top style="medium"/>
      <bottom style="medium"/>
      <diagonal/>
    </border>
    <border diagonalUp="false" diagonalDown="false">
      <left style="medium"/>
      <right/>
      <top style="medium"/>
      <bottom style="thin"/>
      <diagonal/>
    </border>
    <border diagonalUp="false" diagonalDown="false">
      <left style="medium">
        <color rgb="FFFF0000"/>
      </left>
      <right style="medium">
        <color rgb="FFFF0000"/>
      </right>
      <top style="medium">
        <color rgb="FFFF0000"/>
      </top>
      <bottom style="thin"/>
      <diagonal/>
    </border>
    <border diagonalUp="false" diagonalDown="false">
      <left style="medium">
        <color rgb="FFFF0000"/>
      </left>
      <right style="medium">
        <color rgb="FFFF0000"/>
      </right>
      <top/>
      <bottom style="thin"/>
      <diagonal/>
    </border>
    <border diagonalUp="false" diagonalDown="false">
      <left style="medium">
        <color rgb="FFFF0000"/>
      </left>
      <right style="medium">
        <color rgb="FFFF0000"/>
      </right>
      <top/>
      <bottom style="medium">
        <color rgb="FFFF0000"/>
      </bottom>
      <diagonal/>
    </border>
    <border diagonalUp="false" diagonalDown="false">
      <left style="medium">
        <color rgb="FFFEFEFE"/>
      </left>
      <right/>
      <top style="medium">
        <color rgb="FFFEFEFE"/>
      </top>
      <bottom style="medium">
        <color rgb="FFFEFEFE"/>
      </bottom>
      <diagonal/>
    </border>
    <border diagonalUp="false" diagonalDown="false">
      <left style="thin">
        <color rgb="FFFEFEFE"/>
      </left>
      <right/>
      <top style="medium">
        <color rgb="FFFEFEFE"/>
      </top>
      <bottom style="thin">
        <color rgb="FFFEFEFE"/>
      </bottom>
      <diagonal/>
    </border>
    <border diagonalUp="false" diagonalDown="false">
      <left style="medium">
        <color rgb="FFFEFEFE"/>
      </left>
      <right/>
      <top style="thin">
        <color rgb="FFFEFEFE"/>
      </top>
      <bottom style="medium">
        <color rgb="FFFEFEFE"/>
      </bottom>
      <diagonal/>
    </border>
    <border diagonalUp="false" diagonalDown="false">
      <left style="medium">
        <color rgb="FFFEFEFE"/>
      </left>
      <right style="thin">
        <color rgb="FFFEFEFE"/>
      </right>
      <top/>
      <bottom style="medium">
        <color rgb="FFFEFEFE"/>
      </bottom>
      <diagonal/>
    </border>
    <border diagonalUp="false" diagonalDown="false">
      <left style="thin">
        <color rgb="FFFEFEFE"/>
      </left>
      <right style="thin">
        <color rgb="FFFEFEFE"/>
      </right>
      <top/>
      <bottom style="medium">
        <color rgb="FFFEFEFE"/>
      </bottom>
      <diagonal/>
    </border>
    <border diagonalUp="false" diagonalDown="false">
      <left style="thin">
        <color rgb="FFFEFEFE"/>
      </left>
      <right/>
      <top/>
      <bottom style="medium">
        <color rgb="FFFEFEFE"/>
      </bottom>
      <diagonal/>
    </border>
    <border diagonalUp="false" diagonalDown="false">
      <left style="medium">
        <color rgb="FFFEFEFE"/>
      </left>
      <right style="thin">
        <color rgb="FFFEFEFE"/>
      </right>
      <top/>
      <bottom/>
      <diagonal/>
    </border>
    <border diagonalUp="false" diagonalDown="false">
      <left style="medium">
        <color rgb="FFFEFEFE"/>
      </left>
      <right/>
      <top/>
      <bottom style="thin">
        <color rgb="FFFEFEFE"/>
      </bottom>
      <diagonal/>
    </border>
    <border diagonalUp="false" diagonalDown="false">
      <left style="medium">
        <color rgb="FFFEFEFE"/>
      </left>
      <right/>
      <top style="thin">
        <color rgb="FFFEFEFE"/>
      </top>
      <bottom/>
      <diagonal/>
    </border>
    <border diagonalUp="false" diagonalDown="false">
      <left style="thin">
        <color rgb="FFFEFEFE"/>
      </left>
      <right/>
      <top style="medium">
        <color rgb="FFFEFEFE"/>
      </top>
      <bottom style="medium">
        <color rgb="FFFEFEFE"/>
      </bottom>
      <diagonal/>
    </border>
    <border diagonalUp="false" diagonalDown="false">
      <left style="medium">
        <color rgb="FFFEFEFE"/>
      </left>
      <right/>
      <top style="medium">
        <color rgb="FFFEFEFE"/>
      </top>
      <bottom style="thin"/>
      <diagonal/>
    </border>
    <border diagonalUp="false" diagonalDown="false">
      <left style="thin"/>
      <right style="medium">
        <color rgb="FFFEFEFE"/>
      </right>
      <top/>
      <bottom/>
      <diagonal/>
    </border>
    <border diagonalUp="false" diagonalDown="false">
      <left style="medium">
        <color rgb="FFFF6600"/>
      </left>
      <right/>
      <top style="medium">
        <color rgb="FFFF6600"/>
      </top>
      <bottom style="medium">
        <color rgb="FFFF6600"/>
      </bottom>
      <diagonal/>
    </border>
    <border diagonalUp="false" diagonalDown="false">
      <left/>
      <right style="medium">
        <color rgb="FFFF6600"/>
      </right>
      <top style="medium">
        <color rgb="FFFF6600"/>
      </top>
      <bottom style="medium">
        <color rgb="FFFF6600"/>
      </bottom>
      <diagonal/>
    </border>
    <border diagonalUp="false" diagonalDown="false">
      <left style="thin"/>
      <right style="thin"/>
      <top/>
      <bottom style="medium">
        <color rgb="FFFEFEFE"/>
      </bottom>
      <diagonal/>
    </border>
    <border diagonalUp="false" diagonalDown="false">
      <left style="medium">
        <color rgb="FFFF6600"/>
      </left>
      <right/>
      <top style="medium">
        <color rgb="FFFF6600"/>
      </top>
      <bottom style="medium">
        <color rgb="FFFF0000"/>
      </bottom>
      <diagonal/>
    </border>
    <border diagonalUp="false" diagonalDown="false">
      <left/>
      <right style="medium">
        <color rgb="FFFF6600"/>
      </right>
      <top style="medium">
        <color rgb="FFFF6600"/>
      </top>
      <bottom style="medium">
        <color rgb="FFFF0000"/>
      </bottom>
      <diagonal/>
    </border>
    <border diagonalUp="false" diagonalDown="false">
      <left style="thin"/>
      <right style="medium">
        <color rgb="FFFEFEFE"/>
      </right>
      <top/>
      <bottom style="medium">
        <color rgb="FFFEFEFE"/>
      </bottom>
      <diagonal/>
    </border>
    <border diagonalUp="false" diagonalDown="false">
      <left style="medium">
        <color rgb="FFFF6600"/>
      </left>
      <right/>
      <top/>
      <bottom/>
      <diagonal/>
    </border>
    <border diagonalUp="false" diagonalDown="false">
      <left style="thin"/>
      <right style="thin"/>
      <top style="thin">
        <color rgb="FFFEFEFE"/>
      </top>
      <bottom style="thin"/>
      <diagonal/>
    </border>
    <border diagonalUp="false" diagonalDown="false">
      <left/>
      <right/>
      <top style="thin"/>
      <bottom/>
      <diagonal/>
    </border>
    <border diagonalUp="false" diagonalDown="false">
      <left style="medium"/>
      <right/>
      <top/>
      <bottom style="thin"/>
      <diagonal/>
    </border>
    <border diagonalUp="false" diagonalDown="false">
      <left/>
      <right style="thin"/>
      <top style="medium">
        <color rgb="FFFEFEFE"/>
      </top>
      <bottom/>
      <diagonal/>
    </border>
    <border diagonalUp="false" diagonalDown="false">
      <left/>
      <right/>
      <top style="medium"/>
      <bottom style="medium"/>
      <diagonal/>
    </border>
    <border diagonalUp="false" diagonalDown="false">
      <left style="medium">
        <color rgb="FF008080"/>
      </left>
      <right style="medium">
        <color rgb="FF008080"/>
      </right>
      <top style="medium">
        <color rgb="FF008080"/>
      </top>
      <bottom style="medium">
        <color rgb="FF008080"/>
      </bottom>
      <diagonal/>
    </border>
    <border diagonalUp="false" diagonalDown="false">
      <left style="thin">
        <color rgb="FF333399"/>
      </left>
      <right style="thin">
        <color rgb="FF333399"/>
      </right>
      <top style="thin">
        <color rgb="FF333399"/>
      </top>
      <bottom style="thin">
        <color rgb="FF333399"/>
      </bottom>
      <diagonal/>
    </border>
    <border diagonalUp="false" diagonalDown="false">
      <left style="medium">
        <color rgb="FF008080"/>
      </left>
      <right style="medium">
        <color rgb="FF008080"/>
      </right>
      <top/>
      <bottom style="medium">
        <color rgb="FF008080"/>
      </bottom>
      <diagonal/>
    </border>
    <border diagonalUp="false" diagonalDown="false">
      <left/>
      <right style="medium">
        <color rgb="FF008080"/>
      </right>
      <top/>
      <bottom style="medium">
        <color rgb="FF008080"/>
      </bottom>
      <diagonal/>
    </border>
    <border diagonalUp="false" diagonalDown="false">
      <left style="thin">
        <color rgb="FF333399"/>
      </left>
      <right/>
      <top/>
      <bottom/>
      <diagonal/>
    </border>
    <border diagonalUp="false" diagonalDown="false">
      <left style="medium">
        <color rgb="FF008080"/>
      </left>
      <right style="medium">
        <color rgb="FF008080"/>
      </right>
      <top/>
      <bottom/>
      <diagonal/>
    </border>
    <border diagonalUp="false" diagonalDown="false">
      <left/>
      <right style="medium">
        <color rgb="FF008080"/>
      </right>
      <top/>
      <bottom/>
      <diagonal/>
    </border>
    <border diagonalUp="false" diagonalDown="false">
      <left style="thin">
        <color rgb="FF333333"/>
      </left>
      <right style="thin">
        <color rgb="FF333333"/>
      </right>
      <top style="thin">
        <color rgb="FF333333"/>
      </top>
      <bottom/>
      <diagonal/>
    </border>
    <border diagonalUp="false" diagonalDown="false">
      <left style="thin">
        <color rgb="FF333333"/>
      </left>
      <right style="thin">
        <color rgb="FF333333"/>
      </right>
      <top/>
      <bottom/>
      <diagonal/>
    </border>
    <border diagonalUp="false" diagonalDown="false">
      <left style="thin">
        <color rgb="FF333333"/>
      </left>
      <right style="thin">
        <color rgb="FF333333"/>
      </right>
      <top style="thin">
        <color rgb="FF333333"/>
      </top>
      <bottom style="thin">
        <color rgb="FF333333"/>
      </bottom>
      <diagonal/>
    </border>
    <border diagonalUp="false" diagonalDown="false">
      <left style="medium">
        <color rgb="FF969696"/>
      </left>
      <right/>
      <top style="medium">
        <color rgb="FF969696"/>
      </top>
      <bottom style="medium">
        <color rgb="FF969696"/>
      </bottom>
      <diagonal/>
    </border>
    <border diagonalUp="false" diagonalDown="false">
      <left/>
      <right/>
      <top style="medium">
        <color rgb="FF969696"/>
      </top>
      <bottom style="medium">
        <color rgb="FF969696"/>
      </bottom>
      <diagonal/>
    </border>
    <border diagonalUp="false" diagonalDown="false">
      <left/>
      <right style="medium">
        <color rgb="FF969696"/>
      </right>
      <top style="medium">
        <color rgb="FF969696"/>
      </top>
      <bottom style="medium">
        <color rgb="FF969696"/>
      </bottom>
      <diagonal/>
    </border>
    <border diagonalUp="false" diagonalDown="false">
      <left style="medium">
        <color rgb="FF99CCFF"/>
      </left>
      <right style="medium">
        <color rgb="FF99CCFF"/>
      </right>
      <top style="medium">
        <color rgb="FF969696"/>
      </top>
      <bottom style="medium">
        <color rgb="FF99CCFF"/>
      </bottom>
      <diagonal/>
    </border>
    <border diagonalUp="false" diagonalDown="false">
      <left/>
      <right style="medium">
        <color rgb="FF99CCFF"/>
      </right>
      <top/>
      <bottom style="medium">
        <color rgb="FF99CCFF"/>
      </bottom>
      <diagonal/>
    </border>
    <border diagonalUp="false" diagonalDown="false">
      <left style="medium">
        <color rgb="FF99CCFF"/>
      </left>
      <right style="medium">
        <color rgb="FF99CCFF"/>
      </right>
      <top/>
      <bottom style="medium">
        <color rgb="FF99CCFF"/>
      </bottom>
      <diagonal/>
    </border>
    <border diagonalUp="false" diagonalDown="false">
      <left style="medium">
        <color rgb="FF99CCFF"/>
      </left>
      <right style="medium">
        <color rgb="FF99CCFF"/>
      </right>
      <top style="medium">
        <color rgb="FF99CCFF"/>
      </top>
      <bottom style="medium">
        <color rgb="FF99CCFF"/>
      </bottom>
      <diagonal/>
    </border>
    <border diagonalUp="false" diagonalDown="false">
      <left style="medium">
        <color rgb="FFFF6600"/>
      </left>
      <right style="medium">
        <color rgb="FFFF6600"/>
      </right>
      <top style="medium">
        <color rgb="FFFF6600"/>
      </top>
      <bottom style="medium">
        <color rgb="FFFF6600"/>
      </bottom>
      <diagonal/>
    </border>
    <border diagonalUp="false" diagonalDown="false">
      <left/>
      <right/>
      <top style="medium">
        <color rgb="FFFF6600"/>
      </top>
      <bottom style="medium">
        <color rgb="FFFF6600"/>
      </bottom>
      <diagonal/>
    </border>
    <border diagonalUp="false" diagonalDown="false">
      <left style="medium">
        <color rgb="FFFF6600"/>
      </left>
      <right style="medium">
        <color rgb="FFFF6600"/>
      </right>
      <top style="medium">
        <color rgb="FFFF6600"/>
      </top>
      <bottom/>
      <diagonal/>
    </border>
    <border diagonalUp="false" diagonalDown="false">
      <left style="medium">
        <color rgb="FFFF6600"/>
      </left>
      <right/>
      <top style="medium">
        <color rgb="FFFF6600"/>
      </top>
      <bottom/>
      <diagonal/>
    </border>
    <border diagonalUp="false" diagonalDown="false">
      <left/>
      <right/>
      <top style="medium">
        <color rgb="FFFF6600"/>
      </top>
      <bottom/>
      <diagonal/>
    </border>
    <border diagonalUp="false" diagonalDown="false">
      <left/>
      <right style="medium">
        <color rgb="FFFF6600"/>
      </right>
      <top style="medium">
        <color rgb="FFFF6600"/>
      </top>
      <bottom/>
      <diagonal/>
    </border>
    <border diagonalUp="false" diagonalDown="false">
      <left/>
      <right style="medium">
        <color rgb="FFFF6600"/>
      </right>
      <top/>
      <bottom/>
      <diagonal/>
    </border>
    <border diagonalUp="false" diagonalDown="false">
      <left style="medium">
        <color rgb="FFFF6600"/>
      </left>
      <right/>
      <top/>
      <bottom style="medium">
        <color rgb="FFFF6600"/>
      </bottom>
      <diagonal/>
    </border>
    <border diagonalUp="false" diagonalDown="false">
      <left/>
      <right/>
      <top/>
      <bottom style="medium">
        <color rgb="FFFF6600"/>
      </bottom>
      <diagonal/>
    </border>
    <border diagonalUp="false" diagonalDown="false">
      <left/>
      <right style="medium">
        <color rgb="FFFF6600"/>
      </right>
      <top/>
      <bottom style="medium">
        <color rgb="FFFF6600"/>
      </bottom>
      <diagonal/>
    </border>
    <border diagonalUp="false" diagonalDown="false">
      <left style="medium">
        <color rgb="FFFF6600"/>
      </left>
      <right style="medium">
        <color rgb="FFFF6600"/>
      </right>
      <top/>
      <bottom style="medium">
        <color rgb="FFFF6600"/>
      </bottom>
      <diagonal/>
    </border>
    <border diagonalUp="false" diagonalDown="false">
      <left style="thick"/>
      <right style="medium"/>
      <top style="thick"/>
      <bottom style="medium"/>
      <diagonal/>
    </border>
    <border diagonalUp="false" diagonalDown="false">
      <left/>
      <right style="medium"/>
      <top style="thick"/>
      <bottom/>
      <diagonal/>
    </border>
    <border diagonalUp="false" diagonalDown="false">
      <left/>
      <right/>
      <top style="thick"/>
      <bottom/>
      <diagonal/>
    </border>
    <border diagonalUp="false" diagonalDown="false">
      <left/>
      <right style="thick"/>
      <top style="thick"/>
      <bottom/>
      <diagonal/>
    </border>
    <border diagonalUp="false" diagonalDown="false">
      <left style="thick"/>
      <right/>
      <top style="medium"/>
      <bottom style="medium"/>
      <diagonal/>
    </border>
    <border diagonalUp="false" diagonalDown="false">
      <left/>
      <right style="medium"/>
      <top/>
      <bottom style="thin"/>
      <diagonal/>
    </border>
    <border diagonalUp="false" diagonalDown="false">
      <left style="medium"/>
      <right style="medium"/>
      <top/>
      <bottom/>
      <diagonal/>
    </border>
    <border diagonalUp="false" diagonalDown="false">
      <left style="thick"/>
      <right/>
      <top style="medium"/>
      <bottom/>
      <diagonal/>
    </border>
    <border diagonalUp="false" diagonalDown="false">
      <left style="thin"/>
      <right style="thin"/>
      <top style="medium"/>
      <bottom/>
      <diagonal/>
    </border>
    <border diagonalUp="false" diagonalDown="false">
      <left/>
      <right/>
      <top style="medium"/>
      <bottom style="thin"/>
      <diagonal/>
    </border>
    <border diagonalUp="false" diagonalDown="false">
      <left style="thick"/>
      <right style="medium"/>
      <top/>
      <bottom style="medium"/>
      <diagonal/>
    </border>
    <border diagonalUp="false" diagonalDown="false">
      <left/>
      <right style="thick"/>
      <top/>
      <bottom/>
      <diagonal/>
    </border>
    <border diagonalUp="false" diagonalDown="false">
      <left style="medium"/>
      <right/>
      <top style="medium"/>
      <bottom/>
      <diagonal/>
    </border>
    <border diagonalUp="false" diagonalDown="false">
      <left/>
      <right/>
      <top style="medium"/>
      <bottom/>
      <diagonal/>
    </border>
    <border diagonalUp="false" diagonalDown="false">
      <left style="thin"/>
      <right/>
      <top style="medium"/>
      <bottom/>
      <diagonal/>
    </border>
    <border diagonalUp="false" diagonalDown="false">
      <left/>
      <right style="medium"/>
      <top style="medium"/>
      <bottom/>
      <diagonal/>
    </border>
    <border diagonalUp="false" diagonalDown="false">
      <left style="thin">
        <color rgb="FFFEFEFE"/>
      </left>
      <right style="thin">
        <color rgb="FFCC99FF"/>
      </right>
      <top style="thin">
        <color rgb="FFFEFEFE"/>
      </top>
      <bottom/>
      <diagonal/>
    </border>
    <border diagonalUp="false" diagonalDown="false">
      <left style="thin">
        <color rgb="FFFEFEFE"/>
      </left>
      <right style="thin">
        <color rgb="FFFEFEFE"/>
      </right>
      <top style="thin"/>
      <bottom style="thin">
        <color rgb="FFFEFEFE"/>
      </bottom>
      <diagonal/>
    </border>
    <border diagonalUp="false" diagonalDown="false">
      <left/>
      <right style="thin"/>
      <top style="thin">
        <color rgb="FFFEFEFE"/>
      </top>
      <bottom style="thin"/>
      <diagonal/>
    </border>
    <border diagonalUp="false" diagonalDown="false">
      <left style="medium"/>
      <right/>
      <top/>
      <bottom style="medium"/>
      <diagonal/>
    </border>
    <border diagonalUp="false" diagonalDown="false">
      <left style="thin"/>
      <right style="thin">
        <color rgb="FFCC99FF"/>
      </right>
      <top style="thin"/>
      <bottom/>
      <diagonal/>
    </border>
    <border diagonalUp="false" diagonalDown="false">
      <left/>
      <right style="thin">
        <color rgb="FFCC99FF"/>
      </right>
      <top/>
      <bottom style="thin"/>
      <diagonal/>
    </border>
    <border diagonalUp="false" diagonalDown="false">
      <left style="thin"/>
      <right style="thin">
        <color rgb="FFCC99FF"/>
      </right>
      <top/>
      <bottom/>
      <diagonal/>
    </border>
    <border diagonalUp="false" diagonalDown="false">
      <left style="thin"/>
      <right style="thin">
        <color rgb="FFFEFEFE"/>
      </right>
      <top style="thin">
        <color rgb="FFFEFEFE"/>
      </top>
      <bottom/>
      <diagonal/>
    </border>
    <border diagonalUp="false" diagonalDown="false">
      <left/>
      <right style="thin"/>
      <top style="thin">
        <color rgb="FFFEFEFE"/>
      </top>
      <bottom style="thin">
        <color rgb="FFFEFEFE"/>
      </bottom>
      <diagonal/>
    </border>
    <border diagonalUp="false" diagonalDown="false">
      <left style="thin"/>
      <right style="thin">
        <color rgb="FFFEFEFE"/>
      </right>
      <top style="thin">
        <color rgb="FFFEFEFE"/>
      </top>
      <bottom style="thin">
        <color rgb="FFFEFEFE"/>
      </bottom>
      <diagonal/>
    </border>
    <border diagonalUp="false" diagonalDown="false">
      <left style="thin">
        <color rgb="FFFEFEFE"/>
      </left>
      <right style="thin"/>
      <top style="thin">
        <color rgb="FFFEFEFE"/>
      </top>
      <bottom/>
      <diagonal/>
    </border>
    <border diagonalUp="false" diagonalDown="false">
      <left/>
      <right style="thin"/>
      <top style="medium"/>
      <bottom/>
      <diagonal/>
    </border>
    <border diagonalUp="false" diagonalDown="false">
      <left/>
      <right style="thin"/>
      <top/>
      <bottom style="thin">
        <color rgb="FF0000FF"/>
      </bottom>
      <diagonal/>
    </border>
    <border diagonalUp="false" diagonalDown="false">
      <left/>
      <right style="thin"/>
      <top style="thin">
        <color rgb="FF0000FF"/>
      </top>
      <bottom style="thin"/>
      <diagonal/>
    </border>
    <border diagonalUp="false" diagonalDown="false">
      <left style="thin"/>
      <right style="thin">
        <color rgb="FF0000FF"/>
      </right>
      <top style="thin"/>
      <bottom/>
      <diagonal/>
    </border>
    <border diagonalUp="false" diagonalDown="false">
      <left style="thin"/>
      <right style="thin">
        <color rgb="FFFEFEFE"/>
      </right>
      <top style="thin"/>
      <bottom style="thin"/>
      <diagonal/>
    </border>
    <border diagonalUp="false" diagonalDown="false">
      <left style="thin">
        <color rgb="FFCC99FF"/>
      </left>
      <right style="thin"/>
      <top style="thin"/>
      <bottom style="thin"/>
      <diagonal/>
    </border>
    <border diagonalUp="false" diagonalDown="false">
      <left/>
      <right style="thin">
        <color rgb="FFCC99FF"/>
      </right>
      <top/>
      <bottom/>
      <diagonal/>
    </border>
    <border diagonalUp="false" diagonalDown="false">
      <left style="thin"/>
      <right/>
      <top style="thin">
        <color rgb="FFFEFEFE"/>
      </top>
      <bottom style="thin">
        <color rgb="FFFEFEFE"/>
      </bottom>
      <diagonal/>
    </border>
    <border diagonalUp="false" diagonalDown="false">
      <left/>
      <right style="medium">
        <color rgb="FFFEFEFE"/>
      </right>
      <top style="medium">
        <color rgb="FFFEFEFE"/>
      </top>
      <bottom style="medium">
        <color rgb="FFFEFEFE"/>
      </bottom>
      <diagonal/>
    </border>
    <border diagonalUp="false" diagonalDown="false">
      <left style="medium">
        <color rgb="FFFEFEFE"/>
      </left>
      <right style="medium"/>
      <top style="medium">
        <color rgb="FFFEFEFE"/>
      </top>
      <bottom style="medium">
        <color rgb="FFFEFEFE"/>
      </bottom>
      <diagonal/>
    </border>
    <border diagonalUp="false" diagonalDown="false">
      <left/>
      <right style="thin"/>
      <top style="medium">
        <color rgb="FFFEFEFE"/>
      </top>
      <bottom style="thin"/>
      <diagonal/>
    </border>
    <border diagonalUp="false" diagonalDown="false">
      <left/>
      <right style="thin"/>
      <top style="thin"/>
      <bottom style="medium">
        <color rgb="FFFEFEFE"/>
      </bottom>
      <diagonal/>
    </border>
    <border diagonalUp="false" diagonalDown="false">
      <left/>
      <right/>
      <top style="medium">
        <color rgb="FFFEFEFE"/>
      </top>
      <bottom style="thin"/>
      <diagonal/>
    </border>
    <border diagonalUp="false" diagonalDown="false">
      <left/>
      <right/>
      <top style="medium">
        <color rgb="FFFEFEFE"/>
      </top>
      <bottom style="thin">
        <color rgb="FFFEFEFE"/>
      </bottom>
      <diagonal/>
    </border>
    <border diagonalUp="false" diagonalDown="false">
      <left/>
      <right/>
      <top style="thin">
        <color rgb="FFFEFEFE"/>
      </top>
      <bottom style="medium">
        <color rgb="FFFEFEFE"/>
      </bottom>
      <diagonal/>
    </border>
  </borders>
  <cellStyleXfs count="5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1"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182" fontId="0" fillId="0" borderId="0" applyFont="true" applyBorder="false" applyAlignment="true" applyProtection="false">
      <alignment horizontal="general" vertical="bottom" textRotation="0" wrapText="false" indent="0" shrinkToFit="false"/>
    </xf>
    <xf numFmtId="42" fontId="1" fillId="0" borderId="0" applyFont="true" applyBorder="false" applyAlignment="false" applyProtection="false"/>
    <xf numFmtId="169" fontId="0" fillId="0" borderId="0" applyFont="true" applyBorder="false" applyAlignment="true" applyProtection="false">
      <alignment horizontal="general" vertical="bottom" textRotation="0" wrapText="false" indent="0" shrinkToFit="false"/>
    </xf>
    <xf numFmtId="164" fontId="90" fillId="0"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top" textRotation="0" wrapText="false" indent="0" shrinkToFit="false"/>
    </xf>
    <xf numFmtId="164" fontId="4" fillId="3" borderId="0" applyFont="true" applyBorder="false" applyAlignment="true" applyProtection="false">
      <alignment horizontal="general" vertical="top" textRotation="0" wrapText="false" indent="0" shrinkToFit="false"/>
    </xf>
    <xf numFmtId="164" fontId="4" fillId="4" borderId="0" applyFont="true" applyBorder="false" applyAlignment="true" applyProtection="false">
      <alignment horizontal="general" vertical="top" textRotation="0" wrapText="false" indent="0" shrinkToFit="false"/>
    </xf>
    <xf numFmtId="164" fontId="5" fillId="5" borderId="1" applyFont="true" applyBorder="true" applyAlignment="true" applyProtection="true">
      <alignment horizontal="center" vertical="center" textRotation="0" wrapText="true" indent="0" shrinkToFit="false"/>
      <protection locked="true" hidden="false"/>
    </xf>
    <xf numFmtId="164" fontId="5" fillId="6" borderId="0" applyFont="true" applyBorder="false" applyAlignment="true" applyProtection="true">
      <alignment horizontal="center" vertical="center" textRotation="0" wrapText="true" indent="0" shrinkToFit="false"/>
      <protection locked="true" hidden="false"/>
    </xf>
    <xf numFmtId="164" fontId="6" fillId="7" borderId="1" applyFont="true" applyBorder="true" applyAlignment="true" applyProtection="true">
      <alignment horizontal="center" vertical="center" textRotation="0" wrapText="true" indent="0" shrinkToFit="false"/>
      <protection locked="true" hidden="false"/>
    </xf>
    <xf numFmtId="164" fontId="6" fillId="2" borderId="1" applyFont="true" applyBorder="true" applyAlignment="true" applyProtection="true">
      <alignment horizontal="center" vertical="center" textRotation="0" wrapText="true" indent="0" shrinkToFit="false"/>
      <protection locked="true" hidden="false"/>
    </xf>
    <xf numFmtId="164" fontId="6" fillId="8" borderId="1" applyFont="true" applyBorder="true" applyAlignment="true" applyProtection="true">
      <alignment horizontal="center" vertical="center" textRotation="0" wrapText="true" indent="0" shrinkToFit="false"/>
      <protection locked="true" hidden="false"/>
    </xf>
    <xf numFmtId="164" fontId="6" fillId="9" borderId="1" applyFont="true" applyBorder="true" applyAlignment="true" applyProtection="true">
      <alignment horizontal="center" vertical="center" textRotation="0" wrapText="true" indent="0" shrinkToFit="false"/>
      <protection locked="true" hidden="false"/>
    </xf>
    <xf numFmtId="164" fontId="6" fillId="10" borderId="1" applyFont="true" applyBorder="true" applyAlignment="true" applyProtection="true">
      <alignment horizontal="center" vertical="center" textRotation="0" wrapText="true" indent="0" shrinkToFit="false"/>
      <protection locked="true" hidden="false"/>
    </xf>
    <xf numFmtId="164" fontId="6" fillId="11" borderId="1" applyFont="true" applyBorder="true" applyAlignment="true" applyProtection="true">
      <alignment horizontal="center" vertical="center" textRotation="0" wrapText="true" indent="0" shrinkToFit="false"/>
      <protection locked="true" hidden="false"/>
    </xf>
    <xf numFmtId="164" fontId="6" fillId="12" borderId="1" applyFont="true" applyBorder="true" applyAlignment="true" applyProtection="true">
      <alignment horizontal="center" vertical="center" textRotation="0" wrapText="true" indent="0" shrinkToFit="false"/>
      <protection locked="true" hidden="false"/>
    </xf>
    <xf numFmtId="164" fontId="5" fillId="13" borderId="1" applyFont="true" applyBorder="true" applyAlignment="true" applyProtection="true">
      <alignment horizontal="general" vertical="bottom" textRotation="0" wrapText="false" indent="0" shrinkToFit="false"/>
      <protection locked="true" hidden="false"/>
    </xf>
    <xf numFmtId="164" fontId="5" fillId="13" borderId="1" applyFont="true" applyBorder="true" applyAlignment="true" applyProtection="true">
      <alignment horizontal="general" vertical="center" textRotation="0" wrapText="false" indent="0" shrinkToFit="false"/>
      <protection locked="true" hidden="false"/>
    </xf>
    <xf numFmtId="164" fontId="5" fillId="4" borderId="1" applyFont="true" applyBorder="true" applyAlignment="true" applyProtection="true">
      <alignment horizontal="general" vertical="center" textRotation="0" wrapText="false" indent="0" shrinkToFit="false"/>
      <protection locked="true" hidden="false"/>
    </xf>
    <xf numFmtId="164" fontId="5" fillId="14" borderId="1" applyFont="true" applyBorder="true" applyAlignment="true" applyProtection="true">
      <alignment horizontal="general" vertical="center" textRotation="0" wrapText="false" indent="0" shrinkToFit="false"/>
      <protection locked="true" hidden="false"/>
    </xf>
    <xf numFmtId="164" fontId="0" fillId="15" borderId="0" applyFont="true" applyBorder="false" applyAlignment="true" applyProtection="false">
      <alignment horizontal="general" vertical="bottom" textRotation="0" wrapText="false" indent="0" shrinkToFit="false"/>
    </xf>
    <xf numFmtId="164" fontId="7" fillId="15" borderId="1" applyFont="true" applyBorder="true" applyAlignment="true" applyProtection="true">
      <alignment horizontal="center" vertical="center" textRotation="0" wrapText="true" indent="0" shrinkToFit="false"/>
      <protection locked="true" hidden="false"/>
    </xf>
    <xf numFmtId="164" fontId="7" fillId="16" borderId="1" applyFont="true" applyBorder="true" applyAlignment="true" applyProtection="true">
      <alignment horizontal="center" vertical="center" textRotation="0" wrapText="true" indent="0" shrinkToFit="false"/>
      <protection locked="true" hidden="false"/>
    </xf>
    <xf numFmtId="164" fontId="8" fillId="13" borderId="1" applyFont="true" applyBorder="true" applyAlignment="true" applyProtection="true">
      <alignment horizontal="center" vertical="center" textRotation="0" wrapText="true" indent="0" shrinkToFit="false"/>
      <protection locked="true" hidden="false"/>
    </xf>
    <xf numFmtId="164" fontId="0" fillId="17"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18" borderId="0" applyFont="true" applyBorder="false" applyAlignment="true" applyProtection="false">
      <alignment horizontal="general" vertical="bottom" textRotation="0" wrapText="false" indent="0" shrinkToFit="false"/>
    </xf>
    <xf numFmtId="164" fontId="0" fillId="3" borderId="0" applyFont="true" applyBorder="false" applyAlignment="true" applyProtection="false">
      <alignment horizontal="general" vertical="bottom" textRotation="0" wrapText="false" indent="0" shrinkToFit="false"/>
    </xf>
    <xf numFmtId="164" fontId="0" fillId="19" borderId="0" applyFont="true" applyBorder="false" applyAlignment="true" applyProtection="false">
      <alignment horizontal="general" vertical="bottom" textRotation="0" wrapText="false" indent="0" shrinkToFit="false"/>
    </xf>
    <xf numFmtId="164" fontId="0" fillId="14" borderId="0" applyFont="true" applyBorder="false" applyAlignment="true" applyProtection="false">
      <alignment horizontal="general" vertical="bottom" textRotation="0" wrapText="false" indent="0" shrinkToFit="false"/>
    </xf>
    <xf numFmtId="164" fontId="0" fillId="14" borderId="0" applyFont="true" applyBorder="false" applyAlignment="true" applyProtection="false">
      <alignment horizontal="general" vertical="bottom" textRotation="0" wrapText="false" indent="0" shrinkToFit="false"/>
    </xf>
    <xf numFmtId="164" fontId="9" fillId="4" borderId="0" applyFont="true" applyBorder="false" applyAlignment="true" applyProtection="false">
      <alignment horizontal="center" vertical="center" textRotation="0" wrapText="true" indent="0" shrinkToFit="false"/>
    </xf>
    <xf numFmtId="164" fontId="0" fillId="19" borderId="0" applyFont="true" applyBorder="false" applyAlignment="true" applyProtection="false">
      <alignment horizontal="general" vertical="bottom" textRotation="0" wrapText="false" indent="0" shrinkToFit="false"/>
    </xf>
    <xf numFmtId="164" fontId="0" fillId="14" borderId="0" applyFont="true" applyBorder="false" applyAlignment="true" applyProtection="false">
      <alignment horizontal="general" vertical="bottom" textRotation="0" wrapText="false" indent="0" shrinkToFit="false"/>
    </xf>
    <xf numFmtId="164" fontId="19" fillId="20" borderId="0" applyFont="true" applyBorder="false" applyAlignment="true" applyProtection="false">
      <alignment horizontal="general" vertical="bottom" textRotation="0" wrapText="false" indent="0" shrinkToFit="false"/>
    </xf>
    <xf numFmtId="164" fontId="0" fillId="21" borderId="2" applyFont="true" applyBorder="true" applyAlignment="true" applyProtection="false">
      <alignment horizontal="general" vertical="bottom" textRotation="0" wrapText="false" indent="0" shrinkToFit="false"/>
    </xf>
  </cellStyleXfs>
  <cellXfs count="2651">
    <xf numFmtId="164" fontId="0" fillId="0" borderId="0" xfId="0" applyFont="false" applyBorder="false" applyAlignment="false" applyProtection="false">
      <alignment horizontal="general" vertical="bottom" textRotation="0" wrapText="false" indent="0" shrinkToFit="false"/>
      <protection locked="true" hidden="false"/>
    </xf>
    <xf numFmtId="164" fontId="10" fillId="0" borderId="1" xfId="0" applyFont="true" applyBorder="true" applyAlignment="true" applyProtection="false">
      <alignment horizontal="center" vertical="center" textRotation="0" wrapText="true" indent="0" shrinkToFit="false"/>
      <protection locked="true" hidden="false"/>
    </xf>
    <xf numFmtId="164" fontId="10" fillId="0" borderId="3" xfId="0" applyFont="true" applyBorder="true" applyAlignment="true" applyProtection="false">
      <alignment horizontal="center" vertical="center" textRotation="0" wrapText="true" indent="0" shrinkToFit="false"/>
      <protection locked="true" hidden="false"/>
    </xf>
    <xf numFmtId="164" fontId="11" fillId="0" borderId="4" xfId="0" applyFont="true" applyBorder="true" applyAlignment="true" applyProtection="false">
      <alignment horizontal="general" vertical="center" textRotation="0" wrapText="true" indent="0" shrinkToFit="false"/>
      <protection locked="true" hidden="false"/>
    </xf>
    <xf numFmtId="164" fontId="11" fillId="0" borderId="5" xfId="0" applyFont="true" applyBorder="true" applyAlignment="true" applyProtection="false">
      <alignment horizontal="center" vertical="center" textRotation="0" wrapText="true" indent="0" shrinkToFit="false"/>
      <protection locked="true" hidden="false"/>
    </xf>
    <xf numFmtId="164" fontId="11" fillId="22" borderId="5" xfId="0" applyFont="true" applyBorder="true" applyAlignment="true" applyProtection="false">
      <alignment horizontal="general" vertical="center" textRotation="0" wrapText="true" indent="0" shrinkToFit="false"/>
      <protection locked="true" hidden="false"/>
    </xf>
    <xf numFmtId="164" fontId="11" fillId="0" borderId="5" xfId="0" applyFont="true" applyBorder="true" applyAlignment="true" applyProtection="false">
      <alignment horizontal="general" vertical="center" textRotation="0" wrapText="true" indent="0" shrinkToFit="false"/>
      <protection locked="true" hidden="false"/>
    </xf>
    <xf numFmtId="164" fontId="11" fillId="0" borderId="4" xfId="0" applyFont="true" applyBorder="true" applyAlignment="true" applyProtection="false">
      <alignment horizontal="justify" vertical="center" textRotation="0" wrapText="true" indent="0" shrinkToFit="false"/>
      <protection locked="true" hidden="false"/>
    </xf>
    <xf numFmtId="164" fontId="10" fillId="0" borderId="4" xfId="0" applyFont="true" applyBorder="true" applyAlignment="true" applyProtection="false">
      <alignment horizontal="general" vertical="center" textRotation="0" wrapText="true" indent="0" shrinkToFit="false"/>
      <protection locked="true" hidden="false"/>
    </xf>
    <xf numFmtId="164" fontId="10" fillId="0" borderId="5" xfId="0" applyFont="true" applyBorder="true" applyAlignment="true" applyProtection="false">
      <alignment horizontal="center" vertical="center" textRotation="0" wrapText="true" indent="0" shrinkToFit="false"/>
      <protection locked="true" hidden="false"/>
    </xf>
    <xf numFmtId="164" fontId="11" fillId="5" borderId="5" xfId="0" applyFont="true" applyBorder="true" applyAlignment="true" applyProtection="false">
      <alignment horizontal="general" vertical="center" textRotation="0" wrapText="tru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17" fillId="0" borderId="0" xfId="0" applyFont="true" applyBorder="false" applyAlignment="true" applyProtection="false">
      <alignment horizontal="general" vertical="bottom" textRotation="0" wrapText="true" indent="0" shrinkToFit="false"/>
      <protection locked="true" hidden="false"/>
    </xf>
    <xf numFmtId="164" fontId="18" fillId="20" borderId="1" xfId="51" applyFont="true" applyBorder="true" applyAlignment="true" applyProtection="true">
      <alignment horizontal="center" vertical="center" textRotation="0" wrapText="false" indent="0" shrinkToFit="false"/>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4" fontId="17" fillId="0" borderId="0" xfId="0" applyFont="true" applyBorder="false" applyAlignment="true" applyProtection="false">
      <alignment horizontal="right" vertical="bottom" textRotation="0" wrapText="false" indent="0" shrinkToFit="false"/>
      <protection locked="true" hidden="false"/>
    </xf>
    <xf numFmtId="164" fontId="17" fillId="0" borderId="0" xfId="0" applyFont="true" applyBorder="false" applyAlignment="true" applyProtection="false">
      <alignment horizontal="left" vertical="bottom" textRotation="0" wrapText="false" indent="0" shrinkToFit="false"/>
      <protection locked="true" hidden="false"/>
    </xf>
    <xf numFmtId="165" fontId="17" fillId="0" borderId="0" xfId="0" applyFont="true" applyBorder="false" applyAlignment="true" applyProtection="false">
      <alignment horizontal="left" vertical="bottom" textRotation="0" wrapText="false" indent="0" shrinkToFit="false"/>
      <protection locked="true" hidden="false"/>
    </xf>
    <xf numFmtId="164" fontId="20" fillId="0" borderId="0" xfId="0" applyFont="true" applyBorder="true" applyAlignment="false" applyProtection="false">
      <alignment horizontal="general" vertical="bottom" textRotation="0" wrapText="false" indent="0" shrinkToFit="false"/>
      <protection locked="true" hidden="false"/>
    </xf>
    <xf numFmtId="164" fontId="17" fillId="0" borderId="0" xfId="0" applyFont="true" applyBorder="true" applyAlignment="false" applyProtection="false">
      <alignment horizontal="general" vertical="bottom" textRotation="0" wrapText="false" indent="0" shrinkToFit="false"/>
      <protection locked="true" hidden="false"/>
    </xf>
    <xf numFmtId="164" fontId="21" fillId="0" borderId="0" xfId="0" applyFont="true" applyBorder="false" applyAlignment="true" applyProtection="false">
      <alignment horizontal="left" vertical="center" textRotation="0" wrapText="false" indent="0" shrinkToFit="false"/>
      <protection locked="true" hidden="false"/>
    </xf>
    <xf numFmtId="164" fontId="17" fillId="23" borderId="6" xfId="0" applyFont="true" applyBorder="true" applyAlignment="false" applyProtection="false">
      <alignment horizontal="general" vertical="bottom" textRotation="0" wrapText="false" indent="0" shrinkToFit="false"/>
      <protection locked="true" hidden="false"/>
    </xf>
    <xf numFmtId="164" fontId="17" fillId="0" borderId="7" xfId="0" applyFont="true" applyBorder="true" applyAlignment="false" applyProtection="false">
      <alignment horizontal="general" vertical="bottom" textRotation="0" wrapText="false" indent="0" shrinkToFit="false"/>
      <protection locked="true" hidden="false"/>
    </xf>
    <xf numFmtId="164" fontId="17" fillId="0" borderId="8" xfId="0" applyFont="true" applyBorder="true" applyAlignment="false" applyProtection="false">
      <alignment horizontal="general" vertical="bottom" textRotation="0" wrapText="false" indent="0" shrinkToFit="false"/>
      <protection locked="true" hidden="false"/>
    </xf>
    <xf numFmtId="164" fontId="0" fillId="19" borderId="6" xfId="45" applyFont="true" applyBorder="true" applyAlignment="true" applyProtection="true">
      <alignment horizontal="left" vertical="center" textRotation="0" wrapText="true" indent="0" shrinkToFit="false"/>
      <protection locked="true" hidden="false"/>
    </xf>
    <xf numFmtId="164" fontId="17" fillId="24" borderId="6" xfId="0" applyFont="true" applyBorder="true" applyAlignment="false" applyProtection="false">
      <alignment horizontal="general" vertical="bottom" textRotation="0" wrapText="false" indent="0" shrinkToFit="false"/>
      <protection locked="true" hidden="false"/>
    </xf>
    <xf numFmtId="164" fontId="17" fillId="0" borderId="6" xfId="0" applyFont="true" applyBorder="true" applyAlignment="true" applyProtection="false">
      <alignment horizontal="left" vertical="center" textRotation="0" wrapText="false" indent="0" shrinkToFit="false"/>
      <protection locked="true" hidden="false"/>
    </xf>
    <xf numFmtId="164" fontId="0" fillId="15" borderId="6" xfId="37" applyFont="true" applyBorder="true" applyAlignment="true" applyProtection="true">
      <alignment horizontal="left" vertical="center" textRotation="0" wrapText="true" indent="0" shrinkToFit="false"/>
      <protection locked="true" hidden="false"/>
    </xf>
    <xf numFmtId="164" fontId="17" fillId="0" borderId="0" xfId="0" applyFont="true" applyBorder="true" applyAlignment="true" applyProtection="false">
      <alignment horizontal="center" vertical="bottom" textRotation="0" wrapText="false" indent="0" shrinkToFit="false"/>
      <protection locked="true" hidden="false"/>
    </xf>
    <xf numFmtId="164" fontId="22" fillId="25" borderId="6" xfId="0" applyFont="true" applyBorder="true" applyAlignment="false" applyProtection="false">
      <alignment horizontal="general" vertical="bottom" textRotation="0" wrapText="false" indent="0" shrinkToFit="false"/>
      <protection locked="true" hidden="false"/>
    </xf>
    <xf numFmtId="164" fontId="0" fillId="14" borderId="6" xfId="50" applyFont="true" applyBorder="true" applyAlignment="true" applyProtection="true">
      <alignment horizontal="left" vertical="center" textRotation="0" wrapText="true" indent="0" shrinkToFit="false"/>
      <protection locked="true" hidden="false"/>
    </xf>
    <xf numFmtId="164" fontId="17" fillId="26" borderId="6" xfId="0" applyFont="true" applyBorder="true" applyAlignment="false" applyProtection="false">
      <alignment horizontal="general" vertical="bottom" textRotation="0" wrapText="false" indent="0" shrinkToFit="false"/>
      <protection locked="true" hidden="false"/>
    </xf>
    <xf numFmtId="164" fontId="17" fillId="0" borderId="9" xfId="0" applyFont="true" applyBorder="true" applyAlignment="false" applyProtection="false">
      <alignment horizontal="general" vertical="bottom" textRotation="0" wrapText="false" indent="0" shrinkToFit="false"/>
      <protection locked="true" hidden="false"/>
    </xf>
    <xf numFmtId="164" fontId="17" fillId="0" borderId="10" xfId="0" applyFont="true" applyBorder="true" applyAlignment="false" applyProtection="false">
      <alignment horizontal="general" vertical="bottom" textRotation="0" wrapText="false" indent="0" shrinkToFit="false"/>
      <protection locked="true" hidden="false"/>
    </xf>
    <xf numFmtId="164" fontId="0" fillId="3" borderId="6" xfId="44" applyFont="true" applyBorder="true" applyAlignment="true" applyProtection="true">
      <alignment horizontal="left" vertical="center" textRotation="0" wrapText="true" indent="0" shrinkToFit="false"/>
      <protection locked="true" hidden="false"/>
    </xf>
    <xf numFmtId="164" fontId="17" fillId="0" borderId="6" xfId="0" applyFont="true" applyBorder="true" applyAlignment="false" applyProtection="false">
      <alignment horizontal="general" vertical="bottom" textRotation="0" wrapText="false" indent="0" shrinkToFit="false"/>
      <protection locked="true" hidden="false"/>
    </xf>
    <xf numFmtId="164" fontId="23" fillId="19" borderId="6" xfId="49" applyFont="true" applyBorder="true" applyAlignment="true" applyProtection="true">
      <alignment horizontal="left" vertical="center" textRotation="0" wrapText="true" indent="0" shrinkToFit="false"/>
      <protection locked="true" hidden="false"/>
    </xf>
    <xf numFmtId="164" fontId="17" fillId="7" borderId="6" xfId="0" applyFont="true" applyBorder="true" applyAlignment="false" applyProtection="false">
      <alignment horizontal="general" vertical="bottom" textRotation="0" wrapText="false" indent="0" shrinkToFit="false"/>
      <protection locked="true" hidden="false"/>
    </xf>
    <xf numFmtId="164" fontId="17" fillId="0" borderId="6" xfId="0" applyFont="true" applyBorder="true" applyAlignment="true" applyProtection="false">
      <alignment horizontal="center" vertical="center" textRotation="0" wrapText="true" indent="0" shrinkToFit="false"/>
      <protection locked="true" hidden="false"/>
    </xf>
    <xf numFmtId="164" fontId="17" fillId="0" borderId="11" xfId="0" applyFont="true" applyBorder="true" applyAlignment="false" applyProtection="false">
      <alignment horizontal="general" vertical="bottom" textRotation="0" wrapText="false" indent="0" shrinkToFit="false"/>
      <protection locked="true" hidden="false"/>
    </xf>
    <xf numFmtId="164" fontId="0" fillId="18" borderId="6" xfId="43" applyFont="true" applyBorder="true" applyAlignment="true" applyProtection="true">
      <alignment horizontal="left" vertical="bottom" textRotation="0" wrapText="true" indent="0" shrinkToFit="false"/>
      <protection locked="true" hidden="false"/>
    </xf>
    <xf numFmtId="164" fontId="17" fillId="20" borderId="6" xfId="0" applyFont="true" applyBorder="true" applyAlignment="false" applyProtection="false">
      <alignment horizontal="general" vertical="bottom" textRotation="0" wrapText="false" indent="0" shrinkToFit="false"/>
      <protection locked="true" hidden="false"/>
    </xf>
    <xf numFmtId="164" fontId="17" fillId="0" borderId="12" xfId="0" applyFont="true" applyBorder="true" applyAlignment="false" applyProtection="false">
      <alignment horizontal="general" vertical="bottom" textRotation="0" wrapText="false" indent="0" shrinkToFit="false"/>
      <protection locked="true" hidden="false"/>
    </xf>
    <xf numFmtId="164" fontId="0" fillId="17" borderId="13" xfId="41" applyFont="true" applyBorder="true" applyAlignment="true" applyProtection="true">
      <alignment horizontal="left" vertical="bottom" textRotation="0" wrapText="true" indent="0" shrinkToFit="false"/>
      <protection locked="true" hidden="false"/>
    </xf>
    <xf numFmtId="164" fontId="17" fillId="13" borderId="6" xfId="0" applyFont="true" applyBorder="true" applyAlignment="false" applyProtection="false">
      <alignment horizontal="general" vertical="bottom" textRotation="0" wrapText="false" indent="0" shrinkToFit="false"/>
      <protection locked="true" hidden="false"/>
    </xf>
    <xf numFmtId="164" fontId="17" fillId="0" borderId="14" xfId="0" applyFont="true" applyBorder="true" applyAlignment="false" applyProtection="false">
      <alignment horizontal="general" vertical="bottom" textRotation="0" wrapText="false" indent="0" shrinkToFit="false"/>
      <protection locked="true" hidden="false"/>
    </xf>
    <xf numFmtId="164" fontId="24" fillId="0" borderId="15" xfId="0" applyFont="true" applyBorder="true" applyAlignment="true" applyProtection="false">
      <alignment horizontal="left" vertical="center" textRotation="0" wrapText="true" indent="0" shrinkToFit="false"/>
      <protection locked="true" hidden="false"/>
    </xf>
    <xf numFmtId="164" fontId="17" fillId="0" borderId="16" xfId="0" applyFont="true" applyBorder="true" applyAlignment="false" applyProtection="false">
      <alignment horizontal="general" vertical="bottom" textRotation="0" wrapText="false" indent="0" shrinkToFit="false"/>
      <protection locked="true" hidden="false"/>
    </xf>
    <xf numFmtId="164" fontId="17" fillId="0" borderId="7" xfId="0" applyFont="true" applyBorder="true" applyAlignment="true" applyProtection="false">
      <alignment horizontal="general" vertical="center" textRotation="0" wrapText="false" indent="0" shrinkToFit="false"/>
      <protection locked="true" hidden="false"/>
    </xf>
    <xf numFmtId="164" fontId="17" fillId="0" borderId="8" xfId="0" applyFont="true" applyBorder="true" applyAlignment="true" applyProtection="false">
      <alignment horizontal="general" vertical="center" textRotation="0" wrapText="true" indent="0" shrinkToFit="false"/>
      <protection locked="true" hidden="false"/>
    </xf>
    <xf numFmtId="164" fontId="10" fillId="0" borderId="0" xfId="0" applyFont="true" applyBorder="true" applyAlignment="true" applyProtection="false">
      <alignment horizontal="left" vertical="bottom" textRotation="0" wrapText="false" indent="0" shrinkToFit="false"/>
      <protection locked="true" hidden="false"/>
    </xf>
    <xf numFmtId="164" fontId="25" fillId="0" borderId="0" xfId="0" applyFont="true" applyBorder="false" applyAlignment="false" applyProtection="false">
      <alignment horizontal="general" vertical="bottom" textRotation="0" wrapText="false" indent="0" shrinkToFit="false"/>
      <protection locked="true" hidden="false"/>
    </xf>
    <xf numFmtId="164" fontId="26" fillId="0" borderId="0" xfId="0" applyFont="true" applyBorder="false" applyAlignment="true" applyProtection="false">
      <alignment horizontal="general" vertical="bottom" textRotation="0" wrapText="false" indent="0" shrinkToFit="false"/>
      <protection locked="true" hidden="false"/>
    </xf>
    <xf numFmtId="164" fontId="0" fillId="17" borderId="0" xfId="0" applyFont="false" applyBorder="false" applyAlignment="false" applyProtection="false">
      <alignment horizontal="general" vertical="bottom" textRotation="0" wrapText="false" indent="0" shrinkToFit="false"/>
      <protection locked="true" hidden="false"/>
    </xf>
    <xf numFmtId="164" fontId="27" fillId="0" borderId="0" xfId="0" applyFont="true" applyBorder="false" applyAlignment="false" applyProtection="false">
      <alignment horizontal="general" vertical="bottom" textRotation="0" wrapText="false" indent="0" shrinkToFit="false"/>
      <protection locked="true" hidden="false"/>
    </xf>
    <xf numFmtId="164" fontId="28" fillId="0" borderId="0" xfId="0" applyFont="true" applyBorder="false" applyAlignment="false" applyProtection="false">
      <alignment horizontal="general" vertical="bottom" textRotation="0" wrapText="false" indent="0" shrinkToFit="false"/>
      <protection locked="true" hidden="false"/>
    </xf>
    <xf numFmtId="164" fontId="26" fillId="0" borderId="0" xfId="0" applyFont="true" applyBorder="true" applyAlignment="true" applyProtection="false">
      <alignment horizontal="left"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30" fillId="20" borderId="17" xfId="51" applyFont="true" applyBorder="true" applyAlignment="true" applyProtection="true">
      <alignment horizontal="center" vertical="center" textRotation="0" wrapText="false" indent="0" shrinkToFit="false"/>
      <protection locked="true" hidden="false"/>
    </xf>
    <xf numFmtId="164" fontId="31" fillId="0" borderId="0" xfId="0" applyFont="true" applyBorder="true" applyAlignment="false" applyProtection="false">
      <alignment horizontal="general" vertical="bottom" textRotation="0" wrapText="false" indent="0" shrinkToFit="false"/>
      <protection locked="true" hidden="false"/>
    </xf>
    <xf numFmtId="164" fontId="32" fillId="0" borderId="0" xfId="0" applyFont="true" applyBorder="true" applyAlignment="false" applyProtection="false">
      <alignment horizontal="general" vertical="bottom" textRotation="0" wrapText="false" indent="0" shrinkToFit="false"/>
      <protection locked="true" hidden="false"/>
    </xf>
    <xf numFmtId="164" fontId="33" fillId="0" borderId="0" xfId="0" applyFont="true" applyBorder="true" applyAlignment="false" applyProtection="false">
      <alignment horizontal="general" vertical="bottom" textRotation="0" wrapText="false" indent="0" shrinkToFit="false"/>
      <protection locked="true" hidden="false"/>
    </xf>
    <xf numFmtId="164" fontId="34" fillId="0" borderId="0" xfId="0" applyFont="true" applyBorder="true" applyAlignment="false" applyProtection="false">
      <alignment horizontal="general" vertical="bottom" textRotation="0" wrapText="false" indent="0" shrinkToFit="false"/>
      <protection locked="true" hidden="false"/>
    </xf>
    <xf numFmtId="164" fontId="35" fillId="0" borderId="18" xfId="0" applyFont="true" applyBorder="true" applyAlignment="true" applyProtection="false">
      <alignment horizontal="center" vertical="bottom" textRotation="0" wrapText="false" indent="0" shrinkToFit="false"/>
      <protection locked="true" hidden="false"/>
    </xf>
    <xf numFmtId="165" fontId="32" fillId="17" borderId="19" xfId="0" applyFont="true" applyBorder="true" applyAlignment="false" applyProtection="false">
      <alignment horizontal="general" vertical="bottom" textRotation="0" wrapText="false" indent="0" shrinkToFit="false"/>
      <protection locked="true" hidden="false"/>
    </xf>
    <xf numFmtId="164" fontId="35" fillId="0" borderId="19" xfId="0" applyFont="true" applyBorder="true" applyAlignment="true" applyProtection="false">
      <alignment horizontal="right" vertical="bottom" textRotation="0" wrapText="false" indent="0" shrinkToFit="false"/>
      <protection locked="true" hidden="false"/>
    </xf>
    <xf numFmtId="165" fontId="32" fillId="17" borderId="20" xfId="0" applyFont="true" applyBorder="true" applyAlignment="false" applyProtection="false">
      <alignment horizontal="general" vertical="bottom" textRotation="0" wrapText="false" indent="0" shrinkToFit="false"/>
      <protection locked="true" hidden="false"/>
    </xf>
    <xf numFmtId="164" fontId="35" fillId="0" borderId="21" xfId="0" applyFont="true" applyBorder="true" applyAlignment="true" applyProtection="false">
      <alignment horizontal="general" vertical="bottom" textRotation="0" wrapText="false" indent="0" shrinkToFit="false"/>
      <protection locked="true" hidden="false"/>
    </xf>
    <xf numFmtId="164" fontId="35" fillId="0" borderId="0" xfId="0" applyFont="true" applyBorder="true" applyAlignment="true" applyProtection="false">
      <alignment horizontal="right" vertical="bottom" textRotation="0" wrapText="false" indent="0" shrinkToFit="false"/>
      <protection locked="true" hidden="false"/>
    </xf>
    <xf numFmtId="164" fontId="35" fillId="0" borderId="22" xfId="0" applyFont="true" applyBorder="true" applyAlignment="true" applyProtection="false">
      <alignment horizontal="right" vertical="bottom" textRotation="0" wrapText="false" indent="0" shrinkToFit="false"/>
      <protection locked="true" hidden="false"/>
    </xf>
    <xf numFmtId="164" fontId="35" fillId="0" borderId="23" xfId="0" applyFont="true" applyBorder="true" applyAlignment="true" applyProtection="false">
      <alignment horizontal="center" vertical="bottom" textRotation="0" wrapText="false" indent="0" shrinkToFit="false"/>
      <protection locked="true" hidden="false"/>
    </xf>
    <xf numFmtId="165" fontId="32" fillId="17" borderId="24" xfId="0" applyFont="true" applyBorder="true" applyAlignment="false" applyProtection="false">
      <alignment horizontal="general" vertical="bottom" textRotation="0" wrapText="false" indent="0" shrinkToFit="false"/>
      <protection locked="true" hidden="false"/>
    </xf>
    <xf numFmtId="165" fontId="32" fillId="0" borderId="24" xfId="0" applyFont="true" applyBorder="true" applyAlignment="false" applyProtection="false">
      <alignment horizontal="general" vertical="bottom" textRotation="0" wrapText="false" indent="0" shrinkToFit="false"/>
      <protection locked="true" hidden="false"/>
    </xf>
    <xf numFmtId="164" fontId="35" fillId="0" borderId="24" xfId="0" applyFont="true" applyBorder="true" applyAlignment="true" applyProtection="false">
      <alignment horizontal="right" vertical="bottom" textRotation="0" wrapText="false" indent="0" shrinkToFit="false"/>
      <protection locked="true" hidden="false"/>
    </xf>
    <xf numFmtId="165" fontId="32" fillId="17" borderId="25"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true" applyAlignment="false" applyProtection="false">
      <alignment horizontal="general" vertical="bottom" textRotation="0" wrapText="false" indent="0" shrinkToFit="false"/>
      <protection locked="true" hidden="false"/>
    </xf>
    <xf numFmtId="164" fontId="35" fillId="0" borderId="0" xfId="0" applyFont="true" applyBorder="true" applyAlignment="true" applyProtection="false">
      <alignment horizontal="left" vertical="bottom" textRotation="0" wrapText="false" indent="0" shrinkToFit="false"/>
      <protection locked="true" hidden="false"/>
    </xf>
    <xf numFmtId="164" fontId="34" fillId="17" borderId="0" xfId="0" applyFont="true" applyBorder="true" applyAlignment="true" applyProtection="false">
      <alignment horizontal="center" vertical="bottom" textRotation="0" wrapText="false" indent="0" shrinkToFit="false"/>
      <protection locked="true" hidden="false"/>
    </xf>
    <xf numFmtId="164" fontId="4" fillId="17" borderId="0" xfId="0" applyFont="true" applyBorder="true" applyAlignment="true" applyProtection="false">
      <alignment horizontal="center" vertical="bottom" textRotation="0" wrapText="false" indent="0" shrinkToFit="false"/>
      <protection locked="true" hidden="false"/>
    </xf>
    <xf numFmtId="165" fontId="32" fillId="17" borderId="0" xfId="0" applyFont="true" applyBorder="true" applyAlignment="false" applyProtection="false">
      <alignment horizontal="general" vertical="bottom" textRotation="0" wrapText="false" indent="0" shrinkToFit="false"/>
      <protection locked="true" hidden="false"/>
    </xf>
    <xf numFmtId="164" fontId="35" fillId="0" borderId="0" xfId="0" applyFont="true" applyBorder="true" applyAlignment="true" applyProtection="false">
      <alignment horizontal="general" vertical="bottom" textRotation="0" wrapText="false" indent="0" shrinkToFit="false"/>
      <protection locked="true" hidden="false"/>
    </xf>
    <xf numFmtId="164" fontId="35" fillId="0" borderId="0" xfId="0" applyFont="true" applyBorder="true" applyAlignment="true" applyProtection="false">
      <alignment horizontal="general" vertical="top" textRotation="0" wrapText="false" indent="0" shrinkToFit="false"/>
      <protection locked="true" hidden="false"/>
    </xf>
    <xf numFmtId="164" fontId="36" fillId="0" borderId="0" xfId="0" applyFont="true" applyBorder="true" applyAlignment="false" applyProtection="false">
      <alignment horizontal="general" vertical="bottom" textRotation="0" wrapText="false" indent="0" shrinkToFit="false"/>
      <protection locked="true" hidden="false"/>
    </xf>
    <xf numFmtId="164" fontId="35" fillId="17" borderId="0" xfId="0" applyFont="true" applyBorder="true" applyAlignment="false" applyProtection="false">
      <alignment horizontal="general" vertical="bottom" textRotation="0" wrapText="false" indent="0" shrinkToFit="false"/>
      <protection locked="true" hidden="false"/>
    </xf>
    <xf numFmtId="164" fontId="4" fillId="17" borderId="0" xfId="0" applyFont="true" applyBorder="true" applyAlignment="false" applyProtection="false">
      <alignment horizontal="general" vertical="bottom" textRotation="0" wrapText="false" indent="0" shrinkToFit="false"/>
      <protection locked="true" hidden="false"/>
    </xf>
    <xf numFmtId="164" fontId="35" fillId="0" borderId="0" xfId="0" applyFont="true" applyBorder="true" applyAlignment="false" applyProtection="false">
      <alignment horizontal="general" vertical="bottom" textRotation="0" wrapText="false" indent="0" shrinkToFit="false"/>
      <protection locked="true" hidden="false"/>
    </xf>
    <xf numFmtId="164" fontId="37" fillId="0" borderId="0" xfId="0" applyFont="true" applyBorder="true" applyAlignment="true" applyProtection="false">
      <alignment horizontal="right" vertical="bottom" textRotation="0" wrapText="false" indent="0" shrinkToFit="false"/>
      <protection locked="true" hidden="false"/>
    </xf>
    <xf numFmtId="164" fontId="4" fillId="0" borderId="0" xfId="0" applyFont="true" applyBorder="true" applyAlignment="true" applyProtection="false">
      <alignment horizontal="right" vertical="bottom" textRotation="0" wrapText="true" indent="0" shrinkToFit="false"/>
      <protection locked="true" hidden="false"/>
    </xf>
    <xf numFmtId="165" fontId="32" fillId="17" borderId="0" xfId="0" applyFont="true" applyBorder="true" applyAlignment="true" applyProtection="false">
      <alignment horizontal="center" vertical="bottom" textRotation="0" wrapText="false" indent="0" shrinkToFit="false"/>
      <protection locked="true" hidden="false"/>
    </xf>
    <xf numFmtId="164" fontId="34" fillId="0" borderId="0" xfId="0" applyFont="true" applyBorder="true" applyAlignment="true" applyProtection="false">
      <alignment horizontal="left" vertical="center" textRotation="0" wrapText="false" indent="0" shrinkToFit="false"/>
      <protection locked="true" hidden="false"/>
    </xf>
    <xf numFmtId="164" fontId="4" fillId="0" borderId="0" xfId="0" applyFont="true" applyBorder="true" applyAlignment="true" applyProtection="false">
      <alignment horizontal="right" vertical="bottom" textRotation="0" wrapText="false" indent="0" shrinkToFit="false"/>
      <protection locked="true" hidden="false"/>
    </xf>
    <xf numFmtId="164" fontId="4" fillId="0" borderId="0" xfId="0" applyFont="true" applyBorder="true" applyAlignment="true" applyProtection="false">
      <alignment horizontal="general" vertical="bottom" textRotation="0" wrapText="false" indent="0" shrinkToFit="false"/>
      <protection locked="true" hidden="false"/>
    </xf>
    <xf numFmtId="166" fontId="4" fillId="0" borderId="0" xfId="0" applyFont="true" applyBorder="true" applyAlignment="true" applyProtection="false">
      <alignment horizontal="general" vertical="top" textRotation="0" wrapText="false" indent="0" shrinkToFit="false"/>
      <protection locked="true" hidden="false"/>
    </xf>
    <xf numFmtId="164" fontId="35" fillId="0" borderId="0" xfId="0" applyFont="true" applyBorder="true" applyAlignment="true" applyProtection="false">
      <alignment horizontal="center" vertical="bottom" textRotation="0" wrapText="true" indent="0" shrinkToFit="false"/>
      <protection locked="true" hidden="false"/>
    </xf>
    <xf numFmtId="164" fontId="35" fillId="0" borderId="0" xfId="0" applyFont="true" applyBorder="true" applyAlignment="true" applyProtection="false">
      <alignment horizontal="general" vertical="bottom" textRotation="90" wrapText="false" indent="0" shrinkToFit="false"/>
      <protection locked="true" hidden="false"/>
    </xf>
    <xf numFmtId="165" fontId="32" fillId="17" borderId="26" xfId="0" applyFont="true" applyBorder="true" applyAlignment="false" applyProtection="false">
      <alignment horizontal="general" vertical="bottom" textRotation="0" wrapText="false" indent="0" shrinkToFit="false"/>
      <protection locked="true" hidden="false"/>
    </xf>
    <xf numFmtId="164" fontId="35" fillId="0" borderId="0" xfId="0" applyFont="true" applyBorder="true" applyAlignment="true" applyProtection="false">
      <alignment horizontal="general" vertical="center" textRotation="0" wrapText="false" indent="0" shrinkToFit="false"/>
      <protection locked="true" hidden="false"/>
    </xf>
    <xf numFmtId="164" fontId="38" fillId="0" borderId="0" xfId="0" applyFont="true" applyBorder="true" applyAlignment="false" applyProtection="false">
      <alignment horizontal="general" vertical="bottom" textRotation="0" wrapText="false" indent="0" shrinkToFit="false"/>
      <protection locked="true" hidden="false"/>
    </xf>
    <xf numFmtId="164" fontId="30" fillId="20" borderId="0" xfId="51" applyFont="true" applyBorder="true" applyAlignment="true" applyProtection="true">
      <alignment horizontal="center" vertical="center" textRotation="0" wrapText="false" indent="0" shrinkToFit="false"/>
      <protection locked="true" hidden="false"/>
    </xf>
    <xf numFmtId="164" fontId="39" fillId="20" borderId="26" xfId="0" applyFont="true" applyBorder="true" applyAlignment="true" applyProtection="false">
      <alignment horizontal="center" vertical="center" textRotation="0" wrapText="true" indent="0" shrinkToFit="false"/>
      <protection locked="true" hidden="false"/>
    </xf>
    <xf numFmtId="164" fontId="38" fillId="20" borderId="27" xfId="0" applyFont="true" applyBorder="true" applyAlignment="false" applyProtection="false">
      <alignment horizontal="general" vertical="bottom" textRotation="0" wrapText="false" indent="0" shrinkToFit="false"/>
      <protection locked="true" hidden="false"/>
    </xf>
    <xf numFmtId="164" fontId="38" fillId="20" borderId="28" xfId="0" applyFont="true" applyBorder="true" applyAlignment="false" applyProtection="false">
      <alignment horizontal="general" vertical="bottom" textRotation="0" wrapText="false" indent="0" shrinkToFit="false"/>
      <protection locked="true" hidden="false"/>
    </xf>
    <xf numFmtId="164" fontId="39" fillId="20" borderId="29" xfId="0" applyFont="true" applyBorder="true" applyAlignment="true" applyProtection="false">
      <alignment horizontal="center" vertical="center" textRotation="0" wrapText="true" indent="0" shrinkToFit="false"/>
      <protection locked="true" hidden="false"/>
    </xf>
    <xf numFmtId="164" fontId="40" fillId="20" borderId="30" xfId="0" applyFont="true" applyBorder="true" applyAlignment="true" applyProtection="false">
      <alignment horizontal="center" vertical="center" textRotation="0" wrapText="true" indent="0" shrinkToFit="false"/>
      <protection locked="true" hidden="false"/>
    </xf>
    <xf numFmtId="164" fontId="39" fillId="20" borderId="31" xfId="0" applyFont="true" applyBorder="true" applyAlignment="true" applyProtection="false">
      <alignment horizontal="center" vertical="center" textRotation="0" wrapText="true" indent="0" shrinkToFit="false"/>
      <protection locked="true" hidden="false"/>
    </xf>
    <xf numFmtId="164" fontId="38" fillId="20" borderId="32" xfId="0" applyFont="true" applyBorder="true" applyAlignment="false" applyProtection="false">
      <alignment horizontal="general" vertical="bottom" textRotation="0" wrapText="false" indent="0" shrinkToFit="false"/>
      <protection locked="true" hidden="false"/>
    </xf>
    <xf numFmtId="164" fontId="38" fillId="20" borderId="33" xfId="0" applyFont="true" applyBorder="true" applyAlignment="false" applyProtection="false">
      <alignment horizontal="general" vertical="bottom" textRotation="0" wrapText="false" indent="0" shrinkToFit="false"/>
      <protection locked="true" hidden="false"/>
    </xf>
    <xf numFmtId="164" fontId="38" fillId="20" borderId="34" xfId="0" applyFont="true" applyBorder="true" applyAlignment="false" applyProtection="false">
      <alignment horizontal="general" vertical="bottom" textRotation="0" wrapText="false" indent="0" shrinkToFit="false"/>
      <protection locked="true" hidden="false"/>
    </xf>
    <xf numFmtId="164" fontId="38" fillId="20" borderId="35" xfId="0" applyFont="true" applyBorder="true" applyAlignment="false" applyProtection="false">
      <alignment horizontal="general" vertical="bottom" textRotation="0" wrapText="false" indent="0" shrinkToFit="false"/>
      <protection locked="true" hidden="false"/>
    </xf>
    <xf numFmtId="164" fontId="33" fillId="27" borderId="32" xfId="46" applyFont="true" applyBorder="true" applyAlignment="true" applyProtection="true">
      <alignment horizontal="center" vertical="center" textRotation="0" wrapText="false" indent="0" shrinkToFit="false"/>
      <protection locked="true" hidden="false"/>
    </xf>
    <xf numFmtId="164" fontId="38" fillId="0" borderId="29" xfId="0" applyFont="true" applyBorder="true" applyAlignment="false" applyProtection="false">
      <alignment horizontal="general" vertical="bottom" textRotation="0" wrapText="false" indent="0" shrinkToFit="false"/>
      <protection locked="true" hidden="false"/>
    </xf>
    <xf numFmtId="164" fontId="38" fillId="0" borderId="33" xfId="0" applyFont="true" applyBorder="true" applyAlignment="false" applyProtection="false">
      <alignment horizontal="general" vertical="bottom" textRotation="0" wrapText="false" indent="0" shrinkToFit="false"/>
      <protection locked="true" hidden="false"/>
    </xf>
    <xf numFmtId="164" fontId="38" fillId="0" borderId="31" xfId="0" applyFont="true" applyBorder="true" applyAlignment="false" applyProtection="false">
      <alignment horizontal="general" vertical="bottom" textRotation="0" wrapText="false" indent="0" shrinkToFit="false"/>
      <protection locked="true" hidden="false"/>
    </xf>
    <xf numFmtId="164" fontId="34" fillId="17" borderId="36" xfId="0" applyFont="true" applyBorder="true" applyAlignment="false" applyProtection="false">
      <alignment horizontal="general" vertical="bottom" textRotation="0" wrapText="false" indent="0" shrinkToFit="false"/>
      <protection locked="true" hidden="false"/>
    </xf>
    <xf numFmtId="164" fontId="34" fillId="0" borderId="37" xfId="0" applyFont="true" applyBorder="true" applyAlignment="true" applyProtection="false">
      <alignment horizontal="left" vertical="top" textRotation="0" wrapText="true" indent="0" shrinkToFit="false"/>
      <protection locked="true" hidden="false"/>
    </xf>
    <xf numFmtId="164" fontId="38" fillId="17" borderId="29" xfId="0" applyFont="true" applyBorder="true" applyAlignment="false" applyProtection="false">
      <alignment horizontal="general" vertical="bottom" textRotation="0" wrapText="false" indent="0" shrinkToFit="false"/>
      <protection locked="true" hidden="false"/>
    </xf>
    <xf numFmtId="164" fontId="38" fillId="17" borderId="30" xfId="0" applyFont="true" applyBorder="true" applyAlignment="false" applyProtection="false">
      <alignment horizontal="general" vertical="bottom" textRotation="0" wrapText="false" indent="0" shrinkToFit="false"/>
      <protection locked="true" hidden="false"/>
    </xf>
    <xf numFmtId="164" fontId="38" fillId="17" borderId="31" xfId="0" applyFont="true" applyBorder="true" applyAlignment="true" applyProtection="false">
      <alignment horizontal="center" vertical="bottom" textRotation="0" wrapText="false" indent="0" shrinkToFit="false"/>
      <protection locked="true" hidden="false"/>
    </xf>
    <xf numFmtId="164" fontId="34" fillId="17" borderId="38" xfId="0" applyFont="true" applyBorder="true" applyAlignment="false" applyProtection="false">
      <alignment horizontal="general" vertical="bottom" textRotation="0" wrapText="false" indent="0" shrinkToFit="false"/>
      <protection locked="true" hidden="false"/>
    </xf>
    <xf numFmtId="164" fontId="34" fillId="0" borderId="37" xfId="0" applyFont="true" applyBorder="true" applyAlignment="true" applyProtection="false">
      <alignment horizontal="left" vertical="top" textRotation="0" wrapText="false" indent="0" shrinkToFit="false"/>
      <protection locked="true" hidden="false"/>
    </xf>
    <xf numFmtId="164" fontId="34" fillId="0" borderId="39" xfId="0" applyFont="true" applyBorder="true" applyAlignment="true" applyProtection="false">
      <alignment horizontal="left" vertical="top" textRotation="0" wrapText="false" indent="0" shrinkToFit="false"/>
      <protection locked="true" hidden="false"/>
    </xf>
    <xf numFmtId="164" fontId="38" fillId="0" borderId="30" xfId="0" applyFont="true" applyBorder="true" applyAlignment="false" applyProtection="false">
      <alignment horizontal="general" vertical="bottom" textRotation="0" wrapText="false" indent="0" shrinkToFit="false"/>
      <protection locked="true" hidden="false"/>
    </xf>
    <xf numFmtId="164" fontId="34" fillId="17" borderId="40" xfId="0" applyFont="true" applyBorder="true" applyAlignment="false" applyProtection="false">
      <alignment horizontal="general" vertical="bottom" textRotation="0" wrapText="false" indent="0" shrinkToFit="false"/>
      <protection locked="true" hidden="false"/>
    </xf>
    <xf numFmtId="164" fontId="33" fillId="27" borderId="26" xfId="46" applyFont="true" applyBorder="true" applyAlignment="true" applyProtection="true">
      <alignment horizontal="center" vertical="center" textRotation="0" wrapText="false" indent="0" shrinkToFit="false"/>
      <protection locked="true" hidden="false"/>
    </xf>
    <xf numFmtId="164" fontId="38" fillId="0" borderId="41" xfId="0" applyFont="true" applyBorder="true" applyAlignment="false" applyProtection="false">
      <alignment horizontal="general" vertical="bottom" textRotation="0" wrapText="false" indent="0" shrinkToFit="false"/>
      <protection locked="true" hidden="false"/>
    </xf>
    <xf numFmtId="164" fontId="41" fillId="0" borderId="42" xfId="0" applyFont="true" applyBorder="true" applyAlignment="true" applyProtection="false">
      <alignment horizontal="center" vertical="bottom" textRotation="0" wrapText="false" indent="0" shrinkToFit="false"/>
      <protection locked="true" hidden="false"/>
    </xf>
    <xf numFmtId="164" fontId="34" fillId="0" borderId="39" xfId="0" applyFont="true" applyBorder="true" applyAlignment="true" applyProtection="false">
      <alignment horizontal="center" vertical="top" textRotation="0" wrapText="false" indent="0" shrinkToFit="false"/>
      <protection locked="true" hidden="false"/>
    </xf>
    <xf numFmtId="164" fontId="38" fillId="0" borderId="39" xfId="0" applyFont="true" applyBorder="true" applyAlignment="false" applyProtection="false">
      <alignment horizontal="general" vertical="bottom" textRotation="0" wrapText="false" indent="0" shrinkToFit="false"/>
      <protection locked="true" hidden="false"/>
    </xf>
    <xf numFmtId="164" fontId="34" fillId="0" borderId="27" xfId="0" applyFont="true" applyBorder="true" applyAlignment="true" applyProtection="false">
      <alignment horizontal="left" vertical="top" textRotation="0" wrapText="false" indent="0" shrinkToFit="false"/>
      <protection locked="true" hidden="false"/>
    </xf>
    <xf numFmtId="164" fontId="33" fillId="27" borderId="36" xfId="46" applyFont="true" applyBorder="true" applyAlignment="true" applyProtection="true">
      <alignment horizontal="center" vertical="center" textRotation="0" wrapText="false" indent="0" shrinkToFit="false"/>
      <protection locked="true" hidden="false"/>
    </xf>
    <xf numFmtId="164" fontId="38" fillId="17" borderId="39" xfId="0" applyFont="true" applyBorder="true" applyAlignment="true" applyProtection="false">
      <alignment horizontal="center" vertical="bottom" textRotation="0" wrapText="false" indent="0" shrinkToFit="false"/>
      <protection locked="true" hidden="false"/>
    </xf>
    <xf numFmtId="164" fontId="34" fillId="0" borderId="43" xfId="0" applyFont="true" applyBorder="true" applyAlignment="true" applyProtection="false">
      <alignment horizontal="left" vertical="top" textRotation="0" wrapText="false" indent="0" shrinkToFit="false"/>
      <protection locked="true" hidden="false"/>
    </xf>
    <xf numFmtId="164" fontId="38" fillId="17" borderId="44" xfId="0" applyFont="true" applyBorder="true" applyAlignment="false" applyProtection="false">
      <alignment horizontal="general" vertical="bottom" textRotation="0" wrapText="false" indent="0" shrinkToFit="false"/>
      <protection locked="true" hidden="false"/>
    </xf>
    <xf numFmtId="164" fontId="38" fillId="0" borderId="28" xfId="0" applyFont="true" applyBorder="true" applyAlignment="false" applyProtection="false">
      <alignment horizontal="general" vertical="bottom" textRotation="0" wrapText="false" indent="0" shrinkToFit="false"/>
      <protection locked="true" hidden="false"/>
    </xf>
    <xf numFmtId="164" fontId="38" fillId="17" borderId="44" xfId="0" applyFont="true" applyBorder="true" applyAlignment="true" applyProtection="false">
      <alignment horizontal="center" vertical="bottom" textRotation="0" wrapText="false" indent="0" shrinkToFit="false"/>
      <protection locked="true" hidden="false"/>
    </xf>
    <xf numFmtId="164" fontId="38" fillId="17" borderId="28" xfId="0" applyFont="true" applyBorder="true" applyAlignment="false" applyProtection="false">
      <alignment horizontal="general" vertical="bottom" textRotation="0" wrapText="false" indent="0" shrinkToFit="false"/>
      <protection locked="true" hidden="false"/>
    </xf>
    <xf numFmtId="164" fontId="34" fillId="0" borderId="43" xfId="0" applyFont="true" applyBorder="true" applyAlignment="false" applyProtection="false">
      <alignment horizontal="general" vertical="bottom" textRotation="0" wrapText="false" indent="0" shrinkToFit="false"/>
      <protection locked="true" hidden="false"/>
    </xf>
    <xf numFmtId="164" fontId="38" fillId="0" borderId="43" xfId="0" applyFont="true" applyBorder="true" applyAlignment="false" applyProtection="false">
      <alignment horizontal="general" vertical="bottom" textRotation="0" wrapText="false" indent="0" shrinkToFit="false"/>
      <protection locked="true" hidden="false"/>
    </xf>
    <xf numFmtId="164" fontId="38" fillId="0" borderId="43" xfId="0" applyFont="true" applyBorder="true" applyAlignment="true" applyProtection="false">
      <alignment horizontal="center" vertical="bottom" textRotation="0" wrapText="false" indent="0" shrinkToFit="false"/>
      <protection locked="true" hidden="false"/>
    </xf>
    <xf numFmtId="164" fontId="42" fillId="20" borderId="40" xfId="0" applyFont="true" applyBorder="true" applyAlignment="true" applyProtection="false">
      <alignment horizontal="center" vertical="center" textRotation="0" wrapText="true" indent="0" shrinkToFit="false"/>
      <protection locked="true" hidden="false"/>
    </xf>
    <xf numFmtId="164" fontId="42" fillId="20" borderId="34" xfId="0" applyFont="true" applyBorder="true" applyAlignment="true" applyProtection="false">
      <alignment horizontal="center" vertical="center" textRotation="0" wrapText="true" indent="0" shrinkToFit="false"/>
      <protection locked="true" hidden="false"/>
    </xf>
    <xf numFmtId="164" fontId="38" fillId="20" borderId="37" xfId="0" applyFont="true" applyBorder="true" applyAlignment="true" applyProtection="false">
      <alignment horizontal="center" vertical="center" textRotation="0" wrapText="true" indent="0" shrinkToFit="false"/>
      <protection locked="true" hidden="false"/>
    </xf>
    <xf numFmtId="164" fontId="38" fillId="20" borderId="30" xfId="0" applyFont="true" applyBorder="true" applyAlignment="true" applyProtection="false">
      <alignment horizontal="center" vertical="center" textRotation="0" wrapText="true" indent="0" shrinkToFit="false"/>
      <protection locked="true" hidden="false"/>
    </xf>
    <xf numFmtId="164" fontId="38" fillId="20" borderId="39" xfId="0" applyFont="true" applyBorder="true" applyAlignment="true" applyProtection="false">
      <alignment horizontal="center" vertical="center" textRotation="0" wrapText="true" indent="0" shrinkToFit="false"/>
      <protection locked="true" hidden="false"/>
    </xf>
    <xf numFmtId="164" fontId="33" fillId="27" borderId="37" xfId="46" applyFont="true" applyBorder="true" applyAlignment="true" applyProtection="true">
      <alignment horizontal="general" vertical="center" textRotation="0" wrapText="false" indent="0" shrinkToFit="false"/>
      <protection locked="true" hidden="false"/>
    </xf>
    <xf numFmtId="164" fontId="33" fillId="27" borderId="30" xfId="46" applyFont="true" applyBorder="true" applyAlignment="true" applyProtection="true">
      <alignment horizontal="general" vertical="center" textRotation="0" wrapText="false" indent="0" shrinkToFit="false"/>
      <protection locked="true" hidden="false"/>
    </xf>
    <xf numFmtId="164" fontId="34" fillId="0" borderId="34" xfId="0" applyFont="true" applyBorder="true" applyAlignment="true" applyProtection="false">
      <alignment horizontal="left" vertical="top" textRotation="0" wrapText="true" indent="0" shrinkToFit="false"/>
      <protection locked="true" hidden="false"/>
    </xf>
    <xf numFmtId="164" fontId="38" fillId="17" borderId="34" xfId="0" applyFont="true" applyBorder="true" applyAlignment="false" applyProtection="false">
      <alignment horizontal="general" vertical="bottom" textRotation="0" wrapText="false" indent="0" shrinkToFit="false"/>
      <protection locked="true" hidden="false"/>
    </xf>
    <xf numFmtId="164" fontId="38" fillId="17" borderId="35" xfId="0" applyFont="true" applyBorder="true" applyAlignment="false" applyProtection="false">
      <alignment horizontal="general" vertical="bottom" textRotation="0" wrapText="false" indent="0" shrinkToFit="false"/>
      <protection locked="true" hidden="false"/>
    </xf>
    <xf numFmtId="164" fontId="38" fillId="17" borderId="34" xfId="0" applyFont="true" applyBorder="true" applyAlignment="true" applyProtection="false">
      <alignment horizontal="center" vertical="bottom" textRotation="0" wrapText="false" indent="0" shrinkToFit="false"/>
      <protection locked="true" hidden="false"/>
    </xf>
    <xf numFmtId="164" fontId="38" fillId="17" borderId="45" xfId="0" applyFont="true" applyBorder="true" applyAlignment="true" applyProtection="false">
      <alignment horizontal="center" vertical="bottom" textRotation="0" wrapText="false" indent="0" shrinkToFit="false"/>
      <protection locked="true" hidden="false"/>
    </xf>
    <xf numFmtId="164" fontId="38" fillId="17" borderId="38" xfId="0" applyFont="true" applyBorder="true" applyAlignment="true" applyProtection="false">
      <alignment horizontal="center" vertical="bottom" textRotation="0" wrapText="false" indent="0" shrinkToFit="false"/>
      <protection locked="true" hidden="false"/>
    </xf>
    <xf numFmtId="164" fontId="38" fillId="17" borderId="37" xfId="0" applyFont="true" applyBorder="true" applyAlignment="false" applyProtection="false">
      <alignment horizontal="general" vertical="bottom" textRotation="0" wrapText="false" indent="0" shrinkToFit="false"/>
      <protection locked="true" hidden="false"/>
    </xf>
    <xf numFmtId="164" fontId="38" fillId="17" borderId="37" xfId="0" applyFont="true" applyBorder="true" applyAlignment="true" applyProtection="false">
      <alignment horizontal="center" vertical="bottom" textRotation="0" wrapText="false" indent="0" shrinkToFit="false"/>
      <protection locked="true" hidden="false"/>
    </xf>
    <xf numFmtId="164" fontId="38" fillId="17" borderId="36" xfId="0" applyFont="true" applyBorder="true" applyAlignment="true" applyProtection="false">
      <alignment horizontal="center" vertical="bottom" textRotation="0" wrapText="false" indent="0" shrinkToFit="false"/>
      <protection locked="true" hidden="false"/>
    </xf>
    <xf numFmtId="164" fontId="38" fillId="0" borderId="32" xfId="0" applyFont="true" applyBorder="true" applyAlignment="false" applyProtection="false">
      <alignment horizontal="general" vertical="bottom" textRotation="0" wrapText="false" indent="0" shrinkToFit="false"/>
      <protection locked="true" hidden="false"/>
    </xf>
    <xf numFmtId="164" fontId="41" fillId="0" borderId="32" xfId="0" applyFont="true" applyBorder="true" applyAlignment="true" applyProtection="false">
      <alignment horizontal="center" vertical="bottom" textRotation="0" wrapText="false" indent="0" shrinkToFit="false"/>
      <protection locked="true" hidden="false"/>
    </xf>
    <xf numFmtId="164" fontId="41" fillId="0" borderId="0" xfId="0" applyFont="true" applyBorder="true" applyAlignment="true" applyProtection="false">
      <alignment horizontal="center" vertical="bottom" textRotation="0" wrapText="false" indent="0" shrinkToFit="false"/>
      <protection locked="true" hidden="false"/>
    </xf>
    <xf numFmtId="164" fontId="34" fillId="0" borderId="34" xfId="0" applyFont="true" applyBorder="true" applyAlignment="true" applyProtection="false">
      <alignment horizontal="left" vertical="top" textRotation="0" wrapText="false" indent="0" shrinkToFit="false"/>
      <protection locked="true" hidden="false"/>
    </xf>
    <xf numFmtId="164" fontId="34" fillId="0" borderId="45" xfId="0" applyFont="true" applyBorder="true" applyAlignment="true" applyProtection="false">
      <alignment horizontal="center" vertical="top" textRotation="0" wrapText="false" indent="0" shrinkToFit="false"/>
      <protection locked="true" hidden="false"/>
    </xf>
    <xf numFmtId="164" fontId="34" fillId="0" borderId="45" xfId="0" applyFont="true" applyBorder="true" applyAlignment="true" applyProtection="false">
      <alignment horizontal="left" vertical="top" textRotation="0" wrapText="false" indent="0" shrinkToFit="false"/>
      <protection locked="true" hidden="false"/>
    </xf>
    <xf numFmtId="164" fontId="44" fillId="0" borderId="36" xfId="0" applyFont="true" applyBorder="true" applyAlignment="true" applyProtection="false">
      <alignment horizontal="center" vertical="bottom" textRotation="0" wrapText="false" indent="0" shrinkToFit="false"/>
      <protection locked="true" hidden="false"/>
    </xf>
    <xf numFmtId="164" fontId="38" fillId="17" borderId="30" xfId="0" applyFont="true" applyBorder="true" applyAlignment="true" applyProtection="false">
      <alignment horizontal="center" vertical="bottom" textRotation="0" wrapText="false" indent="0" shrinkToFit="false"/>
      <protection locked="true" hidden="false"/>
    </xf>
    <xf numFmtId="164" fontId="38" fillId="17" borderId="26" xfId="0" applyFont="true" applyBorder="true" applyAlignment="true" applyProtection="false">
      <alignment horizontal="center" vertical="bottom" textRotation="0" wrapText="false" indent="0" shrinkToFit="false"/>
      <protection locked="true" hidden="false"/>
    </xf>
    <xf numFmtId="164" fontId="33" fillId="20" borderId="37" xfId="0" applyFont="true" applyBorder="true" applyAlignment="true" applyProtection="false">
      <alignment horizontal="center" vertical="center" textRotation="0" wrapText="true" indent="0" shrinkToFit="false"/>
      <protection locked="true" hidden="false"/>
    </xf>
    <xf numFmtId="164" fontId="33" fillId="20" borderId="39" xfId="0" applyFont="true" applyBorder="true" applyAlignment="true" applyProtection="false">
      <alignment horizontal="center" vertical="center" textRotation="0" wrapText="true" indent="0" shrinkToFit="false"/>
      <protection locked="true" hidden="false"/>
    </xf>
    <xf numFmtId="164" fontId="33" fillId="20" borderId="30" xfId="0" applyFont="true" applyBorder="true" applyAlignment="true" applyProtection="false">
      <alignment horizontal="center" vertical="center" textRotation="0" wrapText="true" indent="0" shrinkToFit="false"/>
      <protection locked="true" hidden="false"/>
    </xf>
    <xf numFmtId="164" fontId="45" fillId="27" borderId="37" xfId="0" applyFont="true" applyBorder="true" applyAlignment="true" applyProtection="false">
      <alignment horizontal="center" vertical="center" textRotation="0" wrapText="true" indent="0" shrinkToFit="false"/>
      <protection locked="true" hidden="false"/>
    </xf>
    <xf numFmtId="164" fontId="34" fillId="0" borderId="37" xfId="0" applyFont="true" applyBorder="true" applyAlignment="false" applyProtection="false">
      <alignment horizontal="general" vertical="bottom" textRotation="0" wrapText="false" indent="0" shrinkToFit="false"/>
      <protection locked="true" hidden="false"/>
    </xf>
    <xf numFmtId="164" fontId="38" fillId="17" borderId="39" xfId="0" applyFont="true" applyBorder="true" applyAlignment="false" applyProtection="false">
      <alignment horizontal="general" vertical="bottom" textRotation="0" wrapText="false" indent="0" shrinkToFit="false"/>
      <protection locked="true" hidden="false"/>
    </xf>
    <xf numFmtId="164" fontId="34" fillId="0" borderId="30" xfId="0" applyFont="true" applyBorder="true" applyAlignment="true" applyProtection="false">
      <alignment horizontal="left" vertical="center" textRotation="0" wrapText="true" indent="0" shrinkToFit="false"/>
      <protection locked="true" hidden="false"/>
    </xf>
    <xf numFmtId="164" fontId="33" fillId="0" borderId="37" xfId="0" applyFont="true" applyBorder="true" applyAlignment="false" applyProtection="false">
      <alignment horizontal="general" vertical="bottom" textRotation="0" wrapText="false" indent="0" shrinkToFit="false"/>
      <protection locked="true" hidden="false"/>
    </xf>
    <xf numFmtId="164" fontId="34" fillId="0" borderId="37" xfId="0" applyFont="true" applyBorder="true" applyAlignment="true" applyProtection="true">
      <alignment horizontal="right" vertical="bottom" textRotation="0" wrapText="false" indent="0" shrinkToFit="false"/>
      <protection locked="true" hidden="false"/>
    </xf>
    <xf numFmtId="164" fontId="42" fillId="20" borderId="26" xfId="0" applyFont="true" applyBorder="true" applyAlignment="true" applyProtection="false">
      <alignment horizontal="center" vertical="center" textRotation="0" wrapText="true" indent="0" shrinkToFit="false"/>
      <protection locked="true" hidden="false"/>
    </xf>
    <xf numFmtId="164" fontId="38" fillId="20" borderId="27" xfId="0" applyFont="true" applyBorder="true" applyAlignment="true" applyProtection="false">
      <alignment horizontal="center" vertical="center" textRotation="0" wrapText="true" indent="0" shrinkToFit="false"/>
      <protection locked="true" hidden="false"/>
    </xf>
    <xf numFmtId="164" fontId="38" fillId="20" borderId="36" xfId="0" applyFont="true" applyBorder="true" applyAlignment="true" applyProtection="false">
      <alignment horizontal="center" vertical="center" textRotation="0" wrapText="true" indent="0" shrinkToFit="false"/>
      <protection locked="true" hidden="false"/>
    </xf>
    <xf numFmtId="164" fontId="34" fillId="0" borderId="37" xfId="0" applyFont="true" applyBorder="true" applyAlignment="true" applyProtection="false">
      <alignment horizontal="left" vertical="bottom" textRotation="0" wrapText="false" indent="0" shrinkToFit="false"/>
      <protection locked="true" hidden="false"/>
    </xf>
    <xf numFmtId="164" fontId="34" fillId="0" borderId="30" xfId="0" applyFont="true" applyBorder="true" applyAlignment="true" applyProtection="false">
      <alignment horizontal="right" vertical="bottom" textRotation="0" wrapText="false" indent="0" shrinkToFit="false"/>
      <protection locked="true" hidden="false"/>
    </xf>
    <xf numFmtId="164" fontId="32" fillId="0" borderId="37" xfId="0" applyFont="true" applyBorder="true" applyAlignment="true" applyProtection="false">
      <alignment horizontal="right" vertical="bottom" textRotation="0" wrapText="false" indent="0" shrinkToFit="false"/>
      <protection locked="true" hidden="false"/>
    </xf>
    <xf numFmtId="164" fontId="32" fillId="0" borderId="30" xfId="0" applyFont="true" applyBorder="true" applyAlignment="true" applyProtection="false">
      <alignment horizontal="left" vertical="bottom" textRotation="0" wrapText="false" indent="0" shrinkToFit="false"/>
      <protection locked="true" hidden="false"/>
    </xf>
    <xf numFmtId="164" fontId="34" fillId="0" borderId="30" xfId="0" applyFont="true" applyBorder="true" applyAlignment="true" applyProtection="false">
      <alignment horizontal="left" vertical="bottom" textRotation="0" wrapText="false" indent="0" shrinkToFit="false"/>
      <protection locked="true" hidden="false"/>
    </xf>
    <xf numFmtId="164" fontId="32" fillId="0" borderId="37" xfId="0" applyFont="true" applyBorder="true" applyAlignment="true" applyProtection="false">
      <alignment horizontal="left" vertical="bottom" textRotation="0" wrapText="false" indent="0" shrinkToFit="false"/>
      <protection locked="true" hidden="false"/>
    </xf>
    <xf numFmtId="164" fontId="32" fillId="0" borderId="30" xfId="0" applyFont="true" applyBorder="true" applyAlignment="false" applyProtection="false">
      <alignment horizontal="general" vertical="bottom" textRotation="0" wrapText="false" indent="0" shrinkToFit="false"/>
      <protection locked="true" hidden="false"/>
    </xf>
    <xf numFmtId="164" fontId="32" fillId="0" borderId="30" xfId="0" applyFont="true" applyBorder="true" applyAlignment="true" applyProtection="false">
      <alignment horizontal="right" vertical="bottom" textRotation="0" wrapText="false" indent="0" shrinkToFit="false"/>
      <protection locked="true" hidden="false"/>
    </xf>
    <xf numFmtId="164" fontId="32" fillId="0" borderId="26" xfId="0" applyFont="true" applyBorder="true" applyAlignment="true" applyProtection="false">
      <alignment horizontal="right" vertical="bottom" textRotation="0" wrapText="false" indent="0" shrinkToFit="false"/>
      <protection locked="true" hidden="false"/>
    </xf>
    <xf numFmtId="164" fontId="32" fillId="0" borderId="40" xfId="0" applyFont="true" applyBorder="true" applyAlignment="true" applyProtection="false">
      <alignment horizontal="right" vertical="bottom" textRotation="0" wrapText="false" indent="0" shrinkToFit="false"/>
      <protection locked="true" hidden="false"/>
    </xf>
    <xf numFmtId="164" fontId="38" fillId="0" borderId="26" xfId="0" applyFont="true" applyBorder="true" applyAlignment="true" applyProtection="false">
      <alignment horizontal="left" vertical="bottom" textRotation="0" wrapText="false" indent="0" shrinkToFit="false"/>
      <protection locked="true" hidden="false"/>
    </xf>
    <xf numFmtId="164" fontId="38" fillId="0" borderId="26" xfId="0" applyFont="true" applyBorder="true" applyAlignment="true" applyProtection="false">
      <alignment horizontal="left" vertical="bottom" textRotation="0" wrapText="true" indent="0" shrinkToFit="false"/>
      <protection locked="true" hidden="false"/>
    </xf>
    <xf numFmtId="164" fontId="32" fillId="0" borderId="30" xfId="0" applyFont="true" applyBorder="true" applyAlignment="true" applyProtection="false">
      <alignment horizontal="center" vertical="bottom" textRotation="0" wrapText="false" indent="0" shrinkToFit="false"/>
      <protection locked="true" hidden="false"/>
    </xf>
    <xf numFmtId="164" fontId="46" fillId="0" borderId="0" xfId="0" applyFont="true" applyBorder="true" applyAlignment="true" applyProtection="false">
      <alignment horizontal="general" vertical="center" textRotation="0" wrapText="true" indent="0" shrinkToFit="false"/>
      <protection locked="true" hidden="false"/>
    </xf>
    <xf numFmtId="164" fontId="34" fillId="0" borderId="0" xfId="0" applyFont="true" applyBorder="true" applyAlignment="true" applyProtection="false">
      <alignment horizontal="left" vertical="bottom" textRotation="0" wrapText="false" indent="0" shrinkToFit="false"/>
      <protection locked="true" hidden="false"/>
    </xf>
    <xf numFmtId="164" fontId="33" fillId="27" borderId="0" xfId="46" applyFont="true" applyBorder="true" applyAlignment="true" applyProtection="true">
      <alignment horizontal="center" vertical="center" textRotation="0" wrapText="false" indent="0" shrinkToFit="false"/>
      <protection locked="true" hidden="false"/>
    </xf>
    <xf numFmtId="164" fontId="4" fillId="0" borderId="0" xfId="0" applyFont="true" applyBorder="true" applyAlignment="true" applyProtection="false">
      <alignment horizontal="general" vertical="bottom" textRotation="0" wrapText="true" indent="0" shrinkToFit="false"/>
      <protection locked="true" hidden="false"/>
    </xf>
    <xf numFmtId="164" fontId="4" fillId="0" borderId="0" xfId="0" applyFont="true" applyBorder="true" applyAlignment="true" applyProtection="false">
      <alignment horizontal="left" vertical="bottom" textRotation="0" wrapText="true" indent="0" shrinkToFit="false"/>
      <protection locked="true" hidden="false"/>
    </xf>
    <xf numFmtId="164" fontId="38" fillId="0" borderId="0" xfId="0" applyFont="true" applyBorder="true" applyAlignment="true" applyProtection="false">
      <alignment horizontal="center" vertical="center" textRotation="0" wrapText="false" indent="0" shrinkToFit="false"/>
      <protection locked="true" hidden="false"/>
    </xf>
    <xf numFmtId="164" fontId="38" fillId="17" borderId="26" xfId="0" applyFont="true" applyBorder="true" applyAlignment="false" applyProtection="false">
      <alignment horizontal="general" vertical="bottom" textRotation="0" wrapText="false" indent="0" shrinkToFit="false"/>
      <protection locked="true" hidden="false"/>
    </xf>
    <xf numFmtId="164" fontId="34" fillId="0" borderId="0" xfId="0" applyFont="true" applyBorder="true" applyAlignment="true" applyProtection="false">
      <alignment horizontal="left" vertical="bottom" textRotation="0" wrapText="true" indent="0" shrinkToFit="false"/>
      <protection locked="true" hidden="false"/>
    </xf>
    <xf numFmtId="164" fontId="47" fillId="0" borderId="0" xfId="0" applyFont="true" applyBorder="true" applyAlignment="true" applyProtection="false">
      <alignment horizontal="left" vertical="top" textRotation="0" wrapText="true" indent="0" shrinkToFit="false"/>
      <protection locked="true" hidden="false"/>
    </xf>
    <xf numFmtId="164" fontId="4" fillId="0" borderId="0" xfId="0" applyFont="true" applyBorder="true" applyAlignment="true" applyProtection="false">
      <alignment horizontal="left" vertical="bottom" textRotation="0" wrapText="false" indent="0" shrinkToFit="false"/>
      <protection locked="true" hidden="false"/>
    </xf>
    <xf numFmtId="164" fontId="4" fillId="0" borderId="0" xfId="0" applyFont="true" applyBorder="true" applyAlignment="true" applyProtection="false">
      <alignment horizontal="left" vertical="center" textRotation="0" wrapText="false" indent="0" shrinkToFit="false"/>
      <protection locked="true" hidden="false"/>
    </xf>
    <xf numFmtId="164" fontId="48" fillId="0" borderId="0"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general" vertical="center" textRotation="0" wrapText="false" indent="0" shrinkToFit="false"/>
      <protection locked="true" hidden="false"/>
    </xf>
    <xf numFmtId="164" fontId="34" fillId="17" borderId="0" xfId="43" applyFont="true" applyBorder="true" applyAlignment="true" applyProtection="true">
      <alignment horizontal="center" vertical="bottom" textRotation="0" wrapText="false" indent="0" shrinkToFit="false"/>
      <protection locked="true" hidden="false"/>
    </xf>
    <xf numFmtId="164" fontId="42" fillId="20" borderId="36" xfId="0" applyFont="true" applyBorder="true" applyAlignment="true" applyProtection="false">
      <alignment horizontal="center" vertical="center" textRotation="0" wrapText="true" indent="0" shrinkToFit="false"/>
      <protection locked="true" hidden="false"/>
    </xf>
    <xf numFmtId="164" fontId="49" fillId="20" borderId="40" xfId="0" applyFont="true" applyBorder="true" applyAlignment="true" applyProtection="false">
      <alignment horizontal="center" vertical="center" textRotation="0" wrapText="true" indent="0" shrinkToFit="false"/>
      <protection locked="true" hidden="false"/>
    </xf>
    <xf numFmtId="164" fontId="38" fillId="0" borderId="26" xfId="0" applyFont="true" applyBorder="true" applyAlignment="false" applyProtection="false">
      <alignment horizontal="general" vertical="bottom" textRotation="0" wrapText="false" indent="0" shrinkToFit="false"/>
      <protection locked="true" hidden="false"/>
    </xf>
    <xf numFmtId="164" fontId="38" fillId="0" borderId="37" xfId="0" applyFont="true" applyBorder="true" applyAlignment="false" applyProtection="false">
      <alignment horizontal="general" vertical="bottom" textRotation="0" wrapText="false" indent="0" shrinkToFit="false"/>
      <protection locked="true" hidden="false"/>
    </xf>
    <xf numFmtId="164" fontId="4" fillId="17" borderId="26" xfId="0" applyFont="true" applyBorder="true" applyAlignment="false" applyProtection="false">
      <alignment horizontal="general" vertical="bottom" textRotation="0" wrapText="false" indent="0" shrinkToFit="false"/>
      <protection locked="true" hidden="false"/>
    </xf>
    <xf numFmtId="164" fontId="4" fillId="0" borderId="26" xfId="0" applyFont="true" applyBorder="true" applyAlignment="false" applyProtection="false">
      <alignment horizontal="general" vertical="bottom" textRotation="0" wrapText="false" indent="0" shrinkToFit="false"/>
      <protection locked="true" hidden="false"/>
    </xf>
    <xf numFmtId="164" fontId="4" fillId="17" borderId="37" xfId="0" applyFont="true" applyBorder="true" applyAlignment="false" applyProtection="false">
      <alignment horizontal="general" vertical="bottom" textRotation="0" wrapText="false" indent="0" shrinkToFit="false"/>
      <protection locked="true" hidden="false"/>
    </xf>
    <xf numFmtId="164" fontId="4" fillId="17" borderId="30" xfId="0" applyFont="true" applyBorder="true" applyAlignment="true" applyProtection="false">
      <alignment horizontal="center" vertical="bottom" textRotation="0" wrapText="false" indent="0" shrinkToFit="false"/>
      <protection locked="true" hidden="false"/>
    </xf>
    <xf numFmtId="164" fontId="34" fillId="0" borderId="37" xfId="0" applyFont="true" applyBorder="true" applyAlignment="false" applyProtection="true">
      <alignment horizontal="general" vertical="bottom" textRotation="0" wrapText="false" indent="0" shrinkToFit="false"/>
      <protection locked="false" hidden="false"/>
    </xf>
    <xf numFmtId="164" fontId="33" fillId="27" borderId="26" xfId="46" applyFont="true" applyBorder="true" applyAlignment="true" applyProtection="true">
      <alignment horizontal="center" vertical="center" textRotation="0" wrapText="true" indent="0" shrinkToFit="false"/>
      <protection locked="true" hidden="false"/>
    </xf>
    <xf numFmtId="164" fontId="4" fillId="0" borderId="30" xfId="0" applyFont="true" applyBorder="true" applyAlignment="true" applyProtection="false">
      <alignment horizontal="center" vertical="bottom" textRotation="0" wrapText="false" indent="0" shrinkToFit="false"/>
      <protection locked="true" hidden="false"/>
    </xf>
    <xf numFmtId="164" fontId="33" fillId="27" borderId="0" xfId="46" applyFont="true" applyBorder="true" applyAlignment="true" applyProtection="true">
      <alignment horizontal="center" vertical="center" textRotation="0" wrapText="true" indent="0" shrinkToFit="false"/>
      <protection locked="true" hidden="false"/>
    </xf>
    <xf numFmtId="164" fontId="4" fillId="17" borderId="39" xfId="0" applyFont="true" applyBorder="true" applyAlignment="true" applyProtection="false">
      <alignment horizontal="center" vertical="bottom" textRotation="0" wrapText="false" indent="0" shrinkToFit="false"/>
      <protection locked="true" hidden="false"/>
    </xf>
    <xf numFmtId="164" fontId="34" fillId="0" borderId="37" xfId="0" applyFont="true" applyBorder="true" applyAlignment="true" applyProtection="true">
      <alignment horizontal="general" vertical="bottom" textRotation="0" wrapText="false" indent="0" shrinkToFit="false"/>
      <protection locked="false" hidden="false"/>
    </xf>
    <xf numFmtId="164" fontId="34" fillId="0" borderId="30" xfId="0" applyFont="true" applyBorder="true" applyAlignment="true" applyProtection="true">
      <alignment horizontal="general" vertical="bottom" textRotation="0" wrapText="false" indent="0" shrinkToFit="false"/>
      <protection locked="false" hidden="false"/>
    </xf>
    <xf numFmtId="164" fontId="50" fillId="0" borderId="30" xfId="0" applyFont="true" applyBorder="true" applyAlignment="true" applyProtection="false">
      <alignment horizontal="center" vertical="center" textRotation="0" wrapText="false" indent="0" shrinkToFit="false"/>
      <protection locked="true" hidden="false"/>
    </xf>
    <xf numFmtId="164" fontId="34" fillId="0" borderId="37" xfId="0" applyFont="true" applyBorder="true" applyAlignment="true" applyProtection="false">
      <alignment horizontal="center" vertical="bottom" textRotation="0" wrapText="false" indent="0" shrinkToFit="false"/>
      <protection locked="true" hidden="false"/>
    </xf>
    <xf numFmtId="164" fontId="40" fillId="0" borderId="0" xfId="0" applyFont="true" applyBorder="true" applyAlignment="false" applyProtection="false">
      <alignment horizontal="general" vertical="bottom" textRotation="0" wrapText="false" indent="0" shrinkToFit="false"/>
      <protection locked="true" hidden="false"/>
    </xf>
    <xf numFmtId="164" fontId="39" fillId="20" borderId="39" xfId="0" applyFont="true" applyBorder="true" applyAlignment="true" applyProtection="false">
      <alignment horizontal="general" vertical="center" textRotation="0" wrapText="true" indent="0" shrinkToFit="false"/>
      <protection locked="true" hidden="false"/>
    </xf>
    <xf numFmtId="164" fontId="34" fillId="0" borderId="26" xfId="0" applyFont="true" applyBorder="true" applyAlignment="false" applyProtection="false">
      <alignment horizontal="general" vertical="bottom" textRotation="0" wrapText="false" indent="0" shrinkToFit="false"/>
      <protection locked="true" hidden="false"/>
    </xf>
    <xf numFmtId="164" fontId="4" fillId="17" borderId="26" xfId="0" applyFont="true" applyBorder="true" applyAlignment="true" applyProtection="false">
      <alignment horizontal="center" vertical="bottom" textRotation="0" wrapText="false" indent="0" shrinkToFit="false"/>
      <protection locked="true" hidden="false"/>
    </xf>
    <xf numFmtId="164" fontId="5" fillId="0" borderId="0" xfId="0" applyFont="true" applyBorder="true" applyAlignment="true" applyProtection="false">
      <alignment horizontal="left" vertical="center" textRotation="0" wrapText="false" indent="0" shrinkToFit="false"/>
      <protection locked="true" hidden="false"/>
    </xf>
    <xf numFmtId="164" fontId="52" fillId="0" borderId="0" xfId="0" applyFont="true" applyBorder="true" applyAlignment="true" applyProtection="false">
      <alignment horizontal="left" vertical="center" textRotation="0" wrapText="false" indent="0" shrinkToFit="false"/>
      <protection locked="true" hidden="false"/>
    </xf>
    <xf numFmtId="164" fontId="52" fillId="0" borderId="37" xfId="0" applyFont="true" applyBorder="true" applyAlignment="true" applyProtection="false">
      <alignment horizontal="general" vertical="bottom" textRotation="0" wrapText="false" indent="0" shrinkToFit="false"/>
      <protection locked="true" hidden="false"/>
    </xf>
    <xf numFmtId="164" fontId="0" fillId="0" borderId="39" xfId="45" applyFont="true" applyBorder="true" applyAlignment="true" applyProtection="true">
      <alignment horizontal="center" vertical="center" textRotation="0" wrapText="false" indent="0" shrinkToFit="false"/>
      <protection locked="false" hidden="false"/>
    </xf>
    <xf numFmtId="164" fontId="49" fillId="20" borderId="26" xfId="0" applyFont="true" applyBorder="true" applyAlignment="true" applyProtection="false">
      <alignment horizontal="center" vertical="center" textRotation="0" wrapText="true" indent="0" shrinkToFit="false"/>
      <protection locked="true" hidden="false"/>
    </xf>
    <xf numFmtId="164" fontId="52" fillId="0" borderId="37" xfId="0" applyFont="true" applyBorder="true" applyAlignment="true" applyProtection="true">
      <alignment horizontal="general" vertical="bottom" textRotation="0" wrapText="false" indent="0" shrinkToFit="false"/>
      <protection locked="false" hidden="false"/>
    </xf>
    <xf numFmtId="164" fontId="42" fillId="20" borderId="27" xfId="0" applyFont="true" applyBorder="true" applyAlignment="true" applyProtection="false">
      <alignment horizontal="center" vertical="center" textRotation="0" wrapText="true" indent="0" shrinkToFit="false"/>
      <protection locked="true" hidden="false"/>
    </xf>
    <xf numFmtId="164" fontId="34" fillId="0" borderId="46" xfId="0" applyFont="true" applyBorder="true" applyAlignment="true" applyProtection="false">
      <alignment horizontal="general" vertical="bottom" textRotation="0" wrapText="false" indent="0" shrinkToFit="false"/>
      <protection locked="true" hidden="false"/>
    </xf>
    <xf numFmtId="164" fontId="38" fillId="0" borderId="45" xfId="0" applyFont="true" applyBorder="true" applyAlignment="false" applyProtection="false">
      <alignment horizontal="general" vertical="bottom" textRotation="0" wrapText="false" indent="0" shrinkToFit="false"/>
      <protection locked="true" hidden="false"/>
    </xf>
    <xf numFmtId="164" fontId="38" fillId="0" borderId="35" xfId="0" applyFont="true" applyBorder="true" applyAlignment="false" applyProtection="false">
      <alignment horizontal="general" vertical="bottom" textRotation="0" wrapText="false" indent="0" shrinkToFit="false"/>
      <protection locked="true" hidden="false"/>
    </xf>
    <xf numFmtId="164" fontId="4" fillId="17" borderId="40" xfId="0" applyFont="true" applyBorder="true" applyAlignment="false" applyProtection="false">
      <alignment horizontal="general" vertical="bottom" textRotation="0" wrapText="false" indent="0" shrinkToFit="false"/>
      <protection locked="true" hidden="false"/>
    </xf>
    <xf numFmtId="164" fontId="34" fillId="0" borderId="37" xfId="0" applyFont="true" applyBorder="true" applyAlignment="true" applyProtection="false">
      <alignment horizontal="general" vertical="bottom" textRotation="0" wrapText="false" indent="0" shrinkToFit="false"/>
      <protection locked="true" hidden="false"/>
    </xf>
    <xf numFmtId="164" fontId="34" fillId="0" borderId="47" xfId="0" applyFont="true" applyBorder="true" applyAlignment="true" applyProtection="false">
      <alignment horizontal="general" vertical="bottom" textRotation="0" wrapText="false" indent="0" shrinkToFit="false"/>
      <protection locked="true" hidden="false"/>
    </xf>
    <xf numFmtId="164" fontId="49" fillId="0" borderId="0" xfId="0" applyFont="true" applyBorder="true" applyAlignment="true" applyProtection="false">
      <alignment horizontal="right" vertical="bottom" textRotation="0" wrapText="false" indent="0" shrinkToFit="false"/>
      <protection locked="true" hidden="false"/>
    </xf>
    <xf numFmtId="164" fontId="4" fillId="0" borderId="33" xfId="0" applyFont="true" applyBorder="true" applyAlignment="true" applyProtection="false">
      <alignment horizontal="left" vertical="bottom" textRotation="0" wrapText="false" indent="0" shrinkToFit="false"/>
      <protection locked="true" hidden="false"/>
    </xf>
    <xf numFmtId="164" fontId="47" fillId="0" borderId="0" xfId="0" applyFont="true" applyBorder="true" applyAlignment="true" applyProtection="false">
      <alignment horizontal="general" vertical="top" textRotation="0" wrapText="false" indent="0" shrinkToFit="false"/>
      <protection locked="true" hidden="false"/>
    </xf>
    <xf numFmtId="164" fontId="4" fillId="17" borderId="26" xfId="0" applyFont="true" applyBorder="true" applyAlignment="true" applyProtection="false">
      <alignment horizontal="center" vertical="center" textRotation="0" wrapText="false" indent="0" shrinkToFit="false"/>
      <protection locked="true" hidden="false"/>
    </xf>
    <xf numFmtId="164" fontId="32" fillId="0" borderId="0" xfId="0" applyFont="true" applyBorder="true" applyAlignment="true" applyProtection="false">
      <alignment horizontal="right" vertical="bottom" textRotation="0" wrapText="false" indent="0" shrinkToFit="false"/>
      <protection locked="true" hidden="false"/>
    </xf>
    <xf numFmtId="164" fontId="33" fillId="0" borderId="0" xfId="0" applyFont="true" applyBorder="true" applyAlignment="true" applyProtection="false">
      <alignment horizontal="right" vertical="bottom" textRotation="0" wrapText="false" indent="0" shrinkToFit="false"/>
      <protection locked="true" hidden="false"/>
    </xf>
    <xf numFmtId="164" fontId="34" fillId="0" borderId="0" xfId="0" applyFont="true" applyBorder="true" applyAlignment="true" applyProtection="false">
      <alignment horizontal="right" vertical="bottom" textRotation="0" wrapText="false" indent="0" shrinkToFit="false"/>
      <protection locked="true" hidden="false"/>
    </xf>
    <xf numFmtId="164" fontId="34" fillId="0" borderId="0" xfId="0" applyFont="true" applyBorder="true" applyAlignment="true" applyProtection="false">
      <alignment horizontal="general" vertical="bottom" textRotation="0" wrapText="true" indent="0" shrinkToFit="false"/>
      <protection locked="true" hidden="false"/>
    </xf>
    <xf numFmtId="164" fontId="4" fillId="0" borderId="33" xfId="0" applyFont="true" applyBorder="true" applyAlignment="true" applyProtection="false">
      <alignment horizontal="left" vertical="bottom" textRotation="0" wrapText="true" indent="0" shrinkToFit="false"/>
      <protection locked="true" hidden="false"/>
    </xf>
    <xf numFmtId="164" fontId="35" fillId="0"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left" vertical="center" textRotation="0" wrapText="true" indent="0" shrinkToFit="false"/>
      <protection locked="true" hidden="false"/>
    </xf>
    <xf numFmtId="164" fontId="4" fillId="0" borderId="0" xfId="0" applyFont="true" applyBorder="true" applyAlignment="true" applyProtection="false">
      <alignment horizontal="center" vertical="bottom" textRotation="0" wrapText="true" indent="0" shrinkToFit="false"/>
      <protection locked="true" hidden="false"/>
    </xf>
    <xf numFmtId="164" fontId="38" fillId="0" borderId="0" xfId="0" applyFont="true" applyBorder="true" applyAlignment="true" applyProtection="false">
      <alignment horizontal="left" vertical="bottom" textRotation="0" wrapText="false" indent="0" shrinkToFit="false"/>
      <protection locked="true" hidden="false"/>
    </xf>
    <xf numFmtId="164" fontId="54" fillId="0" borderId="0" xfId="0" applyFont="true" applyBorder="true" applyAlignment="false" applyProtection="false">
      <alignment horizontal="general" vertical="bottom" textRotation="0" wrapText="false" indent="0" shrinkToFit="false"/>
      <protection locked="true" hidden="false"/>
    </xf>
    <xf numFmtId="164" fontId="47" fillId="0" borderId="0" xfId="0" applyFont="true" applyBorder="true" applyAlignment="true" applyProtection="false">
      <alignment horizontal="right" vertical="center" textRotation="0" wrapText="false" indent="0" shrinkToFit="false"/>
      <protection locked="true" hidden="false"/>
    </xf>
    <xf numFmtId="164" fontId="4" fillId="0" borderId="33" xfId="0" applyFont="true" applyBorder="true" applyAlignment="true" applyProtection="false">
      <alignment horizontal="right" vertical="bottom" textRotation="0" wrapText="false" indent="0" shrinkToFit="false"/>
      <protection locked="true" hidden="false"/>
    </xf>
    <xf numFmtId="164" fontId="38" fillId="17" borderId="0" xfId="0" applyFont="true" applyBorder="true" applyAlignment="false" applyProtection="false">
      <alignment horizontal="general" vertical="bottom" textRotation="0" wrapText="false" indent="0" shrinkToFit="false"/>
      <protection locked="true" hidden="false"/>
    </xf>
    <xf numFmtId="164" fontId="55" fillId="20" borderId="48" xfId="0" applyFont="true" applyBorder="true" applyAlignment="true" applyProtection="false">
      <alignment horizontal="center" vertical="center" textRotation="0" wrapText="true" indent="0" shrinkToFit="false"/>
      <protection locked="true" hidden="false"/>
    </xf>
    <xf numFmtId="164" fontId="55" fillId="20" borderId="49" xfId="0" applyFont="true" applyBorder="true" applyAlignment="true" applyProtection="false">
      <alignment horizontal="center" vertical="center" textRotation="0" wrapText="true" indent="0" shrinkToFit="false"/>
      <protection locked="true" hidden="false"/>
    </xf>
    <xf numFmtId="164" fontId="55" fillId="20" borderId="50" xfId="0" applyFont="true" applyBorder="true" applyAlignment="true" applyProtection="false">
      <alignment horizontal="center" vertical="center" textRotation="0" wrapText="true" indent="0" shrinkToFit="false"/>
      <protection locked="true" hidden="false"/>
    </xf>
    <xf numFmtId="164" fontId="55" fillId="20" borderId="51" xfId="0" applyFont="true" applyBorder="true" applyAlignment="true" applyProtection="false">
      <alignment horizontal="center" vertical="center" textRotation="0" wrapText="true" indent="0" shrinkToFit="false"/>
      <protection locked="true" hidden="false"/>
    </xf>
    <xf numFmtId="164" fontId="55" fillId="20" borderId="52" xfId="0" applyFont="true" applyBorder="true" applyAlignment="true" applyProtection="false">
      <alignment horizontal="center" vertical="center" textRotation="0" wrapText="true" indent="0" shrinkToFit="false"/>
      <protection locked="true" hidden="false"/>
    </xf>
    <xf numFmtId="164" fontId="49" fillId="20" borderId="53" xfId="0" applyFont="true" applyBorder="true" applyAlignment="true" applyProtection="false">
      <alignment horizontal="center" vertical="center" textRotation="0" wrapText="true" indent="0" shrinkToFit="false"/>
      <protection locked="true" hidden="false"/>
    </xf>
    <xf numFmtId="164" fontId="35" fillId="17" borderId="54" xfId="0" applyFont="true" applyBorder="true" applyAlignment="true" applyProtection="false">
      <alignment horizontal="center" vertical="bottom" textRotation="0" wrapText="true" indent="0" shrinkToFit="false"/>
      <protection locked="true" hidden="false"/>
    </xf>
    <xf numFmtId="164" fontId="35" fillId="17" borderId="55" xfId="0" applyFont="true" applyBorder="true" applyAlignment="true" applyProtection="false">
      <alignment horizontal="center" vertical="bottom" textRotation="0" wrapText="true" indent="0" shrinkToFit="false"/>
      <protection locked="true" hidden="false"/>
    </xf>
    <xf numFmtId="164" fontId="35" fillId="17" borderId="56" xfId="0" applyFont="true" applyBorder="true" applyAlignment="true" applyProtection="false">
      <alignment horizontal="general" vertical="bottom" textRotation="0" wrapText="true" indent="0" shrinkToFit="false"/>
      <protection locked="true" hidden="false"/>
    </xf>
    <xf numFmtId="164" fontId="35" fillId="17" borderId="57" xfId="0" applyFont="true" applyBorder="true" applyAlignment="true" applyProtection="false">
      <alignment horizontal="general" vertical="bottom" textRotation="0" wrapText="true" indent="0" shrinkToFit="false"/>
      <protection locked="true" hidden="false"/>
    </xf>
    <xf numFmtId="164" fontId="35" fillId="17" borderId="58" xfId="0" applyFont="true" applyBorder="true" applyAlignment="true" applyProtection="false">
      <alignment horizontal="general" vertical="bottom" textRotation="0" wrapText="true" indent="0" shrinkToFit="false"/>
      <protection locked="true" hidden="false"/>
    </xf>
    <xf numFmtId="164" fontId="35" fillId="17" borderId="55" xfId="0" applyFont="true" applyBorder="true" applyAlignment="true" applyProtection="false">
      <alignment horizontal="general" vertical="bottom" textRotation="0" wrapText="true" indent="0" shrinkToFit="false"/>
      <protection locked="true" hidden="false"/>
    </xf>
    <xf numFmtId="164" fontId="35" fillId="17" borderId="59" xfId="0" applyFont="true" applyBorder="true" applyAlignment="true" applyProtection="false">
      <alignment horizontal="center" vertical="bottom" textRotation="0" wrapText="true" indent="0" shrinkToFit="false"/>
      <protection locked="true" hidden="false"/>
    </xf>
    <xf numFmtId="164" fontId="35" fillId="17" borderId="60" xfId="0" applyFont="true" applyBorder="true" applyAlignment="true" applyProtection="false">
      <alignment horizontal="center" vertical="bottom" textRotation="0" wrapText="true" indent="0" shrinkToFit="false"/>
      <protection locked="true" hidden="false"/>
    </xf>
    <xf numFmtId="164" fontId="35" fillId="17" borderId="8" xfId="0" applyFont="true" applyBorder="true" applyAlignment="true" applyProtection="false">
      <alignment horizontal="center" vertical="bottom" textRotation="0" wrapText="true" indent="0" shrinkToFit="false"/>
      <protection locked="true" hidden="false"/>
    </xf>
    <xf numFmtId="164" fontId="30" fillId="20" borderId="0" xfId="51" applyFont="true" applyBorder="true" applyAlignment="true" applyProtection="true">
      <alignment horizontal="center" vertical="center" textRotation="0" wrapText="true" indent="0" shrinkToFit="false"/>
      <protection locked="true" hidden="false"/>
    </xf>
    <xf numFmtId="164" fontId="44" fillId="0" borderId="0" xfId="0" applyFont="true" applyBorder="true" applyAlignment="true" applyProtection="false">
      <alignment horizontal="right" vertical="bottom" textRotation="0" wrapText="false" indent="0" shrinkToFit="false"/>
      <protection locked="true" hidden="false"/>
    </xf>
    <xf numFmtId="164" fontId="35" fillId="0" borderId="0" xfId="0" applyFont="true" applyBorder="true" applyAlignment="true" applyProtection="false">
      <alignment horizontal="center" vertical="center" textRotation="0" wrapText="true" indent="0" shrinkToFit="false"/>
      <protection locked="true" hidden="false"/>
    </xf>
    <xf numFmtId="164" fontId="49" fillId="0" borderId="0" xfId="0" applyFont="true" applyBorder="true" applyAlignment="true" applyProtection="false">
      <alignment horizontal="left" vertical="bottom" textRotation="0" wrapText="false" indent="0" shrinkToFit="false"/>
      <protection locked="true" hidden="false"/>
    </xf>
    <xf numFmtId="164" fontId="35" fillId="0" borderId="0" xfId="0" applyFont="true" applyBorder="true" applyAlignment="true" applyProtection="false">
      <alignment horizontal="general" vertical="center" textRotation="0" wrapText="true" indent="0" shrinkToFit="false"/>
      <protection locked="true" hidden="false"/>
    </xf>
    <xf numFmtId="164" fontId="47" fillId="0" borderId="0" xfId="0" applyFont="true" applyBorder="true" applyAlignment="true" applyProtection="false">
      <alignment horizontal="left" vertical="center" textRotation="0" wrapText="true" indent="0" shrinkToFit="false"/>
      <protection locked="true" hidden="false"/>
    </xf>
    <xf numFmtId="164" fontId="42" fillId="20" borderId="37" xfId="0" applyFont="true" applyBorder="true" applyAlignment="true" applyProtection="false">
      <alignment horizontal="center" vertical="center" textRotation="0" wrapText="true" indent="0" shrinkToFit="false"/>
      <protection locked="true" hidden="false"/>
    </xf>
    <xf numFmtId="164" fontId="42" fillId="20" borderId="39" xfId="0" applyFont="true" applyBorder="true" applyAlignment="true" applyProtection="false">
      <alignment horizontal="center" vertical="center" textRotation="0" wrapText="true" indent="0" shrinkToFit="false"/>
      <protection locked="true" hidden="false"/>
    </xf>
    <xf numFmtId="164" fontId="42" fillId="20" borderId="30" xfId="0" applyFont="true" applyBorder="true" applyAlignment="true" applyProtection="false">
      <alignment horizontal="center" vertical="center" textRotation="0" wrapText="true" indent="0" shrinkToFit="false"/>
      <protection locked="true" hidden="false"/>
    </xf>
    <xf numFmtId="164" fontId="4" fillId="0" borderId="34" xfId="0" applyFont="true" applyBorder="true" applyAlignment="true" applyProtection="false">
      <alignment horizontal="general" vertical="bottom" textRotation="0" wrapText="false" indent="0" shrinkToFit="false"/>
      <protection locked="true" hidden="false"/>
    </xf>
    <xf numFmtId="164" fontId="4" fillId="0" borderId="45" xfId="0" applyFont="true" applyBorder="true" applyAlignment="true" applyProtection="false">
      <alignment horizontal="general" vertical="bottom" textRotation="0" wrapText="false" indent="0" shrinkToFit="false"/>
      <protection locked="true" hidden="false"/>
    </xf>
    <xf numFmtId="164" fontId="34" fillId="0" borderId="45" xfId="0" applyFont="true" applyBorder="true" applyAlignment="true" applyProtection="false">
      <alignment horizontal="center" vertical="center" textRotation="0" wrapText="true" indent="0" shrinkToFit="false"/>
      <protection locked="true" hidden="false"/>
    </xf>
    <xf numFmtId="164" fontId="4" fillId="17" borderId="35" xfId="0" applyFont="true" applyBorder="true" applyAlignment="true" applyProtection="false">
      <alignment horizontal="center" vertical="center" textRotation="0" wrapText="false" indent="0" shrinkToFit="false"/>
      <protection locked="true" hidden="false"/>
    </xf>
    <xf numFmtId="164" fontId="38" fillId="0" borderId="0" xfId="0" applyFont="true" applyBorder="true" applyAlignment="true" applyProtection="false">
      <alignment horizontal="general" vertical="center" textRotation="0" wrapText="true" indent="0" shrinkToFit="false"/>
      <protection locked="true" hidden="false"/>
    </xf>
    <xf numFmtId="164" fontId="4" fillId="0" borderId="37" xfId="0" applyFont="true" applyBorder="true" applyAlignment="true" applyProtection="false">
      <alignment horizontal="general" vertical="bottom" textRotation="0" wrapText="false" indent="0" shrinkToFit="false"/>
      <protection locked="true" hidden="false"/>
    </xf>
    <xf numFmtId="164" fontId="4" fillId="0" borderId="39" xfId="0" applyFont="true" applyBorder="true" applyAlignment="true" applyProtection="false">
      <alignment horizontal="general" vertical="bottom" textRotation="0" wrapText="false" indent="0" shrinkToFit="false"/>
      <protection locked="true" hidden="false"/>
    </xf>
    <xf numFmtId="164" fontId="34" fillId="0" borderId="39" xfId="0" applyFont="true" applyBorder="true" applyAlignment="true" applyProtection="false">
      <alignment horizontal="center" vertical="center" textRotation="0" wrapText="true" indent="0" shrinkToFit="false"/>
      <protection locked="true" hidden="false"/>
    </xf>
    <xf numFmtId="164" fontId="4" fillId="17" borderId="30" xfId="0" applyFont="true" applyBorder="true" applyAlignment="true" applyProtection="false">
      <alignment horizontal="center" vertical="center" textRotation="0" wrapText="false" indent="0" shrinkToFit="false"/>
      <protection locked="true" hidden="false"/>
    </xf>
    <xf numFmtId="164" fontId="56" fillId="0" borderId="32" xfId="0" applyFont="true" applyBorder="true" applyAlignment="true" applyProtection="false">
      <alignment horizontal="center" vertical="center" textRotation="0" wrapText="true" indent="0" shrinkToFit="false"/>
      <protection locked="true" hidden="false"/>
    </xf>
    <xf numFmtId="164" fontId="38" fillId="0" borderId="32" xfId="0" applyFont="true" applyBorder="true" applyAlignment="true" applyProtection="false">
      <alignment horizontal="general" vertical="center" textRotation="0" wrapText="true" indent="0" shrinkToFit="false"/>
      <protection locked="true" hidden="false"/>
    </xf>
    <xf numFmtId="164" fontId="34" fillId="0" borderId="39" xfId="0" applyFont="true" applyBorder="true" applyAlignment="true" applyProtection="false">
      <alignment horizontal="general" vertical="bottom" textRotation="0" wrapText="false" indent="0" shrinkToFit="false"/>
      <protection locked="true" hidden="false"/>
    </xf>
    <xf numFmtId="164" fontId="49" fillId="0" borderId="0" xfId="0" applyFont="true" applyBorder="true" applyAlignment="true" applyProtection="false">
      <alignment horizontal="left" vertical="center" textRotation="0" wrapText="true" indent="0" shrinkToFit="false"/>
      <protection locked="true" hidden="false"/>
    </xf>
    <xf numFmtId="164" fontId="34" fillId="0" borderId="0" xfId="50" applyFont="true" applyBorder="true" applyAlignment="true" applyProtection="true">
      <alignment horizontal="left" vertical="center" textRotation="0" wrapText="false" indent="0" shrinkToFit="false"/>
      <protection locked="true" hidden="false"/>
    </xf>
    <xf numFmtId="164" fontId="4" fillId="0" borderId="0" xfId="0" applyFont="true" applyBorder="true" applyAlignment="true" applyProtection="false">
      <alignment horizontal="center" vertical="center" textRotation="0" wrapText="true" indent="0" shrinkToFit="false"/>
      <protection locked="true" hidden="false"/>
    </xf>
    <xf numFmtId="164" fontId="34" fillId="0" borderId="32" xfId="0" applyFont="true" applyBorder="true" applyAlignment="true" applyProtection="false">
      <alignment horizontal="general" vertical="bottom" textRotation="0" wrapText="false" indent="0" shrinkToFit="false"/>
      <protection locked="true" hidden="false"/>
    </xf>
    <xf numFmtId="164" fontId="34" fillId="0" borderId="32" xfId="0" applyFont="true" applyBorder="true" applyAlignment="true" applyProtection="false">
      <alignment horizontal="general" vertical="bottom" textRotation="0" wrapText="true" indent="0" shrinkToFit="false"/>
      <protection locked="true" hidden="false"/>
    </xf>
    <xf numFmtId="164" fontId="50" fillId="0" borderId="0" xfId="0" applyFont="true" applyBorder="true" applyAlignment="true" applyProtection="false">
      <alignment horizontal="left" vertical="top" textRotation="0" wrapText="true" indent="0" shrinkToFit="false"/>
      <protection locked="true" hidden="false"/>
    </xf>
    <xf numFmtId="164" fontId="4" fillId="0" borderId="0" xfId="0" applyFont="true" applyBorder="true" applyAlignment="true" applyProtection="false">
      <alignment horizontal="general" vertical="center" textRotation="0" wrapText="true" indent="0" shrinkToFit="false"/>
      <protection locked="true" hidden="false"/>
    </xf>
    <xf numFmtId="164" fontId="4" fillId="0" borderId="61" xfId="0" applyFont="true" applyBorder="true" applyAlignment="true" applyProtection="false">
      <alignment horizontal="right" vertical="center" textRotation="0" wrapText="true" indent="0" shrinkToFit="false"/>
      <protection locked="true" hidden="false"/>
    </xf>
    <xf numFmtId="164" fontId="4" fillId="17" borderId="14" xfId="0" applyFont="true" applyBorder="true" applyAlignment="true" applyProtection="false">
      <alignment horizontal="center" vertical="center" textRotation="0" wrapText="true" indent="0" shrinkToFit="false"/>
      <protection locked="true" hidden="false"/>
    </xf>
    <xf numFmtId="164" fontId="4" fillId="0" borderId="12" xfId="0" applyFont="true" applyBorder="true" applyAlignment="true" applyProtection="false">
      <alignment horizontal="right" vertical="center" textRotation="0" wrapText="true" indent="0" shrinkToFit="false"/>
      <protection locked="true" hidden="false"/>
    </xf>
    <xf numFmtId="164" fontId="4" fillId="17" borderId="6" xfId="0" applyFont="true" applyBorder="true" applyAlignment="true" applyProtection="false">
      <alignment horizontal="center" vertical="center" textRotation="0" wrapText="true" indent="0" shrinkToFit="false"/>
      <protection locked="true" hidden="false"/>
    </xf>
    <xf numFmtId="164" fontId="34" fillId="17" borderId="6" xfId="44" applyFont="true" applyBorder="true" applyAlignment="true" applyProtection="true">
      <alignment horizontal="center" vertical="center" textRotation="0" wrapText="true" indent="0" shrinkToFit="false"/>
      <protection locked="true" hidden="false"/>
    </xf>
    <xf numFmtId="164" fontId="34" fillId="17" borderId="11" xfId="44" applyFont="true" applyBorder="true" applyAlignment="true" applyProtection="true">
      <alignment horizontal="center" vertical="center" textRotation="0" wrapText="true" indent="0" shrinkToFit="false"/>
      <protection locked="true" hidden="false"/>
    </xf>
    <xf numFmtId="164" fontId="4" fillId="0" borderId="62" xfId="0" applyFont="true" applyBorder="true" applyAlignment="true" applyProtection="false">
      <alignment horizontal="right" vertical="center" textRotation="0" wrapText="true" indent="0" shrinkToFit="false"/>
      <protection locked="true" hidden="false"/>
    </xf>
    <xf numFmtId="164" fontId="4" fillId="0" borderId="0" xfId="0" applyFont="true" applyBorder="true" applyAlignment="true" applyProtection="false">
      <alignment horizontal="right" vertical="center" textRotation="0" wrapText="true" indent="0" shrinkToFit="false"/>
      <protection locked="true" hidden="false"/>
    </xf>
    <xf numFmtId="164" fontId="34" fillId="17" borderId="63" xfId="44" applyFont="true" applyBorder="true" applyAlignment="true" applyProtection="true">
      <alignment horizontal="center" vertical="center" textRotation="0" wrapText="true" indent="0" shrinkToFit="false"/>
      <protection locked="true" hidden="false"/>
    </xf>
    <xf numFmtId="164" fontId="34" fillId="0" borderId="0" xfId="0" applyFont="true" applyBorder="true" applyAlignment="true" applyProtection="false">
      <alignment horizontal="center" vertical="bottom" textRotation="0" wrapText="false" indent="0" shrinkToFit="false"/>
      <protection locked="true" hidden="false"/>
    </xf>
    <xf numFmtId="164" fontId="57" fillId="0" borderId="0" xfId="0" applyFont="true" applyBorder="true" applyAlignment="false" applyProtection="false">
      <alignment horizontal="general" vertical="bottom" textRotation="0" wrapText="false" indent="0" shrinkToFit="false"/>
      <protection locked="true" hidden="false"/>
    </xf>
    <xf numFmtId="164" fontId="38" fillId="0" borderId="33" xfId="0" applyFont="true" applyBorder="true" applyAlignment="true" applyProtection="false">
      <alignment horizontal="left" vertical="bottom" textRotation="0" wrapText="true" indent="0" shrinkToFit="false"/>
      <protection locked="true" hidden="false"/>
    </xf>
    <xf numFmtId="164" fontId="17" fillId="0" borderId="0" xfId="0" applyFont="true" applyBorder="true" applyAlignment="true" applyProtection="false">
      <alignment horizontal="general" vertical="center" textRotation="0" wrapText="true" indent="0" shrinkToFit="false"/>
      <protection locked="true" hidden="false"/>
    </xf>
    <xf numFmtId="164" fontId="38" fillId="0" borderId="0" xfId="0" applyFont="true" applyBorder="true" applyAlignment="true" applyProtection="false">
      <alignment horizontal="left" vertical="bottom" textRotation="0" wrapText="true" indent="0" shrinkToFit="false"/>
      <protection locked="true" hidden="false"/>
    </xf>
    <xf numFmtId="164" fontId="38" fillId="17" borderId="40" xfId="0" applyFont="true" applyBorder="true" applyAlignment="true" applyProtection="false">
      <alignment horizontal="general" vertical="bottom" textRotation="0" wrapText="false" indent="0" shrinkToFit="false"/>
      <protection locked="true" hidden="false"/>
    </xf>
    <xf numFmtId="164" fontId="34" fillId="17" borderId="26" xfId="0" applyFont="true" applyBorder="true" applyAlignment="false" applyProtection="false">
      <alignment horizontal="general" vertical="bottom" textRotation="0" wrapText="false" indent="0" shrinkToFit="false"/>
      <protection locked="true" hidden="false"/>
    </xf>
    <xf numFmtId="164" fontId="50" fillId="0" borderId="0" xfId="0" applyFont="true" applyBorder="true" applyAlignment="true" applyProtection="false">
      <alignment horizontal="left" vertical="bottom" textRotation="0" wrapText="false" indent="0" shrinkToFit="false"/>
      <protection locked="true" hidden="false"/>
    </xf>
    <xf numFmtId="164" fontId="47" fillId="0" borderId="0" xfId="0" applyFont="true" applyBorder="true" applyAlignment="true" applyProtection="false">
      <alignment horizontal="general" vertical="bottom" textRotation="0" wrapText="false" indent="0" shrinkToFit="false"/>
      <protection locked="true" hidden="false"/>
    </xf>
    <xf numFmtId="164" fontId="42" fillId="0" borderId="0" xfId="0" applyFont="true" applyBorder="true" applyAlignment="false" applyProtection="false">
      <alignment horizontal="general" vertical="bottom" textRotation="0" wrapText="false" indent="0" shrinkToFit="false"/>
      <protection locked="true" hidden="false"/>
    </xf>
    <xf numFmtId="164" fontId="38" fillId="0" borderId="45" xfId="0" applyFont="true" applyBorder="true" applyAlignment="true" applyProtection="false">
      <alignment horizontal="center" vertical="center" textRotation="0" wrapText="true" indent="0" shrinkToFit="false"/>
      <protection locked="true" hidden="false"/>
    </xf>
    <xf numFmtId="164" fontId="50" fillId="0" borderId="0" xfId="0" applyFont="true" applyBorder="true" applyAlignment="true" applyProtection="false">
      <alignment horizontal="left" vertical="bottom" textRotation="0" wrapText="true" indent="0" shrinkToFit="false"/>
      <protection locked="true" hidden="false"/>
    </xf>
    <xf numFmtId="164" fontId="38" fillId="0" borderId="26" xfId="0" applyFont="true" applyBorder="true" applyAlignment="true" applyProtection="false">
      <alignment horizontal="center" vertical="center" textRotation="0" wrapText="false" indent="0" shrinkToFit="false"/>
      <protection locked="true" hidden="false"/>
    </xf>
    <xf numFmtId="164" fontId="58" fillId="0" borderId="26" xfId="0" applyFont="true" applyBorder="true" applyAlignment="true" applyProtection="false">
      <alignment horizontal="left" vertical="center" textRotation="0" wrapText="false" indent="0" shrinkToFit="false"/>
      <protection locked="true" hidden="false"/>
    </xf>
    <xf numFmtId="164" fontId="38" fillId="17" borderId="26" xfId="0" applyFont="true" applyBorder="true" applyAlignment="true" applyProtection="false">
      <alignment horizontal="general" vertical="bottom" textRotation="0" wrapText="false" indent="0" shrinkToFit="false"/>
      <protection locked="true" hidden="false"/>
    </xf>
    <xf numFmtId="164" fontId="58" fillId="0" borderId="26" xfId="0" applyFont="true" applyBorder="true" applyAlignment="true" applyProtection="false">
      <alignment horizontal="left" vertical="center" textRotation="0" wrapText="true" indent="0" shrinkToFit="false"/>
      <protection locked="true" hidden="false"/>
    </xf>
    <xf numFmtId="164" fontId="58" fillId="0" borderId="26" xfId="0" applyFont="true" applyBorder="true" applyAlignment="true" applyProtection="false">
      <alignment horizontal="general" vertical="center" textRotation="0" wrapText="false" indent="0" shrinkToFit="false"/>
      <protection locked="true" hidden="false"/>
    </xf>
    <xf numFmtId="164" fontId="58" fillId="17" borderId="26" xfId="0" applyFont="true" applyBorder="true" applyAlignment="true" applyProtection="false">
      <alignment horizontal="center" vertical="center" textRotation="0" wrapText="false" indent="0" shrinkToFit="false"/>
      <protection locked="true" hidden="false"/>
    </xf>
    <xf numFmtId="164" fontId="33" fillId="20" borderId="26" xfId="0" applyFont="true" applyBorder="true" applyAlignment="true" applyProtection="false">
      <alignment horizontal="center" vertical="center" textRotation="0" wrapText="true" indent="0" shrinkToFit="false"/>
      <protection locked="true" hidden="false"/>
    </xf>
    <xf numFmtId="164" fontId="4" fillId="0" borderId="26" xfId="0" applyFont="true" applyBorder="true" applyAlignment="true" applyProtection="false">
      <alignment horizontal="left" vertical="center" textRotation="0" wrapText="false" indent="0" shrinkToFit="false"/>
      <protection locked="true" hidden="false"/>
    </xf>
    <xf numFmtId="164" fontId="4" fillId="0" borderId="26" xfId="0" applyFont="true" applyBorder="true" applyAlignment="true" applyProtection="false">
      <alignment horizontal="left" vertical="center" textRotation="0" wrapText="true" indent="0" shrinkToFit="false"/>
      <protection locked="true" hidden="false"/>
    </xf>
    <xf numFmtId="164" fontId="37" fillId="0" borderId="0" xfId="0" applyFont="true" applyBorder="true" applyAlignment="false" applyProtection="false">
      <alignment horizontal="general" vertical="bottom" textRotation="0" wrapText="false" indent="0" shrinkToFit="false"/>
      <protection locked="true" hidden="false"/>
    </xf>
    <xf numFmtId="164" fontId="61" fillId="0" borderId="0" xfId="0" applyFont="true" applyBorder="true" applyAlignment="true" applyProtection="false">
      <alignment horizontal="left" vertical="bottom" textRotation="0" wrapText="true" indent="0" shrinkToFit="false"/>
      <protection locked="true" hidden="false"/>
    </xf>
    <xf numFmtId="164" fontId="62" fillId="0" borderId="0" xfId="0" applyFont="true" applyBorder="true" applyAlignment="true" applyProtection="false">
      <alignment horizontal="general" vertical="bottom" textRotation="0" wrapText="false" indent="0" shrinkToFit="false"/>
      <protection locked="true" hidden="false"/>
    </xf>
    <xf numFmtId="164" fontId="60" fillId="0" borderId="33" xfId="0" applyFont="true" applyBorder="true" applyAlignment="true" applyProtection="false">
      <alignment horizontal="left" vertical="bottom" textRotation="0" wrapText="true" indent="0" shrinkToFit="false"/>
      <protection locked="true" hidden="false"/>
    </xf>
    <xf numFmtId="164" fontId="47" fillId="0" borderId="33" xfId="0" applyFont="true" applyBorder="true" applyAlignment="true" applyProtection="false">
      <alignment horizontal="left" vertical="bottom" textRotation="0" wrapText="true" indent="0" shrinkToFit="false"/>
      <protection locked="true" hidden="false"/>
    </xf>
    <xf numFmtId="164" fontId="60" fillId="0" borderId="0" xfId="0" applyFont="true" applyBorder="true" applyAlignment="true" applyProtection="false">
      <alignment horizontal="left" vertical="bottom" textRotation="0" wrapText="false" indent="0" shrinkToFit="false"/>
      <protection locked="true" hidden="false"/>
    </xf>
    <xf numFmtId="164" fontId="34" fillId="17" borderId="0" xfId="43" applyFont="true" applyBorder="true" applyAlignment="true" applyProtection="true">
      <alignment horizontal="general" vertical="bottom" textRotation="0" wrapText="false" indent="0" shrinkToFit="false"/>
      <protection locked="true" hidden="false"/>
    </xf>
    <xf numFmtId="164" fontId="34" fillId="17" borderId="0" xfId="0" applyFont="true" applyBorder="true" applyAlignment="false" applyProtection="false">
      <alignment horizontal="general" vertical="bottom" textRotation="0" wrapText="false" indent="0" shrinkToFit="false"/>
      <protection locked="true" hidden="false"/>
    </xf>
    <xf numFmtId="164" fontId="47" fillId="0" borderId="0" xfId="0" applyFont="true" applyBorder="true" applyAlignment="false" applyProtection="false">
      <alignment horizontal="general" vertical="bottom" textRotation="0" wrapText="false" indent="0" shrinkToFit="false"/>
      <protection locked="true" hidden="false"/>
    </xf>
    <xf numFmtId="164" fontId="47" fillId="0" borderId="0" xfId="0" applyFont="true" applyBorder="true" applyAlignment="true" applyProtection="false">
      <alignment horizontal="left" vertical="center" textRotation="0" wrapText="false" indent="0" shrinkToFit="false"/>
      <protection locked="true" hidden="false"/>
    </xf>
    <xf numFmtId="164" fontId="38" fillId="0" borderId="0" xfId="0" applyFont="true" applyBorder="true" applyAlignment="true" applyProtection="false">
      <alignment horizontal="center" vertical="bottom" textRotation="0" wrapText="false" indent="0" shrinkToFit="false"/>
      <protection locked="true" hidden="false"/>
    </xf>
    <xf numFmtId="164" fontId="37" fillId="17" borderId="0" xfId="0" applyFont="true" applyBorder="true" applyAlignment="false" applyProtection="false">
      <alignment horizontal="general" vertical="bottom" textRotation="0" wrapText="false" indent="0" shrinkToFit="false"/>
      <protection locked="true" hidden="false"/>
    </xf>
    <xf numFmtId="164" fontId="37" fillId="17" borderId="26" xfId="0" applyFont="true" applyBorder="true" applyAlignment="false" applyProtection="false">
      <alignment horizontal="general" vertical="bottom" textRotation="0" wrapText="false" indent="0" shrinkToFit="false"/>
      <protection locked="true" hidden="false"/>
    </xf>
    <xf numFmtId="164" fontId="37" fillId="0" borderId="0" xfId="0" applyFont="true" applyBorder="true" applyAlignment="true" applyProtection="false">
      <alignment horizontal="general" vertical="bottom" textRotation="0" wrapText="false" indent="0" shrinkToFit="false"/>
      <protection locked="true" hidden="false"/>
    </xf>
    <xf numFmtId="164" fontId="37" fillId="17" borderId="26"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center" vertical="center" textRotation="0" wrapText="false" indent="0" shrinkToFit="false"/>
      <protection locked="true" hidden="false"/>
    </xf>
    <xf numFmtId="164" fontId="47" fillId="0" borderId="0" xfId="0" applyFont="true" applyBorder="true" applyAlignment="true" applyProtection="false">
      <alignment horizontal="left" vertical="bottom" textRotation="0" wrapText="true" indent="0" shrinkToFit="false"/>
      <protection locked="true" hidden="false"/>
    </xf>
    <xf numFmtId="164" fontId="47" fillId="0" borderId="0" xfId="0" applyFont="true" applyBorder="true" applyAlignment="true" applyProtection="false">
      <alignment horizontal="right" vertical="bottom" textRotation="0" wrapText="false" indent="0" shrinkToFit="false"/>
      <protection locked="true" hidden="false"/>
    </xf>
    <xf numFmtId="164" fontId="33" fillId="27" borderId="0" xfId="47" applyFont="true" applyBorder="true" applyAlignment="true" applyProtection="true">
      <alignment horizontal="center" vertical="center" textRotation="0" wrapText="true" indent="0" shrinkToFit="false"/>
      <protection locked="true" hidden="false"/>
    </xf>
    <xf numFmtId="164" fontId="33" fillId="0" borderId="0" xfId="47" applyFont="true" applyBorder="true" applyAlignment="true" applyProtection="true">
      <alignment horizontal="center" vertical="center" textRotation="0" wrapText="true" indent="0" shrinkToFit="false"/>
      <protection locked="true" hidden="false"/>
    </xf>
    <xf numFmtId="164" fontId="33" fillId="27" borderId="36" xfId="47" applyFont="true" applyBorder="true" applyAlignment="true" applyProtection="true">
      <alignment horizontal="center" vertical="center" textRotation="0" wrapText="true" indent="0" shrinkToFit="false"/>
      <protection locked="true" hidden="false"/>
    </xf>
    <xf numFmtId="164" fontId="33" fillId="20" borderId="64" xfId="0" applyFont="true" applyBorder="true" applyAlignment="true" applyProtection="false">
      <alignment horizontal="center" vertical="center" textRotation="0" wrapText="true" indent="0" shrinkToFit="false"/>
      <protection locked="true" hidden="false"/>
    </xf>
    <xf numFmtId="164" fontId="33" fillId="20" borderId="65" xfId="0" applyFont="true" applyBorder="true" applyAlignment="true" applyProtection="false">
      <alignment horizontal="center" vertical="center" textRotation="0" wrapText="true" indent="0" shrinkToFit="false"/>
      <protection locked="true" hidden="false"/>
    </xf>
    <xf numFmtId="164" fontId="33" fillId="20" borderId="18" xfId="0" applyFont="true" applyBorder="true" applyAlignment="true" applyProtection="false">
      <alignment horizontal="center" vertical="center" textRotation="0" wrapText="true" indent="0" shrinkToFit="false"/>
      <protection locked="true" hidden="false"/>
    </xf>
    <xf numFmtId="164" fontId="33" fillId="20" borderId="66" xfId="0" applyFont="true" applyBorder="true" applyAlignment="true" applyProtection="false">
      <alignment horizontal="center" vertical="center" textRotation="0" wrapText="true" indent="0" shrinkToFit="false"/>
      <protection locked="true" hidden="false"/>
    </xf>
    <xf numFmtId="164" fontId="33" fillId="20" borderId="50" xfId="0" applyFont="true" applyBorder="true" applyAlignment="true" applyProtection="false">
      <alignment horizontal="center" vertical="center" textRotation="0" wrapText="true" indent="0" shrinkToFit="false"/>
      <protection locked="true" hidden="false"/>
    </xf>
    <xf numFmtId="164" fontId="33" fillId="0" borderId="67" xfId="41" applyFont="true" applyBorder="true" applyAlignment="true" applyProtection="true">
      <alignment horizontal="left" vertical="bottom" textRotation="0" wrapText="false" indent="0" shrinkToFit="false"/>
      <protection locked="true" hidden="false"/>
    </xf>
    <xf numFmtId="164" fontId="4" fillId="17" borderId="68" xfId="0" applyFont="true" applyBorder="true" applyAlignment="false" applyProtection="false">
      <alignment horizontal="general" vertical="bottom" textRotation="0" wrapText="false" indent="0" shrinkToFit="false"/>
      <protection locked="true" hidden="false"/>
    </xf>
    <xf numFmtId="164" fontId="4" fillId="17" borderId="69" xfId="0" applyFont="true" applyBorder="true" applyAlignment="false" applyProtection="false">
      <alignment horizontal="general" vertical="bottom" textRotation="0" wrapText="false" indent="0" shrinkToFit="false"/>
      <protection locked="true" hidden="false"/>
    </xf>
    <xf numFmtId="164" fontId="4" fillId="17" borderId="70" xfId="0" applyFont="true" applyBorder="true" applyAlignment="false" applyProtection="false">
      <alignment horizontal="general" vertical="bottom" textRotation="0" wrapText="false" indent="0" shrinkToFit="false"/>
      <protection locked="true" hidden="false"/>
    </xf>
    <xf numFmtId="164" fontId="56" fillId="0" borderId="0" xfId="0" applyFont="true" applyBorder="true" applyAlignment="false" applyProtection="false">
      <alignment horizontal="general" vertical="bottom" textRotation="0" wrapText="false" indent="0" shrinkToFit="false"/>
      <protection locked="true" hidden="false"/>
    </xf>
    <xf numFmtId="164" fontId="49" fillId="0" borderId="71" xfId="41" applyFont="true" applyBorder="true" applyAlignment="true" applyProtection="true">
      <alignment horizontal="left" vertical="top" textRotation="0" wrapText="true" indent="0" shrinkToFit="false"/>
      <protection locked="true" hidden="false"/>
    </xf>
    <xf numFmtId="164" fontId="68" fillId="0" borderId="0" xfId="0" applyFont="true" applyBorder="false" applyAlignment="false" applyProtection="false">
      <alignment horizontal="general" vertical="bottom" textRotation="0" wrapText="false" indent="0" shrinkToFit="false"/>
      <protection locked="true" hidden="false"/>
    </xf>
    <xf numFmtId="164" fontId="33" fillId="0" borderId="71" xfId="41" applyFont="true" applyBorder="true" applyAlignment="true" applyProtection="true">
      <alignment horizontal="left" vertical="bottom" textRotation="0" wrapText="true" indent="0" shrinkToFit="false"/>
      <protection locked="true" hidden="false"/>
    </xf>
    <xf numFmtId="164" fontId="33" fillId="0" borderId="71" xfId="41" applyFont="true" applyBorder="true" applyAlignment="true" applyProtection="true">
      <alignment horizontal="left" vertical="bottom" textRotation="0" wrapText="false" indent="0" shrinkToFit="false"/>
      <protection locked="true" hidden="false"/>
    </xf>
    <xf numFmtId="164" fontId="69" fillId="0" borderId="71" xfId="0" applyFont="true" applyBorder="true" applyAlignment="true" applyProtection="false">
      <alignment horizontal="center" vertical="center" textRotation="0" wrapText="false" indent="0" shrinkToFit="false"/>
      <protection locked="true" hidden="false"/>
    </xf>
    <xf numFmtId="164" fontId="49" fillId="0" borderId="72" xfId="41" applyFont="true" applyBorder="true" applyAlignment="true" applyProtection="true">
      <alignment horizontal="left" vertical="top" textRotation="0" wrapText="true" indent="0" shrinkToFit="false"/>
      <protection locked="true" hidden="false"/>
    </xf>
    <xf numFmtId="164" fontId="20" fillId="0" borderId="0" xfId="0" applyFont="true" applyBorder="true" applyAlignment="true" applyProtection="false">
      <alignment horizontal="left" vertical="bottom" textRotation="0" wrapText="true" indent="0" shrinkToFit="false"/>
      <protection locked="true" hidden="false"/>
    </xf>
    <xf numFmtId="164" fontId="52" fillId="0" borderId="0" xfId="0" applyFont="true" applyBorder="false" applyAlignment="false" applyProtection="false">
      <alignment horizontal="general" vertical="bottom" textRotation="0" wrapText="false" indent="0" shrinkToFit="false"/>
      <protection locked="true" hidden="false"/>
    </xf>
    <xf numFmtId="164" fontId="70" fillId="0" borderId="71" xfId="41" applyFont="true" applyBorder="true" applyAlignment="true" applyProtection="true">
      <alignment horizontal="left" vertical="top" textRotation="0" wrapText="true" indent="0" shrinkToFit="false"/>
      <protection locked="true" hidden="false"/>
    </xf>
    <xf numFmtId="164" fontId="49" fillId="0" borderId="73" xfId="41" applyFont="true" applyBorder="true" applyAlignment="true" applyProtection="true">
      <alignment horizontal="left" vertical="top" textRotation="0" wrapText="true" indent="0" shrinkToFit="false"/>
      <protection locked="true" hidden="false"/>
    </xf>
    <xf numFmtId="164" fontId="33" fillId="0" borderId="74" xfId="41" applyFont="true" applyBorder="true" applyAlignment="true" applyProtection="true">
      <alignment horizontal="left" vertical="bottom" textRotation="0" wrapText="true" indent="0" shrinkToFit="false"/>
      <protection locked="true" hidden="false"/>
    </xf>
    <xf numFmtId="164" fontId="56" fillId="0" borderId="0" xfId="0" applyFont="true" applyBorder="true" applyAlignment="true" applyProtection="false">
      <alignment horizontal="left" vertical="top" textRotation="0" wrapText="true" indent="0" shrinkToFit="false"/>
      <protection locked="true" hidden="false"/>
    </xf>
    <xf numFmtId="164" fontId="49" fillId="0" borderId="75" xfId="41" applyFont="true" applyBorder="true" applyAlignment="true" applyProtection="true">
      <alignment horizontal="left" vertical="top" textRotation="0" wrapText="true" indent="0" shrinkToFit="false"/>
      <protection locked="true" hidden="false"/>
    </xf>
    <xf numFmtId="164" fontId="33" fillId="0" borderId="64" xfId="41" applyFont="true" applyBorder="true" applyAlignment="true" applyProtection="true">
      <alignment horizontal="left" vertical="bottom" textRotation="0" wrapText="true" indent="0" shrinkToFit="false"/>
      <protection locked="true" hidden="false"/>
    </xf>
    <xf numFmtId="164" fontId="71" fillId="0" borderId="0" xfId="0" applyFont="true" applyBorder="true" applyAlignment="true" applyProtection="false">
      <alignment horizontal="left" vertical="top" textRotation="0" wrapText="true" indent="0" shrinkToFit="false"/>
      <protection locked="true" hidden="false"/>
    </xf>
    <xf numFmtId="164" fontId="72" fillId="0" borderId="0" xfId="0" applyFont="true" applyBorder="true" applyAlignment="true" applyProtection="false">
      <alignment horizontal="general" vertical="bottom" textRotation="0" wrapText="false" indent="0" shrinkToFit="false"/>
      <protection locked="true" hidden="false"/>
    </xf>
    <xf numFmtId="164" fontId="33" fillId="27" borderId="40" xfId="47" applyFont="true" applyBorder="true" applyAlignment="true" applyProtection="true">
      <alignment horizontal="center" vertical="center" textRotation="0" wrapText="true" indent="0" shrinkToFit="false"/>
      <protection locked="true" hidden="false"/>
    </xf>
    <xf numFmtId="164" fontId="71" fillId="0" borderId="0" xfId="0" applyFont="true" applyBorder="true" applyAlignment="false" applyProtection="false">
      <alignment horizontal="general" vertical="bottom" textRotation="0" wrapText="false" indent="0" shrinkToFit="false"/>
      <protection locked="true" hidden="false"/>
    </xf>
    <xf numFmtId="164" fontId="33" fillId="27" borderId="26" xfId="47" applyFont="true" applyBorder="true" applyAlignment="true" applyProtection="true">
      <alignment horizontal="center" vertical="center" textRotation="0" wrapText="true" indent="0" shrinkToFit="false"/>
      <protection locked="true" hidden="false"/>
    </xf>
    <xf numFmtId="164" fontId="8" fillId="0" borderId="71" xfId="41" applyFont="true" applyBorder="true" applyAlignment="true" applyProtection="true">
      <alignment horizontal="center" vertical="center" textRotation="0" wrapText="true" indent="0" shrinkToFit="false"/>
      <protection locked="true" hidden="false"/>
    </xf>
    <xf numFmtId="164" fontId="33" fillId="0" borderId="72" xfId="41" applyFont="true" applyBorder="true" applyAlignment="true" applyProtection="true">
      <alignment horizontal="left" vertical="bottom" textRotation="0" wrapText="true" indent="0" shrinkToFit="false"/>
      <protection locked="true" hidden="false"/>
    </xf>
    <xf numFmtId="164" fontId="49" fillId="0" borderId="0" xfId="0" applyFont="true" applyBorder="true" applyAlignment="false" applyProtection="false">
      <alignment horizontal="general" vertical="bottom" textRotation="0" wrapText="false" indent="0" shrinkToFit="false"/>
      <protection locked="true" hidden="false"/>
    </xf>
    <xf numFmtId="164" fontId="73" fillId="0" borderId="0" xfId="0" applyFont="true" applyBorder="true" applyAlignment="false" applyProtection="false">
      <alignment horizontal="general" vertical="bottom" textRotation="0" wrapText="false" indent="0" shrinkToFit="false"/>
      <protection locked="true" hidden="false"/>
    </xf>
    <xf numFmtId="164" fontId="37" fillId="0" borderId="0" xfId="0" applyFont="true" applyBorder="true" applyAlignment="true" applyProtection="false">
      <alignment horizontal="left" vertical="bottom" textRotation="0" wrapText="false" indent="0" shrinkToFit="false"/>
      <protection locked="true" hidden="false"/>
    </xf>
    <xf numFmtId="164" fontId="74" fillId="0" borderId="0" xfId="0" applyFont="true" applyBorder="true" applyAlignment="false" applyProtection="false">
      <alignment horizontal="general" vertical="bottom" textRotation="0" wrapText="false" indent="0" shrinkToFit="false"/>
      <protection locked="true" hidden="false"/>
    </xf>
    <xf numFmtId="164" fontId="33" fillId="0" borderId="0" xfId="0" applyFont="true" applyBorder="true" applyAlignment="true" applyProtection="false">
      <alignment horizontal="general" vertical="bottom" textRotation="0" wrapText="false" indent="0" shrinkToFit="false"/>
      <protection locked="true" hidden="false"/>
    </xf>
    <xf numFmtId="164" fontId="56" fillId="0" borderId="22" xfId="0" applyFont="true" applyBorder="true" applyAlignment="true" applyProtection="false">
      <alignment horizontal="center" vertical="center" textRotation="0" wrapText="true" indent="0" shrinkToFit="false"/>
      <protection locked="true" hidden="false"/>
    </xf>
    <xf numFmtId="164" fontId="33" fillId="20" borderId="76" xfId="0" applyFont="true" applyBorder="true" applyAlignment="true" applyProtection="false">
      <alignment horizontal="center" vertical="center" textRotation="0" wrapText="true" indent="0" shrinkToFit="false"/>
      <protection locked="true" hidden="false"/>
    </xf>
    <xf numFmtId="164" fontId="33" fillId="20" borderId="53" xfId="0" applyFont="true" applyBorder="true" applyAlignment="true" applyProtection="false">
      <alignment horizontal="center" vertical="center" textRotation="0" wrapText="true" indent="0" shrinkToFit="false"/>
      <protection locked="true" hidden="false"/>
    </xf>
    <xf numFmtId="164" fontId="49" fillId="20" borderId="77" xfId="0" applyFont="true" applyBorder="true" applyAlignment="true" applyProtection="false">
      <alignment horizontal="center" vertical="center" textRotation="0" wrapText="true" indent="0" shrinkToFit="false"/>
      <protection locked="true" hidden="false"/>
    </xf>
    <xf numFmtId="164" fontId="49" fillId="20" borderId="78" xfId="0" applyFont="true" applyBorder="true" applyAlignment="true" applyProtection="false">
      <alignment horizontal="center" vertical="center" textRotation="0" wrapText="true" indent="0" shrinkToFit="false"/>
      <protection locked="true" hidden="false"/>
    </xf>
    <xf numFmtId="164" fontId="4" fillId="27" borderId="51" xfId="0" applyFont="true" applyBorder="true" applyAlignment="true" applyProtection="false">
      <alignment horizontal="left" vertical="bottom" textRotation="0" wrapText="false" indent="0" shrinkToFit="false"/>
      <protection locked="true" hidden="false"/>
    </xf>
    <xf numFmtId="164" fontId="38" fillId="0" borderId="79" xfId="0" applyFont="true" applyBorder="true" applyAlignment="false" applyProtection="false">
      <alignment horizontal="general" vertical="bottom" textRotation="0" wrapText="false" indent="0" shrinkToFit="false"/>
      <protection locked="true" hidden="false"/>
    </xf>
    <xf numFmtId="164" fontId="38" fillId="17" borderId="52" xfId="0" applyFont="true" applyBorder="true" applyAlignment="true" applyProtection="false">
      <alignment horizontal="center" vertical="bottom" textRotation="0" wrapText="false" indent="0" shrinkToFit="false"/>
      <protection locked="true" hidden="false"/>
    </xf>
    <xf numFmtId="164" fontId="37" fillId="0" borderId="80" xfId="0" applyFont="true" applyBorder="true" applyAlignment="true" applyProtection="false">
      <alignment horizontal="left" vertical="bottom" textRotation="0" wrapText="false" indent="0" shrinkToFit="false"/>
      <protection locked="true" hidden="false"/>
    </xf>
    <xf numFmtId="164" fontId="34" fillId="17" borderId="26" xfId="41" applyFont="true" applyBorder="true" applyAlignment="true" applyProtection="true">
      <alignment horizontal="general" vertical="bottom" textRotation="0" wrapText="false" indent="0" shrinkToFit="false"/>
      <protection locked="true" hidden="false"/>
    </xf>
    <xf numFmtId="164" fontId="38" fillId="0" borderId="81" xfId="0" applyFont="true" applyBorder="true" applyAlignment="true" applyProtection="false">
      <alignment horizontal="center" vertical="bottom" textRotation="0" wrapText="false" indent="0" shrinkToFit="false"/>
      <protection locked="true" hidden="false"/>
    </xf>
    <xf numFmtId="164" fontId="4" fillId="27" borderId="80" xfId="0" applyFont="true" applyBorder="true" applyAlignment="true" applyProtection="false">
      <alignment horizontal="left" vertical="bottom" textRotation="0" wrapText="true" indent="0" shrinkToFit="false"/>
      <protection locked="true" hidden="false"/>
    </xf>
    <xf numFmtId="164" fontId="38" fillId="0" borderId="40" xfId="0" applyFont="true" applyBorder="true" applyAlignment="false" applyProtection="false">
      <alignment horizontal="general" vertical="bottom" textRotation="0" wrapText="false" indent="0" shrinkToFit="false"/>
      <protection locked="true" hidden="false"/>
    </xf>
    <xf numFmtId="164" fontId="38" fillId="17" borderId="53" xfId="0" applyFont="true" applyBorder="true" applyAlignment="true" applyProtection="false">
      <alignment horizontal="center" vertical="bottom" textRotation="0" wrapText="false" indent="0" shrinkToFit="false"/>
      <protection locked="true" hidden="false"/>
    </xf>
    <xf numFmtId="164" fontId="38" fillId="17" borderId="82" xfId="0" applyFont="true" applyBorder="true" applyAlignment="true" applyProtection="false">
      <alignment horizontal="center" vertical="bottom" textRotation="0" wrapText="false" indent="0" shrinkToFit="false"/>
      <protection locked="true" hidden="false"/>
    </xf>
    <xf numFmtId="164" fontId="38" fillId="0" borderId="83" xfId="0" applyFont="true" applyBorder="true" applyAlignment="false" applyProtection="false">
      <alignment horizontal="general" vertical="bottom" textRotation="0" wrapText="false" indent="0" shrinkToFit="false"/>
      <protection locked="true" hidden="false"/>
    </xf>
    <xf numFmtId="164" fontId="37" fillId="0" borderId="84" xfId="0" applyFont="true" applyBorder="true" applyAlignment="true" applyProtection="false">
      <alignment horizontal="left" vertical="bottom" textRotation="0" wrapText="false" indent="0" shrinkToFit="false"/>
      <protection locked="true" hidden="false"/>
    </xf>
    <xf numFmtId="164" fontId="34" fillId="17" borderId="85" xfId="41" applyFont="true" applyBorder="true" applyAlignment="true" applyProtection="true">
      <alignment horizontal="general" vertical="bottom" textRotation="0" wrapText="false" indent="0" shrinkToFit="false"/>
      <protection locked="true" hidden="false"/>
    </xf>
    <xf numFmtId="164" fontId="38" fillId="0" borderId="86" xfId="0" applyFont="true" applyBorder="true" applyAlignment="false" applyProtection="false">
      <alignment horizontal="general" vertical="bottom" textRotation="0" wrapText="false" indent="0" shrinkToFit="false"/>
      <protection locked="true" hidden="false"/>
    </xf>
    <xf numFmtId="164" fontId="38" fillId="0" borderId="87" xfId="0" applyFont="true" applyBorder="true" applyAlignment="false" applyProtection="false">
      <alignment horizontal="general" vertical="bottom" textRotation="0" wrapText="false" indent="0" shrinkToFit="false"/>
      <protection locked="true" hidden="false"/>
    </xf>
    <xf numFmtId="164" fontId="54" fillId="0" borderId="0" xfId="0" applyFont="true" applyBorder="true" applyAlignment="true" applyProtection="false">
      <alignment horizontal="left" vertical="center" textRotation="0" wrapText="true" indent="0" shrinkToFit="false"/>
      <protection locked="true" hidden="false"/>
    </xf>
    <xf numFmtId="164" fontId="47" fillId="0" borderId="0" xfId="0" applyFont="true" applyBorder="true" applyAlignment="true" applyProtection="false">
      <alignment horizontal="left" vertical="bottom" textRotation="0" wrapText="false" indent="0" shrinkToFit="false"/>
      <protection locked="true" hidden="false"/>
    </xf>
    <xf numFmtId="164" fontId="34" fillId="0" borderId="33" xfId="0" applyFont="true" applyBorder="true" applyAlignment="true" applyProtection="false">
      <alignment horizontal="left" vertical="bottom" textRotation="0" wrapText="false" indent="0" shrinkToFit="false"/>
      <protection locked="true" hidden="false"/>
    </xf>
    <xf numFmtId="164" fontId="18" fillId="20" borderId="17" xfId="51" applyFont="true" applyBorder="true" applyAlignment="true" applyProtection="true">
      <alignment horizontal="center" vertical="center" textRotation="0" wrapText="false" indent="0" shrinkToFit="false"/>
      <protection locked="true" hidden="false"/>
    </xf>
    <xf numFmtId="164" fontId="77" fillId="0" borderId="0" xfId="0" applyFont="true" applyBorder="true" applyAlignment="false" applyProtection="false">
      <alignment horizontal="general" vertical="bottom" textRotation="0" wrapText="false" indent="0" shrinkToFit="false"/>
      <protection locked="true" hidden="false"/>
    </xf>
    <xf numFmtId="164" fontId="78" fillId="0" borderId="0" xfId="0" applyFont="true" applyBorder="true" applyAlignment="false" applyProtection="false">
      <alignment horizontal="general" vertical="bottom" textRotation="0" wrapText="false" indent="0" shrinkToFit="false"/>
      <protection locked="true" hidden="false"/>
    </xf>
    <xf numFmtId="164" fontId="79" fillId="0" borderId="0" xfId="0" applyFont="true" applyBorder="true" applyAlignment="false" applyProtection="false">
      <alignment horizontal="general" vertical="bottom" textRotation="0" wrapText="false" indent="0" shrinkToFit="false"/>
      <protection locked="true" hidden="false"/>
    </xf>
    <xf numFmtId="164" fontId="69" fillId="0" borderId="0" xfId="0" applyFont="true" applyBorder="true" applyAlignment="false" applyProtection="false">
      <alignment horizontal="general" vertical="bottom" textRotation="0" wrapText="false" indent="0" shrinkToFit="false"/>
      <protection locked="true" hidden="false"/>
    </xf>
    <xf numFmtId="164" fontId="69" fillId="0" borderId="0" xfId="0" applyFont="true" applyBorder="true" applyAlignment="true" applyProtection="false">
      <alignment horizontal="general" vertical="bottom" textRotation="0" wrapText="true" indent="0" shrinkToFit="false"/>
      <protection locked="true" hidden="false"/>
    </xf>
    <xf numFmtId="164" fontId="80" fillId="0" borderId="0" xfId="0" applyFont="true" applyBorder="false" applyAlignment="false" applyProtection="false">
      <alignment horizontal="general" vertical="bottom" textRotation="0" wrapText="false" indent="0" shrinkToFit="false"/>
      <protection locked="true" hidden="false"/>
    </xf>
    <xf numFmtId="164" fontId="17" fillId="0" borderId="0" xfId="0" applyFont="true" applyBorder="false" applyAlignment="true" applyProtection="false">
      <alignment horizontal="center" vertical="center" textRotation="0" wrapText="false" indent="0" shrinkToFit="false"/>
      <protection locked="true" hidden="false"/>
    </xf>
    <xf numFmtId="164" fontId="81" fillId="0" borderId="0" xfId="0" applyFont="true" applyBorder="false" applyAlignment="false" applyProtection="false">
      <alignment horizontal="general" vertical="bottom" textRotation="0" wrapText="false" indent="0" shrinkToFit="false"/>
      <protection locked="true" hidden="false"/>
    </xf>
    <xf numFmtId="164" fontId="27" fillId="19" borderId="0" xfId="0" applyFont="true" applyBorder="false" applyAlignment="true" applyProtection="false">
      <alignment horizontal="center" vertical="bottom" textRotation="0" wrapText="false" indent="0" shrinkToFit="false"/>
      <protection locked="true" hidden="false"/>
    </xf>
    <xf numFmtId="165" fontId="82" fillId="19" borderId="0" xfId="0" applyFont="true" applyBorder="true" applyAlignment="false" applyProtection="false">
      <alignment horizontal="general" vertical="bottom" textRotation="0" wrapText="false" indent="0" shrinkToFit="false"/>
      <protection locked="true" hidden="false"/>
    </xf>
    <xf numFmtId="164" fontId="27" fillId="19" borderId="0" xfId="0" applyFont="true" applyBorder="true" applyAlignment="true" applyProtection="false">
      <alignment horizontal="center" vertical="bottom" textRotation="0" wrapText="false" indent="0" shrinkToFit="false"/>
      <protection locked="true" hidden="false"/>
    </xf>
    <xf numFmtId="164" fontId="17" fillId="0" borderId="0" xfId="0" applyFont="true" applyBorder="false" applyAlignment="true" applyProtection="false">
      <alignment horizontal="left" vertical="center" textRotation="0" wrapText="false" indent="0" shrinkToFit="false"/>
      <protection locked="true" hidden="false"/>
    </xf>
    <xf numFmtId="164" fontId="27" fillId="0" borderId="0" xfId="0" applyFont="true" applyBorder="false" applyAlignment="true" applyProtection="false">
      <alignment horizontal="center" vertical="bottom" textRotation="0" wrapText="false" indent="0" shrinkToFit="false"/>
      <protection locked="true" hidden="false"/>
    </xf>
    <xf numFmtId="164" fontId="82" fillId="0" borderId="0" xfId="0" applyFont="true" applyBorder="true" applyAlignment="false" applyProtection="false">
      <alignment horizontal="general" vertical="bottom" textRotation="0" wrapText="false" indent="0" shrinkToFit="false"/>
      <protection locked="true" hidden="false"/>
    </xf>
    <xf numFmtId="164" fontId="83" fillId="0" borderId="0" xfId="0" applyFont="true" applyBorder="false" applyAlignment="false" applyProtection="false">
      <alignment horizontal="general" vertical="bottom" textRotation="0" wrapText="false" indent="0" shrinkToFit="false"/>
      <protection locked="true" hidden="false"/>
    </xf>
    <xf numFmtId="164" fontId="27" fillId="0" borderId="0" xfId="0" applyFont="true" applyBorder="true" applyAlignment="true" applyProtection="false">
      <alignment horizontal="general" vertical="bottom" textRotation="0" wrapText="false" indent="0" shrinkToFit="false"/>
      <protection locked="true" hidden="false"/>
    </xf>
    <xf numFmtId="166" fontId="0" fillId="18" borderId="0" xfId="43" applyFont="false" applyBorder="true" applyAlignment="true" applyProtection="true">
      <alignment horizontal="left" vertical="top" textRotation="0" wrapText="true" indent="0" shrinkToFit="false"/>
      <protection locked="true" hidden="false"/>
    </xf>
    <xf numFmtId="164" fontId="84" fillId="0" borderId="0" xfId="0" applyFont="true" applyBorder="false" applyAlignment="true" applyProtection="false">
      <alignment horizontal="general" vertical="bottom" textRotation="0" wrapText="false" indent="0" shrinkToFit="false"/>
      <protection locked="true" hidden="false"/>
    </xf>
    <xf numFmtId="164" fontId="84" fillId="0" borderId="0" xfId="0" applyFont="true" applyBorder="false" applyAlignment="false" applyProtection="false">
      <alignment horizontal="general" vertical="bottom" textRotation="0" wrapText="false" indent="0" shrinkToFit="false"/>
      <protection locked="true" hidden="false"/>
    </xf>
    <xf numFmtId="164" fontId="17" fillId="19" borderId="0" xfId="0" applyFont="true" applyBorder="false" applyAlignment="true" applyProtection="false">
      <alignment horizontal="center" vertical="bottom" textRotation="0" wrapText="false" indent="0" shrinkToFit="false"/>
      <protection locked="true" hidden="false"/>
    </xf>
    <xf numFmtId="164" fontId="17" fillId="0" borderId="0" xfId="0" applyFont="true" applyBorder="false" applyAlignment="true" applyProtection="false">
      <alignment horizontal="center" vertical="bottom" textRotation="0" wrapText="false" indent="0" shrinkToFit="false"/>
      <protection locked="true" hidden="false"/>
    </xf>
    <xf numFmtId="164" fontId="20" fillId="0" borderId="0" xfId="0" applyFont="true" applyBorder="false" applyAlignment="true" applyProtection="false">
      <alignment horizontal="left" vertical="bottom" textRotation="0" wrapText="false" indent="0" shrinkToFit="false"/>
      <protection locked="true" hidden="false"/>
    </xf>
    <xf numFmtId="164" fontId="21" fillId="0" borderId="0" xfId="0" applyFont="true" applyBorder="true" applyAlignment="false" applyProtection="false">
      <alignment horizontal="general" vertical="bottom" textRotation="0" wrapText="false" indent="0" shrinkToFit="false"/>
      <protection locked="true" hidden="false"/>
    </xf>
    <xf numFmtId="164" fontId="17" fillId="19" borderId="0" xfId="0" applyFont="true" applyBorder="true" applyAlignment="true" applyProtection="false">
      <alignment horizontal="general" vertical="bottom" textRotation="0" wrapText="false" indent="0" shrinkToFit="false"/>
      <protection locked="true" hidden="false"/>
    </xf>
    <xf numFmtId="164" fontId="17" fillId="19" borderId="0" xfId="0" applyFont="true" applyBorder="false" applyAlignment="true" applyProtection="false">
      <alignment horizontal="general" vertical="bottom" textRotation="0" wrapText="false" indent="0" shrinkToFit="false"/>
      <protection locked="true" hidden="false"/>
    </xf>
    <xf numFmtId="164" fontId="20" fillId="0" borderId="0" xfId="0" applyFont="true" applyBorder="true" applyAlignment="true" applyProtection="false">
      <alignment horizontal="left" vertical="bottom" textRotation="0" wrapText="false" indent="0" shrinkToFit="false"/>
      <protection locked="true" hidden="false"/>
    </xf>
    <xf numFmtId="164" fontId="21" fillId="19" borderId="0" xfId="0" applyFont="true" applyBorder="true" applyAlignment="true" applyProtection="false">
      <alignment horizontal="center" vertical="bottom" textRotation="0" wrapText="false" indent="0" shrinkToFit="false"/>
      <protection locked="true" hidden="false"/>
    </xf>
    <xf numFmtId="164" fontId="84" fillId="0" borderId="0" xfId="0" applyFont="true" applyBorder="false" applyAlignment="true" applyProtection="false">
      <alignment horizontal="left" vertical="bottom" textRotation="0" wrapText="false" indent="0" shrinkToFit="false"/>
      <protection locked="true" hidden="false"/>
    </xf>
    <xf numFmtId="167" fontId="0" fillId="3" borderId="88" xfId="44" applyFont="false" applyBorder="true" applyAlignment="true" applyProtection="true">
      <alignment horizontal="right" vertical="bottom" textRotation="0" wrapText="true" indent="0" shrinkToFit="false"/>
      <protection locked="true" hidden="false"/>
    </xf>
    <xf numFmtId="164" fontId="27" fillId="0" borderId="0" xfId="0" applyFont="true" applyBorder="true" applyAlignment="false" applyProtection="false">
      <alignment horizontal="general" vertical="bottom" textRotation="0" wrapText="false" indent="0" shrinkToFit="false"/>
      <protection locked="true" hidden="false"/>
    </xf>
    <xf numFmtId="164" fontId="17" fillId="19" borderId="0" xfId="0" applyFont="true" applyBorder="false" applyAlignment="false" applyProtection="false">
      <alignment horizontal="general" vertical="bottom" textRotation="0" wrapText="false" indent="0" shrinkToFit="false"/>
      <protection locked="true" hidden="false"/>
    </xf>
    <xf numFmtId="164" fontId="85" fillId="0" borderId="0" xfId="0" applyFont="true" applyBorder="false" applyAlignment="true" applyProtection="false">
      <alignment horizontal="right" vertical="bottom" textRotation="0" wrapText="true" indent="0" shrinkToFit="false"/>
      <protection locked="true" hidden="false"/>
    </xf>
    <xf numFmtId="164" fontId="86" fillId="19" borderId="0" xfId="0" applyFont="true" applyBorder="false" applyAlignment="true" applyProtection="false">
      <alignment horizontal="general" vertical="center" textRotation="0" wrapText="false" indent="0" shrinkToFit="false"/>
      <protection locked="true" hidden="false"/>
    </xf>
    <xf numFmtId="164" fontId="86" fillId="0" borderId="0" xfId="0" applyFont="true" applyBorder="false" applyAlignment="true" applyProtection="false">
      <alignment horizontal="general" vertical="center" textRotation="0" wrapText="false" indent="0" shrinkToFit="false"/>
      <protection locked="true" hidden="false"/>
    </xf>
    <xf numFmtId="164" fontId="85" fillId="0" borderId="0" xfId="0" applyFont="true" applyBorder="false" applyAlignment="true" applyProtection="false">
      <alignment horizontal="right" vertical="bottom" textRotation="0" wrapText="false" indent="0" shrinkToFit="false"/>
      <protection locked="true" hidden="false"/>
    </xf>
    <xf numFmtId="164" fontId="86" fillId="0" borderId="0" xfId="0" applyFont="true" applyBorder="false" applyAlignment="false" applyProtection="false">
      <alignment horizontal="general" vertical="bottom" textRotation="0" wrapText="false" indent="0" shrinkToFit="false"/>
      <protection locked="true" hidden="false"/>
    </xf>
    <xf numFmtId="164" fontId="85" fillId="0" borderId="0" xfId="0" applyFont="true" applyBorder="false" applyAlignment="true" applyProtection="false">
      <alignment horizontal="right" vertical="center" textRotation="0" wrapText="true" indent="0" shrinkToFit="false"/>
      <protection locked="true" hidden="false"/>
    </xf>
    <xf numFmtId="164" fontId="0" fillId="18" borderId="0" xfId="43" applyFont="false" applyBorder="true" applyAlignment="true" applyProtection="true">
      <alignment horizontal="general" vertical="bottom" textRotation="0" wrapText="true" indent="0" shrinkToFit="false"/>
      <protection locked="true" hidden="false"/>
    </xf>
    <xf numFmtId="164" fontId="17" fillId="0" borderId="0" xfId="0" applyFont="true" applyBorder="false" applyAlignment="true" applyProtection="false">
      <alignment horizontal="general" vertical="center" textRotation="0" wrapText="false" indent="0" shrinkToFit="false"/>
      <protection locked="true" hidden="false"/>
    </xf>
    <xf numFmtId="164" fontId="0" fillId="18" borderId="0" xfId="43" applyFont="false" applyBorder="true" applyAlignment="true" applyProtection="true">
      <alignment horizontal="general" vertical="center" textRotation="0" wrapText="true" indent="0" shrinkToFit="false"/>
      <protection locked="true" hidden="false"/>
    </xf>
    <xf numFmtId="166" fontId="17" fillId="0" borderId="0" xfId="0" applyFont="true" applyBorder="false" applyAlignment="true" applyProtection="false">
      <alignment horizontal="general" vertical="top" textRotation="0" wrapText="false" indent="0" shrinkToFit="false"/>
      <protection locked="true" hidden="false"/>
    </xf>
    <xf numFmtId="166" fontId="17" fillId="0" borderId="0" xfId="0" applyFont="true" applyBorder="false" applyAlignment="true" applyProtection="false">
      <alignment horizontal="general" vertical="top" textRotation="0" wrapText="true" indent="0" shrinkToFit="false"/>
      <protection locked="true" hidden="false"/>
    </xf>
    <xf numFmtId="164" fontId="27" fillId="19" borderId="0" xfId="0" applyFont="true" applyBorder="true" applyAlignment="false" applyProtection="false">
      <alignment horizontal="general" vertical="bottom" textRotation="0" wrapText="false" indent="0" shrinkToFit="false"/>
      <protection locked="true" hidden="false"/>
    </xf>
    <xf numFmtId="164" fontId="20" fillId="0" borderId="0" xfId="0" applyFont="true" applyBorder="true" applyAlignment="true" applyProtection="false">
      <alignment horizontal="right" vertical="bottom" textRotation="0" wrapText="false" indent="0" shrinkToFit="false"/>
      <protection locked="true" hidden="false"/>
    </xf>
    <xf numFmtId="164" fontId="20" fillId="0" borderId="0" xfId="0" applyFont="true" applyBorder="true" applyAlignment="true" applyProtection="false">
      <alignment horizontal="right" vertical="center" textRotation="0" wrapText="true" indent="0" shrinkToFit="false"/>
      <protection locked="true" hidden="false"/>
    </xf>
    <xf numFmtId="164" fontId="0" fillId="18" borderId="0" xfId="43" applyFont="false" applyBorder="true" applyAlignment="true" applyProtection="true">
      <alignment horizontal="left" vertical="bottom" textRotation="0" wrapText="true" indent="0" shrinkToFit="false"/>
      <protection locked="true" hidden="false"/>
    </xf>
    <xf numFmtId="164" fontId="77" fillId="0" borderId="0" xfId="0" applyFont="true" applyBorder="false" applyAlignment="false" applyProtection="false">
      <alignment horizontal="general" vertical="bottom" textRotation="0" wrapText="false" indent="0" shrinkToFit="false"/>
      <protection locked="true" hidden="false"/>
    </xf>
    <xf numFmtId="164" fontId="88" fillId="0" borderId="0" xfId="0" applyFont="true" applyBorder="false" applyAlignment="false" applyProtection="false">
      <alignment horizontal="general" vertical="bottom" textRotation="0" wrapText="false" indent="0" shrinkToFit="false"/>
      <protection locked="true" hidden="false"/>
    </xf>
    <xf numFmtId="164" fontId="69" fillId="0" borderId="0" xfId="0" applyFont="true" applyBorder="false" applyAlignment="false" applyProtection="false">
      <alignment horizontal="general" vertical="bottom" textRotation="0" wrapText="false" indent="0" shrinkToFit="false"/>
      <protection locked="true" hidden="false"/>
    </xf>
    <xf numFmtId="164" fontId="69" fillId="0" borderId="0" xfId="0" applyFont="true" applyBorder="false" applyAlignment="true" applyProtection="false">
      <alignment horizontal="general" vertical="top" textRotation="0" wrapText="true" indent="0" shrinkToFit="false"/>
      <protection locked="true" hidden="false"/>
    </xf>
    <xf numFmtId="166" fontId="69" fillId="0" borderId="0" xfId="0" applyFont="true" applyBorder="false" applyAlignment="false" applyProtection="false">
      <alignment horizontal="general" vertical="bottom" textRotation="0" wrapText="false" indent="0" shrinkToFit="false"/>
      <protection locked="true" hidden="false"/>
    </xf>
    <xf numFmtId="164" fontId="69" fillId="0" borderId="0" xfId="0" applyFont="true" applyBorder="false" applyAlignment="true" applyProtection="false">
      <alignment horizontal="general" vertical="bottom" textRotation="0" wrapText="true" indent="0" shrinkToFit="false"/>
      <protection locked="true" hidden="false"/>
    </xf>
    <xf numFmtId="164" fontId="23" fillId="19" borderId="89" xfId="49" applyFont="true" applyBorder="true" applyAlignment="true" applyProtection="true">
      <alignment horizontal="center" vertical="center" textRotation="0" wrapText="true" indent="0" shrinkToFit="false"/>
      <protection locked="true" hidden="false"/>
    </xf>
    <xf numFmtId="164" fontId="23" fillId="19" borderId="90" xfId="49" applyFont="true" applyBorder="true" applyAlignment="true" applyProtection="true">
      <alignment horizontal="center" vertical="center" textRotation="0" wrapText="false" indent="0" shrinkToFit="false"/>
      <protection locked="true" hidden="false"/>
    </xf>
    <xf numFmtId="164" fontId="23" fillId="19" borderId="91" xfId="49" applyFont="true" applyBorder="true" applyAlignment="true" applyProtection="true">
      <alignment horizontal="center" vertical="center" textRotation="0" wrapText="true" indent="0" shrinkToFit="false"/>
      <protection locked="true" hidden="false"/>
    </xf>
    <xf numFmtId="164" fontId="23" fillId="19" borderId="92" xfId="49" applyFont="true" applyBorder="true" applyAlignment="true" applyProtection="true">
      <alignment horizontal="center" vertical="center" textRotation="0" wrapText="true" indent="0" shrinkToFit="false"/>
      <protection locked="true" hidden="false"/>
    </xf>
    <xf numFmtId="164" fontId="23" fillId="19" borderId="93" xfId="49" applyFont="true" applyBorder="true" applyAlignment="true" applyProtection="true">
      <alignment horizontal="center" vertical="center" textRotation="0" wrapText="true" indent="0" shrinkToFit="false"/>
      <protection locked="true" hidden="false"/>
    </xf>
    <xf numFmtId="164" fontId="23" fillId="19" borderId="94" xfId="49" applyFont="true" applyBorder="true" applyAlignment="true" applyProtection="true">
      <alignment horizontal="center" vertical="center" textRotation="0" wrapText="true" indent="0" shrinkToFit="false"/>
      <protection locked="true" hidden="false"/>
    </xf>
    <xf numFmtId="164" fontId="23" fillId="19" borderId="95" xfId="49" applyFont="true" applyBorder="true" applyAlignment="true" applyProtection="true">
      <alignment horizontal="center" vertical="center" textRotation="0" wrapText="true" indent="0" shrinkToFit="false"/>
      <protection locked="true" hidden="false"/>
    </xf>
    <xf numFmtId="164" fontId="23" fillId="19" borderId="52" xfId="49" applyFont="true" applyBorder="true" applyAlignment="true" applyProtection="true">
      <alignment horizontal="center" vertical="center" textRotation="0" wrapText="true" indent="0" shrinkToFit="false"/>
      <protection locked="true" hidden="false"/>
    </xf>
    <xf numFmtId="164" fontId="23" fillId="19" borderId="26" xfId="49" applyFont="true" applyBorder="true" applyAlignment="true" applyProtection="true">
      <alignment horizontal="center" vertical="center" textRotation="0" wrapText="true" indent="0" shrinkToFit="false"/>
      <protection locked="true" hidden="false"/>
    </xf>
    <xf numFmtId="164" fontId="23" fillId="19" borderId="81" xfId="49" applyFont="true" applyBorder="true" applyAlignment="true" applyProtection="true">
      <alignment horizontal="center" vertical="center" textRotation="0" wrapText="true" indent="0" shrinkToFit="false"/>
      <protection locked="true" hidden="false"/>
    </xf>
    <xf numFmtId="164" fontId="23" fillId="19" borderId="96" xfId="49" applyFont="true" applyBorder="true" applyAlignment="true" applyProtection="true">
      <alignment horizontal="left" vertical="center" textRotation="0" wrapText="false" indent="0" shrinkToFit="false"/>
      <protection locked="true" hidden="false"/>
    </xf>
    <xf numFmtId="164" fontId="0" fillId="19" borderId="6" xfId="49" applyFont="true" applyBorder="true" applyAlignment="true" applyProtection="true">
      <alignment horizontal="general" vertical="center" textRotation="0" wrapText="false" indent="0" shrinkToFit="false"/>
      <protection locked="true" hidden="false"/>
    </xf>
    <xf numFmtId="164" fontId="0" fillId="19" borderId="7" xfId="49" applyFont="true" applyBorder="true" applyAlignment="true" applyProtection="true">
      <alignment horizontal="general" vertical="center" textRotation="0" wrapText="false" indent="0" shrinkToFit="false"/>
      <protection locked="true" hidden="false"/>
    </xf>
    <xf numFmtId="164" fontId="0" fillId="14" borderId="55" xfId="46" applyFont="true" applyBorder="true" applyAlignment="true" applyProtection="true">
      <alignment horizontal="center" vertical="bottom" textRotation="0" wrapText="false" indent="0" shrinkToFit="false"/>
      <protection locked="false" hidden="false"/>
    </xf>
    <xf numFmtId="164" fontId="23" fillId="14" borderId="14" xfId="46" applyFont="true" applyBorder="true" applyAlignment="true" applyProtection="true">
      <alignment horizontal="general" vertical="center" textRotation="0" wrapText="true" indent="0" shrinkToFit="false"/>
      <protection locked="true" hidden="false"/>
    </xf>
    <xf numFmtId="168" fontId="0" fillId="14" borderId="56" xfId="46" applyFont="true" applyBorder="true" applyAlignment="true" applyProtection="true">
      <alignment horizontal="center" vertical="bottom" textRotation="0" wrapText="false" indent="0" shrinkToFit="false"/>
      <protection locked="false" hidden="false"/>
    </xf>
    <xf numFmtId="169" fontId="0" fillId="14" borderId="8" xfId="46" applyFont="true" applyBorder="true" applyAlignment="true" applyProtection="true">
      <alignment horizontal="center" vertical="bottom" textRotation="0" wrapText="false" indent="0" shrinkToFit="false"/>
      <protection locked="false" hidden="false"/>
    </xf>
    <xf numFmtId="169" fontId="0" fillId="14" borderId="6" xfId="46" applyFont="true" applyBorder="true" applyAlignment="true" applyProtection="true">
      <alignment horizontal="center" vertical="bottom" textRotation="0" wrapText="false" indent="0" shrinkToFit="false"/>
      <protection locked="false" hidden="false"/>
    </xf>
    <xf numFmtId="164" fontId="89" fillId="14" borderId="7" xfId="20" applyFont="true" applyBorder="true" applyAlignment="true" applyProtection="true">
      <alignment horizontal="center" vertical="center" textRotation="0" wrapText="true" indent="0" shrinkToFit="false"/>
      <protection locked="true" hidden="false"/>
    </xf>
    <xf numFmtId="167" fontId="23" fillId="3" borderId="97" xfId="44" applyFont="true" applyBorder="true" applyAlignment="true" applyProtection="true">
      <alignment horizontal="center" vertical="bottom" textRotation="0" wrapText="true" indent="0" shrinkToFit="false"/>
      <protection locked="true" hidden="false"/>
    </xf>
    <xf numFmtId="170" fontId="0" fillId="19" borderId="96" xfId="49" applyFont="true" applyBorder="true" applyAlignment="true" applyProtection="true">
      <alignment horizontal="center" vertical="center" textRotation="0" wrapText="false" indent="0" shrinkToFit="false"/>
      <protection locked="false" hidden="false"/>
    </xf>
    <xf numFmtId="164" fontId="27" fillId="0" borderId="7" xfId="0" applyFont="true" applyBorder="true" applyAlignment="true" applyProtection="false">
      <alignment horizontal="left" vertical="top" textRotation="0" wrapText="true" indent="0" shrinkToFit="false"/>
      <protection locked="true" hidden="false"/>
    </xf>
    <xf numFmtId="164" fontId="27" fillId="19" borderId="55" xfId="0" applyFont="true" applyBorder="true" applyAlignment="true" applyProtection="true">
      <alignment horizontal="center" vertical="bottom" textRotation="0" wrapText="false" indent="0" shrinkToFit="false"/>
      <protection locked="false" hidden="false"/>
    </xf>
    <xf numFmtId="164" fontId="27" fillId="19" borderId="6" xfId="0" applyFont="true" applyBorder="true" applyAlignment="true" applyProtection="true">
      <alignment horizontal="center" vertical="bottom" textRotation="0" wrapText="false" indent="0" shrinkToFit="false"/>
      <protection locked="false" hidden="false"/>
    </xf>
    <xf numFmtId="164" fontId="27" fillId="19" borderId="56" xfId="15" applyFont="true" applyBorder="true" applyAlignment="true" applyProtection="true">
      <alignment horizontal="center" vertical="bottom" textRotation="0" wrapText="false" indent="0" shrinkToFit="false"/>
      <protection locked="false" hidden="false"/>
    </xf>
    <xf numFmtId="164" fontId="27" fillId="19" borderId="8" xfId="19" applyFont="true" applyBorder="true" applyAlignment="true" applyProtection="true">
      <alignment horizontal="center" vertical="bottom" textRotation="0" wrapText="false" indent="0" shrinkToFit="false"/>
      <protection locked="false" hidden="false"/>
    </xf>
    <xf numFmtId="164" fontId="27" fillId="19" borderId="6" xfId="19" applyFont="true" applyBorder="true" applyAlignment="true" applyProtection="true">
      <alignment horizontal="center" vertical="bottom" textRotation="0" wrapText="false" indent="0" shrinkToFit="false"/>
      <protection locked="false" hidden="false"/>
    </xf>
    <xf numFmtId="164" fontId="0" fillId="15" borderId="6" xfId="37" applyFont="false" applyBorder="true" applyAlignment="true" applyProtection="true">
      <alignment horizontal="right" vertical="center" textRotation="0" wrapText="false" indent="0" shrinkToFit="false"/>
      <protection locked="false" hidden="false"/>
    </xf>
    <xf numFmtId="167" fontId="0" fillId="3" borderId="98" xfId="44" applyFont="false" applyBorder="true" applyAlignment="true" applyProtection="true">
      <alignment horizontal="center" vertical="bottom" textRotation="0" wrapText="true" indent="0" shrinkToFit="false"/>
      <protection locked="true" hidden="false"/>
    </xf>
    <xf numFmtId="172" fontId="0" fillId="18" borderId="96" xfId="43" applyFont="false" applyBorder="true" applyAlignment="true" applyProtection="true">
      <alignment horizontal="center" vertical="center" textRotation="0" wrapText="false" indent="0" shrinkToFit="false"/>
      <protection locked="false" hidden="false"/>
    </xf>
    <xf numFmtId="164" fontId="27" fillId="0" borderId="7" xfId="0" applyFont="true" applyBorder="true" applyAlignment="true" applyProtection="false">
      <alignment horizontal="left" vertical="top" textRotation="0" wrapText="false" indent="0" shrinkToFit="false"/>
      <protection locked="true" hidden="false"/>
    </xf>
    <xf numFmtId="164" fontId="0" fillId="19" borderId="96" xfId="49" applyFont="true" applyBorder="true" applyAlignment="true" applyProtection="true">
      <alignment horizontal="center" vertical="center" textRotation="0" wrapText="false" indent="0" shrinkToFit="false"/>
      <protection locked="false" hidden="false"/>
    </xf>
    <xf numFmtId="164" fontId="27" fillId="0" borderId="56" xfId="0" applyFont="true" applyBorder="true" applyAlignment="true" applyProtection="false">
      <alignment horizontal="left" vertical="top" textRotation="0" wrapText="false" indent="0" shrinkToFit="false"/>
      <protection locked="true" hidden="false"/>
    </xf>
    <xf numFmtId="164" fontId="0" fillId="15" borderId="6" xfId="37" applyFont="false" applyBorder="true" applyAlignment="true" applyProtection="true">
      <alignment horizontal="right" vertical="center" textRotation="0" wrapText="false" indent="0" shrinkToFit="false"/>
      <protection locked="true" hidden="false"/>
    </xf>
    <xf numFmtId="164" fontId="0" fillId="19" borderId="7" xfId="49" applyFont="true" applyBorder="true" applyAlignment="true" applyProtection="true">
      <alignment horizontal="center" vertical="center" textRotation="0" wrapText="false" indent="0" shrinkToFit="false"/>
      <protection locked="true" hidden="false"/>
    </xf>
    <xf numFmtId="164" fontId="0" fillId="19" borderId="55" xfId="49" applyFont="true" applyBorder="true" applyAlignment="true" applyProtection="true">
      <alignment horizontal="center" vertical="center" textRotation="0" wrapText="true" indent="0" shrinkToFit="false"/>
      <protection locked="true" hidden="false"/>
    </xf>
    <xf numFmtId="164" fontId="0" fillId="19" borderId="6" xfId="49" applyFont="true" applyBorder="true" applyAlignment="true" applyProtection="true">
      <alignment horizontal="center" vertical="center" textRotation="0" wrapText="true" indent="0" shrinkToFit="false"/>
      <protection locked="true" hidden="false"/>
    </xf>
    <xf numFmtId="164" fontId="0" fillId="19" borderId="56" xfId="49" applyFont="true" applyBorder="true" applyAlignment="true" applyProtection="true">
      <alignment horizontal="center" vertical="center" textRotation="0" wrapText="true" indent="0" shrinkToFit="false"/>
      <protection locked="true" hidden="false"/>
    </xf>
    <xf numFmtId="164" fontId="0" fillId="19" borderId="8" xfId="49" applyFont="true" applyBorder="true" applyAlignment="true" applyProtection="true">
      <alignment horizontal="center" vertical="center" textRotation="0" wrapText="true" indent="0" shrinkToFit="false"/>
      <protection locked="true" hidden="false"/>
    </xf>
    <xf numFmtId="167" fontId="23" fillId="3" borderId="98" xfId="44" applyFont="true" applyBorder="true" applyAlignment="true" applyProtection="true">
      <alignment horizontal="center" vertical="bottom" textRotation="0" wrapText="true" indent="0" shrinkToFit="false"/>
      <protection locked="true" hidden="false"/>
    </xf>
    <xf numFmtId="164" fontId="0" fillId="19" borderId="7" xfId="49" applyFont="true" applyBorder="true" applyAlignment="true" applyProtection="true">
      <alignment horizontal="center" vertical="bottom" textRotation="0" wrapText="false" indent="0" shrinkToFit="false"/>
      <protection locked="true" hidden="false"/>
    </xf>
    <xf numFmtId="164" fontId="0" fillId="19" borderId="55" xfId="49" applyFont="true" applyBorder="true" applyAlignment="true" applyProtection="true">
      <alignment horizontal="center" vertical="bottom" textRotation="0" wrapText="false" indent="0" shrinkToFit="false"/>
      <protection locked="false" hidden="false"/>
    </xf>
    <xf numFmtId="164" fontId="0" fillId="19" borderId="6" xfId="49" applyFont="true" applyBorder="true" applyAlignment="true" applyProtection="true">
      <alignment horizontal="center" vertical="bottom" textRotation="0" wrapText="false" indent="0" shrinkToFit="false"/>
      <protection locked="false" hidden="false"/>
    </xf>
    <xf numFmtId="164" fontId="0" fillId="19" borderId="56" xfId="49" applyFont="true" applyBorder="true" applyAlignment="true" applyProtection="true">
      <alignment horizontal="center" vertical="bottom" textRotation="0" wrapText="false" indent="0" shrinkToFit="false"/>
      <protection locked="false" hidden="false"/>
    </xf>
    <xf numFmtId="164" fontId="0" fillId="19" borderId="8" xfId="49" applyFont="true" applyBorder="true" applyAlignment="true" applyProtection="true">
      <alignment horizontal="center" vertical="bottom" textRotation="0" wrapText="false" indent="0" shrinkToFit="false"/>
      <protection locked="false" hidden="false"/>
    </xf>
    <xf numFmtId="164" fontId="0" fillId="19" borderId="6" xfId="49" applyFont="true" applyBorder="true" applyAlignment="true" applyProtection="true">
      <alignment horizontal="center" vertical="center" textRotation="0" wrapText="false" indent="0" shrinkToFit="false"/>
      <protection locked="false" hidden="false"/>
    </xf>
    <xf numFmtId="172" fontId="0" fillId="18" borderId="99" xfId="43" applyFont="false" applyBorder="true" applyAlignment="true" applyProtection="true">
      <alignment horizontal="general" vertical="center" textRotation="0" wrapText="false" indent="0" shrinkToFit="false"/>
      <protection locked="false" hidden="false"/>
    </xf>
    <xf numFmtId="164" fontId="27" fillId="0" borderId="100" xfId="0" applyFont="true" applyBorder="true" applyAlignment="true" applyProtection="false">
      <alignment horizontal="left" vertical="top" textRotation="0" wrapText="false" indent="0" shrinkToFit="false"/>
      <protection locked="true" hidden="false"/>
    </xf>
    <xf numFmtId="164" fontId="0" fillId="19" borderId="6" xfId="49" applyFont="true" applyBorder="true" applyAlignment="true" applyProtection="true">
      <alignment horizontal="left" vertical="bottom" textRotation="0" wrapText="false" indent="0" shrinkToFit="false"/>
      <protection locked="true" hidden="false"/>
    </xf>
    <xf numFmtId="164" fontId="0" fillId="19" borderId="7" xfId="49" applyFont="true" applyBorder="true" applyAlignment="true" applyProtection="true">
      <alignment horizontal="left" vertical="bottom" textRotation="0" wrapText="false" indent="0" shrinkToFit="false"/>
      <protection locked="true" hidden="false"/>
    </xf>
    <xf numFmtId="170" fontId="0" fillId="19" borderId="6" xfId="49" applyFont="true" applyBorder="true" applyAlignment="true" applyProtection="true">
      <alignment horizontal="center" vertical="center" textRotation="0" wrapText="false" indent="0" shrinkToFit="false"/>
      <protection locked="false" hidden="false"/>
    </xf>
    <xf numFmtId="164" fontId="0" fillId="18" borderId="96" xfId="43" applyFont="true" applyBorder="true" applyAlignment="true" applyProtection="true">
      <alignment horizontal="general" vertical="center" textRotation="0" wrapText="true" indent="0" shrinkToFit="false"/>
      <protection locked="false" hidden="false"/>
    </xf>
    <xf numFmtId="164" fontId="0" fillId="18" borderId="7" xfId="43" applyFont="true" applyBorder="true" applyAlignment="true" applyProtection="true">
      <alignment horizontal="left" vertical="bottom" textRotation="0" wrapText="false" indent="0" shrinkToFit="false"/>
      <protection locked="false" hidden="false"/>
    </xf>
    <xf numFmtId="167" fontId="0" fillId="3" borderId="101" xfId="44" applyFont="false" applyBorder="true" applyAlignment="true" applyProtection="true">
      <alignment horizontal="center" vertical="bottom" textRotation="0" wrapText="true" indent="0" shrinkToFit="false"/>
      <protection locked="true" hidden="false"/>
    </xf>
    <xf numFmtId="164" fontId="0" fillId="18" borderId="102" xfId="43" applyFont="true" applyBorder="true" applyAlignment="true" applyProtection="true">
      <alignment horizontal="general" vertical="center" textRotation="0" wrapText="true" indent="0" shrinkToFit="false"/>
      <protection locked="false" hidden="false"/>
    </xf>
    <xf numFmtId="164" fontId="0" fillId="18" borderId="103" xfId="43" applyFont="true" applyBorder="true" applyAlignment="true" applyProtection="true">
      <alignment horizontal="left" vertical="bottom" textRotation="0" wrapText="false" indent="0" shrinkToFit="false"/>
      <protection locked="false" hidden="false"/>
    </xf>
    <xf numFmtId="164" fontId="27" fillId="19" borderId="104" xfId="0" applyFont="true" applyBorder="true" applyAlignment="true" applyProtection="true">
      <alignment horizontal="center" vertical="bottom" textRotation="0" wrapText="false" indent="0" shrinkToFit="false"/>
      <protection locked="false" hidden="false"/>
    </xf>
    <xf numFmtId="164" fontId="27" fillId="19" borderId="105" xfId="0" applyFont="true" applyBorder="true" applyAlignment="true" applyProtection="true">
      <alignment horizontal="center" vertical="bottom" textRotation="0" wrapText="false" indent="0" shrinkToFit="false"/>
      <protection locked="false" hidden="false"/>
    </xf>
    <xf numFmtId="164" fontId="27" fillId="19" borderId="106" xfId="15" applyFont="true" applyBorder="true" applyAlignment="true" applyProtection="true">
      <alignment horizontal="center" vertical="bottom" textRotation="0" wrapText="false" indent="0" shrinkToFit="false"/>
      <protection locked="false" hidden="false"/>
    </xf>
    <xf numFmtId="164" fontId="27" fillId="19" borderId="107" xfId="19" applyFont="true" applyBorder="true" applyAlignment="true" applyProtection="true">
      <alignment horizontal="center" vertical="bottom" textRotation="0" wrapText="false" indent="0" shrinkToFit="false"/>
      <protection locked="false" hidden="false"/>
    </xf>
    <xf numFmtId="164" fontId="27" fillId="19" borderId="108" xfId="19" applyFont="true" applyBorder="true" applyAlignment="true" applyProtection="true">
      <alignment horizontal="center" vertical="bottom" textRotation="0" wrapText="false" indent="0" shrinkToFit="false"/>
      <protection locked="false" hidden="false"/>
    </xf>
    <xf numFmtId="167" fontId="0" fillId="3" borderId="109" xfId="44" applyFont="false" applyBorder="true" applyAlignment="true" applyProtection="true">
      <alignment horizontal="center" vertical="bottom" textRotation="0" wrapText="true" indent="0" shrinkToFit="false"/>
      <protection locked="true" hidden="false"/>
    </xf>
    <xf numFmtId="164" fontId="27" fillId="0" borderId="0" xfId="0" applyFont="true" applyBorder="true" applyAlignment="true" applyProtection="true">
      <alignment horizontal="general" vertical="center" textRotation="0" wrapText="true" indent="0" shrinkToFit="false"/>
      <protection locked="false" hidden="false"/>
    </xf>
    <xf numFmtId="164" fontId="27" fillId="0" borderId="0" xfId="0" applyFont="true" applyBorder="true" applyAlignment="true" applyProtection="true">
      <alignment horizontal="center" vertical="bottom" textRotation="0" wrapText="false" indent="0" shrinkToFit="false"/>
      <protection locked="false" hidden="false"/>
    </xf>
    <xf numFmtId="164" fontId="27" fillId="0" borderId="0" xfId="15" applyFont="true" applyBorder="true" applyAlignment="true" applyProtection="true">
      <alignment horizontal="center" vertical="bottom" textRotation="0" wrapText="false" indent="0" shrinkToFit="false"/>
      <protection locked="false" hidden="false"/>
    </xf>
    <xf numFmtId="164" fontId="27" fillId="0" borderId="0" xfId="19" applyFont="true" applyBorder="true" applyAlignment="true" applyProtection="true">
      <alignment horizontal="center" vertical="bottom" textRotation="0" wrapText="false" indent="0" shrinkToFit="false"/>
      <protection locked="false" hidden="false"/>
    </xf>
    <xf numFmtId="169" fontId="27" fillId="0" borderId="0" xfId="19" applyFont="true" applyBorder="true" applyAlignment="true" applyProtection="true">
      <alignment horizontal="center" vertical="center" textRotation="0" wrapText="false" indent="0" shrinkToFit="false"/>
      <protection locked="false" hidden="false"/>
    </xf>
    <xf numFmtId="170" fontId="27" fillId="0" borderId="0" xfId="19" applyFont="true" applyBorder="true" applyAlignment="true" applyProtection="true">
      <alignment horizontal="right" vertical="center" textRotation="0" wrapText="false" indent="0" shrinkToFit="false"/>
      <protection locked="false" hidden="false"/>
    </xf>
    <xf numFmtId="167" fontId="27" fillId="0" borderId="0" xfId="0" applyFont="true" applyBorder="true" applyAlignment="true" applyProtection="false">
      <alignment horizontal="center" vertical="bottom" textRotation="0" wrapText="true" indent="0" shrinkToFit="false"/>
      <protection locked="true" hidden="false"/>
    </xf>
    <xf numFmtId="164" fontId="69" fillId="0" borderId="0" xfId="0" applyFont="true" applyBorder="true" applyAlignment="true" applyProtection="true">
      <alignment horizontal="left" vertical="bottom" textRotation="0" wrapText="false" indent="0" shrinkToFit="false"/>
      <protection locked="false" hidden="false"/>
    </xf>
    <xf numFmtId="164" fontId="27" fillId="0" borderId="0" xfId="0" applyFont="true" applyBorder="true" applyAlignment="true" applyProtection="true">
      <alignment horizontal="left" vertical="bottom" textRotation="0" wrapText="false" indent="0" shrinkToFit="false"/>
      <protection locked="false" hidden="false"/>
    </xf>
    <xf numFmtId="168" fontId="21" fillId="0" borderId="0" xfId="15" applyFont="true" applyBorder="true" applyAlignment="true" applyProtection="true">
      <alignment horizontal="center" vertical="bottom" textRotation="0" wrapText="false" indent="0" shrinkToFit="false"/>
      <protection locked="false" hidden="false"/>
    </xf>
    <xf numFmtId="169" fontId="21" fillId="0" borderId="0" xfId="19" applyFont="true" applyBorder="true" applyAlignment="true" applyProtection="true">
      <alignment horizontal="center" vertical="bottom" textRotation="0" wrapText="false" indent="0" shrinkToFit="false"/>
      <protection locked="false" hidden="false"/>
    </xf>
    <xf numFmtId="167" fontId="21" fillId="0" borderId="0" xfId="0" applyFont="true" applyBorder="true" applyAlignment="true" applyProtection="false">
      <alignment horizontal="right" vertical="bottom" textRotation="0" wrapText="false" indent="0" shrinkToFit="false"/>
      <protection locked="true" hidden="false"/>
    </xf>
    <xf numFmtId="167" fontId="0" fillId="3" borderId="6" xfId="44" applyFont="false" applyBorder="true" applyAlignment="true" applyProtection="true">
      <alignment horizontal="center" vertical="bottom" textRotation="0" wrapText="true" indent="0" shrinkToFit="false"/>
      <protection locked="true" hidden="false"/>
    </xf>
    <xf numFmtId="164" fontId="91" fillId="0" borderId="0" xfId="0" applyFont="true" applyBorder="true" applyAlignment="true" applyProtection="false">
      <alignment horizontal="center" vertical="bottom" textRotation="0" wrapText="true" indent="0" shrinkToFit="false"/>
      <protection locked="true" hidden="false"/>
    </xf>
    <xf numFmtId="164" fontId="91" fillId="0" borderId="0" xfId="0" applyFont="true" applyBorder="false" applyAlignment="false" applyProtection="false">
      <alignment horizontal="general" vertical="bottom" textRotation="0" wrapText="false" indent="0" shrinkToFit="false"/>
      <protection locked="true" hidden="false"/>
    </xf>
    <xf numFmtId="164" fontId="20" fillId="0" borderId="0" xfId="0" applyFont="true" applyBorder="false" applyAlignment="true" applyProtection="false">
      <alignment horizontal="right" vertical="bottom" textRotation="0" wrapText="false" indent="0" shrinkToFit="false"/>
      <protection locked="true" hidden="false"/>
    </xf>
    <xf numFmtId="164" fontId="69" fillId="0" borderId="0" xfId="0" applyFont="true" applyBorder="false" applyAlignment="true" applyProtection="false">
      <alignment horizontal="left" vertical="top" textRotation="0" wrapText="true" indent="0" shrinkToFit="false"/>
      <protection locked="true" hidden="false"/>
    </xf>
    <xf numFmtId="164" fontId="69" fillId="0" borderId="0" xfId="0" applyFont="true" applyBorder="false" applyAlignment="true" applyProtection="false">
      <alignment horizontal="center" vertical="top" textRotation="0" wrapText="true" indent="0" shrinkToFit="false"/>
      <protection locked="true" hidden="false"/>
    </xf>
    <xf numFmtId="164" fontId="21" fillId="0" borderId="0" xfId="0" applyFont="true" applyBorder="false" applyAlignment="true" applyProtection="false">
      <alignment horizontal="right" vertical="top" textRotation="0" wrapText="false" indent="0" shrinkToFit="false"/>
      <protection locked="true" hidden="false"/>
    </xf>
    <xf numFmtId="164" fontId="69" fillId="0" borderId="0" xfId="0" applyFont="true" applyBorder="true" applyAlignment="true" applyProtection="true">
      <alignment horizontal="center" vertical="bottom" textRotation="0" wrapText="false" indent="0" shrinkToFit="false"/>
      <protection locked="true" hidden="false"/>
    </xf>
    <xf numFmtId="164" fontId="92" fillId="0" borderId="0" xfId="0" applyFont="true" applyBorder="true" applyAlignment="true" applyProtection="false">
      <alignment horizontal="left" vertical="bottom" textRotation="0" wrapText="true" indent="0" shrinkToFit="false"/>
      <protection locked="true" hidden="false"/>
    </xf>
    <xf numFmtId="164" fontId="79" fillId="19" borderId="89" xfId="49" applyFont="true" applyBorder="true" applyAlignment="true" applyProtection="true">
      <alignment horizontal="general" vertical="bottom" textRotation="0" wrapText="false" indent="0" shrinkToFit="false"/>
      <protection locked="true" hidden="false"/>
    </xf>
    <xf numFmtId="164" fontId="79" fillId="19" borderId="94" xfId="49" applyFont="true" applyBorder="true" applyAlignment="true" applyProtection="true">
      <alignment horizontal="general" vertical="bottom" textRotation="0" wrapText="false" indent="0" shrinkToFit="false"/>
      <protection locked="true" hidden="false"/>
    </xf>
    <xf numFmtId="164" fontId="93" fillId="19" borderId="94" xfId="49" applyFont="true" applyBorder="true" applyAlignment="true" applyProtection="true">
      <alignment horizontal="left" vertical="bottom" textRotation="0" wrapText="false" indent="0" shrinkToFit="false"/>
      <protection locked="true" hidden="false"/>
    </xf>
    <xf numFmtId="164" fontId="69" fillId="19" borderId="94" xfId="49" applyFont="true" applyBorder="true" applyAlignment="true" applyProtection="true">
      <alignment horizontal="general" vertical="bottom" textRotation="0" wrapText="false" indent="0" shrinkToFit="false"/>
      <protection locked="true" hidden="false"/>
    </xf>
    <xf numFmtId="164" fontId="69" fillId="19" borderId="110" xfId="49" applyFont="true" applyBorder="true" applyAlignment="true" applyProtection="true">
      <alignment horizontal="center" vertical="bottom" textRotation="0" wrapText="false" indent="0" shrinkToFit="false"/>
      <protection locked="true" hidden="false"/>
    </xf>
    <xf numFmtId="164" fontId="79" fillId="0" borderId="0" xfId="0" applyFont="true" applyBorder="true" applyAlignment="true" applyProtection="false">
      <alignment horizontal="center" vertical="bottom" textRotation="0" wrapText="false" indent="0" shrinkToFit="false"/>
      <protection locked="true" hidden="false"/>
    </xf>
    <xf numFmtId="164" fontId="27" fillId="0" borderId="102" xfId="0" applyFont="true" applyBorder="true" applyAlignment="true" applyProtection="false">
      <alignment horizontal="center" vertical="center" textRotation="0" wrapText="false" indent="0" shrinkToFit="false"/>
      <protection locked="true" hidden="false"/>
    </xf>
    <xf numFmtId="164" fontId="27" fillId="0" borderId="6" xfId="0" applyFont="true" applyBorder="true" applyAlignment="false" applyProtection="false">
      <alignment horizontal="general" vertical="bottom" textRotation="0" wrapText="false" indent="0" shrinkToFit="false"/>
      <protection locked="true" hidden="false"/>
    </xf>
    <xf numFmtId="164" fontId="69" fillId="19" borderId="6" xfId="0" applyFont="true" applyBorder="true" applyAlignment="true" applyProtection="true">
      <alignment horizontal="center" vertical="bottom" textRotation="0" wrapText="false" indent="0" shrinkToFit="false"/>
      <protection locked="false" hidden="false"/>
    </xf>
    <xf numFmtId="164" fontId="27" fillId="14" borderId="6" xfId="0" applyFont="true" applyBorder="true" applyAlignment="true" applyProtection="false">
      <alignment horizontal="center" vertical="center" textRotation="0" wrapText="true" indent="0" shrinkToFit="false"/>
      <protection locked="true" hidden="false"/>
    </xf>
    <xf numFmtId="164" fontId="27" fillId="0" borderId="6" xfId="0" applyFont="true" applyBorder="true" applyAlignment="true" applyProtection="true">
      <alignment horizontal="right" vertical="bottom" textRotation="0" wrapText="false" indent="0" shrinkToFit="false"/>
      <protection locked="true" hidden="false"/>
    </xf>
    <xf numFmtId="164" fontId="27" fillId="19" borderId="6" xfId="0" applyFont="true" applyBorder="true" applyAlignment="false" applyProtection="true">
      <alignment horizontal="general" vertical="bottom" textRotation="0" wrapText="false" indent="0" shrinkToFit="false"/>
      <protection locked="false" hidden="false"/>
    </xf>
    <xf numFmtId="164" fontId="27" fillId="14" borderId="98" xfId="0" applyFont="true" applyBorder="true" applyAlignment="true" applyProtection="false">
      <alignment horizontal="center" vertical="center" textRotation="0" wrapText="true" indent="0" shrinkToFit="false"/>
      <protection locked="true" hidden="false"/>
    </xf>
    <xf numFmtId="164" fontId="94" fillId="0" borderId="0" xfId="0" applyFont="true" applyBorder="true" applyAlignment="true" applyProtection="true">
      <alignment horizontal="left" vertical="bottom" textRotation="0" wrapText="false" indent="0" shrinkToFit="false"/>
      <protection locked="true" hidden="false"/>
    </xf>
    <xf numFmtId="164" fontId="92" fillId="0" borderId="0" xfId="0" applyFont="true" applyBorder="true" applyAlignment="true" applyProtection="false">
      <alignment horizontal="right" vertical="bottom" textRotation="0" wrapText="true" indent="0" shrinkToFit="false"/>
      <protection locked="true" hidden="false"/>
    </xf>
    <xf numFmtId="164" fontId="69" fillId="0" borderId="0" xfId="0" applyFont="true" applyBorder="false" applyAlignment="true" applyProtection="false">
      <alignment horizontal="center" vertical="bottom" textRotation="0" wrapText="false" indent="0" shrinkToFit="false"/>
      <protection locked="true" hidden="false"/>
    </xf>
    <xf numFmtId="164" fontId="88" fillId="0" borderId="0" xfId="0" applyFont="true" applyBorder="true" applyAlignment="false" applyProtection="false">
      <alignment horizontal="general" vertical="bottom" textRotation="0" wrapText="false" indent="0" shrinkToFit="false"/>
      <protection locked="true" hidden="false"/>
    </xf>
    <xf numFmtId="164" fontId="79" fillId="0" borderId="108" xfId="0" applyFont="true" applyBorder="true" applyAlignment="false" applyProtection="false">
      <alignment horizontal="general" vertical="bottom" textRotation="0" wrapText="false" indent="0" shrinkToFit="false"/>
      <protection locked="true" hidden="false"/>
    </xf>
    <xf numFmtId="164" fontId="69" fillId="19" borderId="108" xfId="0" applyFont="true" applyBorder="true" applyAlignment="true" applyProtection="true">
      <alignment horizontal="center" vertical="bottom" textRotation="0" wrapText="false" indent="0" shrinkToFit="false"/>
      <protection locked="false" hidden="false"/>
    </xf>
    <xf numFmtId="164" fontId="27" fillId="14" borderId="108" xfId="0" applyFont="true" applyBorder="true" applyAlignment="true" applyProtection="false">
      <alignment horizontal="center" vertical="center" textRotation="0" wrapText="true" indent="0" shrinkToFit="false"/>
      <protection locked="true" hidden="false"/>
    </xf>
    <xf numFmtId="164" fontId="27" fillId="0" borderId="108" xfId="0" applyFont="true" applyBorder="true" applyAlignment="true" applyProtection="true">
      <alignment horizontal="right" vertical="bottom" textRotation="0" wrapText="false" indent="0" shrinkToFit="false"/>
      <protection locked="true" hidden="false"/>
    </xf>
    <xf numFmtId="164" fontId="27" fillId="19" borderId="108" xfId="0" applyFont="true" applyBorder="true" applyAlignment="false" applyProtection="true">
      <alignment horizontal="general" vertical="bottom" textRotation="0" wrapText="false" indent="0" shrinkToFit="false"/>
      <protection locked="false" hidden="false"/>
    </xf>
    <xf numFmtId="164" fontId="27" fillId="14" borderId="111" xfId="0" applyFont="true" applyBorder="true" applyAlignment="true" applyProtection="false">
      <alignment horizontal="center" vertical="center" textRotation="0" wrapText="true" indent="0" shrinkToFit="false"/>
      <protection locked="true" hidden="false"/>
    </xf>
    <xf numFmtId="164" fontId="69" fillId="0" borderId="0" xfId="0" applyFont="true" applyBorder="false" applyAlignment="true" applyProtection="false">
      <alignment horizontal="center" vertical="bottom" textRotation="0" wrapText="true" indent="0" shrinkToFit="false"/>
      <protection locked="true" hidden="false"/>
    </xf>
    <xf numFmtId="164" fontId="69" fillId="0" borderId="17" xfId="0" applyFont="true" applyBorder="true" applyAlignment="false" applyProtection="false">
      <alignment horizontal="general" vertical="bottom" textRotation="0" wrapText="false" indent="0" shrinkToFit="false"/>
      <protection locked="true" hidden="false"/>
    </xf>
    <xf numFmtId="164" fontId="91" fillId="0" borderId="0" xfId="0" applyFont="true" applyBorder="true" applyAlignment="false" applyProtection="false">
      <alignment horizontal="general" vertical="bottom" textRotation="0" wrapText="false" indent="0" shrinkToFit="false"/>
      <protection locked="true" hidden="false"/>
    </xf>
    <xf numFmtId="172" fontId="69" fillId="0" borderId="0" xfId="0" applyFont="true" applyBorder="true" applyAlignment="false" applyProtection="false">
      <alignment horizontal="general" vertical="bottom" textRotation="0" wrapText="false" indent="0" shrinkToFit="false"/>
      <protection locked="true" hidden="false"/>
    </xf>
    <xf numFmtId="164" fontId="21" fillId="19" borderId="91" xfId="49" applyFont="true" applyBorder="true" applyAlignment="true" applyProtection="true">
      <alignment horizontal="general" vertical="center" textRotation="0" wrapText="true" indent="0" shrinkToFit="false"/>
      <protection locked="true" hidden="false"/>
    </xf>
    <xf numFmtId="164" fontId="21" fillId="19" borderId="94" xfId="49" applyFont="true" applyBorder="true" applyAlignment="true" applyProtection="true">
      <alignment horizontal="center" vertical="center" textRotation="0" wrapText="false" indent="0" shrinkToFit="false"/>
      <protection locked="true" hidden="false"/>
    </xf>
    <xf numFmtId="164" fontId="5" fillId="19" borderId="112" xfId="49" applyFont="true" applyBorder="true" applyAlignment="true" applyProtection="true">
      <alignment horizontal="center" vertical="center" textRotation="0" wrapText="true" indent="0" shrinkToFit="false"/>
      <protection locked="true" hidden="false"/>
    </xf>
    <xf numFmtId="164" fontId="21" fillId="19" borderId="110" xfId="49" applyFont="true" applyBorder="true" applyAlignment="true" applyProtection="true">
      <alignment horizontal="center" vertical="center" textRotation="0" wrapText="false" indent="0" shrinkToFit="false"/>
      <protection locked="true" hidden="false"/>
    </xf>
    <xf numFmtId="164" fontId="21" fillId="19" borderId="112" xfId="49" applyFont="true" applyBorder="true" applyAlignment="true" applyProtection="true">
      <alignment horizontal="center" vertical="center" textRotation="0" wrapText="false" indent="0" shrinkToFit="false"/>
      <protection locked="true" hidden="false"/>
    </xf>
    <xf numFmtId="164" fontId="21" fillId="19" borderId="113" xfId="49" applyFont="true" applyBorder="true" applyAlignment="true" applyProtection="true">
      <alignment horizontal="center" vertical="center" textRotation="0" wrapText="false" indent="0" shrinkToFit="false"/>
      <protection locked="true" hidden="false"/>
    </xf>
    <xf numFmtId="164" fontId="69" fillId="0" borderId="0" xfId="0" applyFont="true" applyBorder="true" applyAlignment="true" applyProtection="false">
      <alignment horizontal="center" vertical="bottom" textRotation="0" wrapText="false" indent="0" shrinkToFit="false"/>
      <protection locked="true" hidden="false"/>
    </xf>
    <xf numFmtId="164" fontId="21" fillId="0" borderId="55" xfId="0" applyFont="true" applyBorder="true" applyAlignment="true" applyProtection="false">
      <alignment horizontal="center" vertical="center" textRotation="0" wrapText="true" indent="0" shrinkToFit="false"/>
      <protection locked="true" hidden="false"/>
    </xf>
    <xf numFmtId="164" fontId="21" fillId="14" borderId="6" xfId="0" applyFont="true" applyBorder="true" applyAlignment="true" applyProtection="false">
      <alignment horizontal="center" vertical="center" textRotation="0" wrapText="true" indent="0" shrinkToFit="false"/>
      <protection locked="true" hidden="false"/>
    </xf>
    <xf numFmtId="164" fontId="27" fillId="14" borderId="56" xfId="0" applyFont="true" applyBorder="true" applyAlignment="true" applyProtection="false">
      <alignment horizontal="center" vertical="center" textRotation="0" wrapText="true" indent="0" shrinkToFit="false"/>
      <protection locked="true" hidden="false"/>
    </xf>
    <xf numFmtId="164" fontId="23" fillId="19" borderId="55" xfId="49" applyFont="true" applyBorder="true" applyAlignment="true" applyProtection="true">
      <alignment horizontal="left" vertical="center" textRotation="0" wrapText="false" indent="0" shrinkToFit="false"/>
      <protection locked="true" hidden="false"/>
    </xf>
    <xf numFmtId="164" fontId="0" fillId="19" borderId="6" xfId="49" applyFont="true" applyBorder="true" applyAlignment="true" applyProtection="true">
      <alignment horizontal="left" vertical="center" textRotation="0" wrapText="false" indent="0" shrinkToFit="false"/>
      <protection locked="true" hidden="false"/>
    </xf>
    <xf numFmtId="170" fontId="0" fillId="19" borderId="6" xfId="49" applyFont="true" applyBorder="true" applyAlignment="true" applyProtection="true">
      <alignment horizontal="center" vertical="center" textRotation="0" wrapText="false" indent="0" shrinkToFit="false"/>
      <protection locked="true" hidden="false"/>
    </xf>
    <xf numFmtId="164" fontId="0" fillId="19" borderId="56" xfId="49" applyFont="true" applyBorder="true" applyAlignment="true" applyProtection="true">
      <alignment horizontal="left" vertical="center" textRotation="0" wrapText="false" indent="0" shrinkToFit="false"/>
      <protection locked="true" hidden="false"/>
    </xf>
    <xf numFmtId="164" fontId="0" fillId="19" borderId="56" xfId="49" applyFont="true" applyBorder="true" applyAlignment="true" applyProtection="true">
      <alignment horizontal="center" vertical="center" textRotation="0" wrapText="false" indent="0" shrinkToFit="false"/>
      <protection locked="true" hidden="false"/>
    </xf>
    <xf numFmtId="164" fontId="27" fillId="0" borderId="55" xfId="0" applyFont="true" applyBorder="true" applyAlignment="false" applyProtection="false">
      <alignment horizontal="general" vertical="bottom" textRotation="0" wrapText="false" indent="0" shrinkToFit="false"/>
      <protection locked="true" hidden="false"/>
    </xf>
    <xf numFmtId="170" fontId="0" fillId="3" borderId="6" xfId="44" applyFont="false" applyBorder="true" applyAlignment="true" applyProtection="true">
      <alignment horizontal="center" vertical="bottom" textRotation="0" wrapText="false" indent="0" shrinkToFit="false"/>
      <protection locked="true" hidden="false"/>
    </xf>
    <xf numFmtId="164" fontId="27" fillId="19" borderId="56" xfId="0" applyFont="true" applyBorder="true" applyAlignment="true" applyProtection="true">
      <alignment horizontal="center" vertical="bottom" textRotation="0" wrapText="false" indent="0" shrinkToFit="false"/>
      <protection locked="false" hidden="false"/>
    </xf>
    <xf numFmtId="164" fontId="27" fillId="18" borderId="56" xfId="0" applyFont="true" applyBorder="true" applyAlignment="true" applyProtection="true">
      <alignment horizontal="center" vertical="bottom" textRotation="0" wrapText="false" indent="0" shrinkToFit="false"/>
      <protection locked="false" hidden="false"/>
    </xf>
    <xf numFmtId="164" fontId="82" fillId="19" borderId="6" xfId="0" applyFont="true" applyBorder="true" applyAlignment="true" applyProtection="true">
      <alignment horizontal="center" vertical="bottom" textRotation="0" wrapText="false" indent="0" shrinkToFit="false"/>
      <protection locked="false" hidden="false"/>
    </xf>
    <xf numFmtId="164" fontId="69" fillId="0" borderId="0" xfId="0" applyFont="true" applyBorder="true" applyAlignment="false" applyProtection="true">
      <alignment horizontal="general" vertical="bottom" textRotation="0" wrapText="false" indent="0" shrinkToFit="false"/>
      <protection locked="true" hidden="false"/>
    </xf>
    <xf numFmtId="164" fontId="0" fillId="19" borderId="6" xfId="49" applyFont="true" applyBorder="true" applyAlignment="true" applyProtection="true">
      <alignment horizontal="center" vertical="center" textRotation="0" wrapText="false" indent="0" shrinkToFit="false"/>
      <protection locked="true" hidden="false"/>
    </xf>
    <xf numFmtId="164" fontId="27" fillId="0" borderId="55" xfId="0" applyFont="true" applyBorder="true" applyAlignment="true" applyProtection="false">
      <alignment horizontal="general" vertical="bottom" textRotation="0" wrapText="false" indent="0" shrinkToFit="false"/>
      <protection locked="true" hidden="false"/>
    </xf>
    <xf numFmtId="164" fontId="27" fillId="19" borderId="6" xfId="0" applyFont="true" applyBorder="true" applyAlignment="true" applyProtection="true">
      <alignment horizontal="general" vertical="bottom" textRotation="0" wrapText="false" indent="0" shrinkToFit="false"/>
      <protection locked="false" hidden="false"/>
    </xf>
    <xf numFmtId="164" fontId="23" fillId="19" borderId="114" xfId="49" applyFont="true" applyBorder="true" applyAlignment="true" applyProtection="true">
      <alignment horizontal="left" vertical="center" textRotation="0" wrapText="false" indent="0" shrinkToFit="false"/>
      <protection locked="true" hidden="false"/>
    </xf>
    <xf numFmtId="164" fontId="0" fillId="19" borderId="11" xfId="49" applyFont="true" applyBorder="true" applyAlignment="true" applyProtection="true">
      <alignment horizontal="left" vertical="center" textRotation="0" wrapText="false" indent="0" shrinkToFit="false"/>
      <protection locked="true" hidden="false"/>
    </xf>
    <xf numFmtId="164" fontId="0" fillId="19" borderId="11" xfId="49" applyFont="true" applyBorder="true" applyAlignment="true" applyProtection="true">
      <alignment horizontal="center" vertical="center" textRotation="0" wrapText="false" indent="0" shrinkToFit="false"/>
      <protection locked="true" hidden="false"/>
    </xf>
    <xf numFmtId="164" fontId="0" fillId="19" borderId="115" xfId="49" applyFont="true" applyBorder="true" applyAlignment="true" applyProtection="true">
      <alignment horizontal="center" vertical="center" textRotation="0" wrapText="false" indent="0" shrinkToFit="false"/>
      <protection locked="true" hidden="false"/>
    </xf>
    <xf numFmtId="164" fontId="34" fillId="0" borderId="116" xfId="0" applyFont="true" applyBorder="true" applyAlignment="true" applyProtection="false">
      <alignment horizontal="left" vertical="top" textRotation="0" wrapText="false" indent="0" shrinkToFit="false"/>
      <protection locked="true" hidden="false"/>
    </xf>
    <xf numFmtId="164" fontId="27" fillId="19" borderId="112" xfId="0" applyFont="true" applyBorder="true" applyAlignment="true" applyProtection="true">
      <alignment horizontal="center" vertical="bottom" textRotation="0" wrapText="false" indent="0" shrinkToFit="false"/>
      <protection locked="false" hidden="false"/>
    </xf>
    <xf numFmtId="170" fontId="0" fillId="3" borderId="112" xfId="44" applyFont="false" applyBorder="true" applyAlignment="true" applyProtection="true">
      <alignment horizontal="center" vertical="bottom" textRotation="0" wrapText="false" indent="0" shrinkToFit="false"/>
      <protection locked="true" hidden="false"/>
    </xf>
    <xf numFmtId="164" fontId="27" fillId="18" borderId="113" xfId="0" applyFont="true" applyBorder="true" applyAlignment="true" applyProtection="true">
      <alignment horizontal="center" vertical="bottom" textRotation="0" wrapText="false" indent="0" shrinkToFit="false"/>
      <protection locked="false" hidden="false"/>
    </xf>
    <xf numFmtId="164" fontId="27" fillId="19" borderId="11" xfId="0" applyFont="true" applyBorder="true" applyAlignment="true" applyProtection="true">
      <alignment horizontal="general" vertical="bottom" textRotation="0" wrapText="false" indent="0" shrinkToFit="false"/>
      <protection locked="false" hidden="false"/>
    </xf>
    <xf numFmtId="164" fontId="27" fillId="19" borderId="11" xfId="0" applyFont="true" applyBorder="true" applyAlignment="false" applyProtection="true">
      <alignment horizontal="general" vertical="bottom" textRotation="0" wrapText="false" indent="0" shrinkToFit="false"/>
      <protection locked="false" hidden="false"/>
    </xf>
    <xf numFmtId="164" fontId="27" fillId="19" borderId="115" xfId="0" applyFont="true" applyBorder="true" applyAlignment="true" applyProtection="true">
      <alignment horizontal="center" vertical="bottom" textRotation="0" wrapText="false" indent="0" shrinkToFit="false"/>
      <protection locked="false" hidden="false"/>
    </xf>
    <xf numFmtId="164" fontId="34" fillId="0" borderId="117" xfId="0" applyFont="true" applyBorder="true" applyAlignment="true" applyProtection="false">
      <alignment horizontal="left" vertical="top" textRotation="0" wrapText="false" indent="0" shrinkToFit="false"/>
      <protection locked="true" hidden="false"/>
    </xf>
    <xf numFmtId="164" fontId="27" fillId="19" borderId="11" xfId="0" applyFont="true" applyBorder="true" applyAlignment="true" applyProtection="true">
      <alignment horizontal="center" vertical="bottom" textRotation="0" wrapText="false" indent="0" shrinkToFit="false"/>
      <protection locked="false" hidden="false"/>
    </xf>
    <xf numFmtId="164" fontId="27" fillId="0" borderId="114" xfId="0" applyFont="true" applyBorder="true" applyAlignment="true" applyProtection="false">
      <alignment horizontal="general" vertical="bottom" textRotation="0" wrapText="false" indent="0" shrinkToFit="false"/>
      <protection locked="true" hidden="false"/>
    </xf>
    <xf numFmtId="164" fontId="27" fillId="0" borderId="104" xfId="0" applyFont="true" applyBorder="true" applyAlignment="false" applyProtection="false">
      <alignment horizontal="general" vertical="bottom" textRotation="0" wrapText="false" indent="0" shrinkToFit="false"/>
      <protection locked="true" hidden="false"/>
    </xf>
    <xf numFmtId="164" fontId="27" fillId="19" borderId="105" xfId="0" applyFont="true" applyBorder="true" applyAlignment="false" applyProtection="true">
      <alignment horizontal="general" vertical="bottom" textRotation="0" wrapText="false" indent="0" shrinkToFit="false"/>
      <protection locked="false" hidden="false"/>
    </xf>
    <xf numFmtId="170" fontId="0" fillId="3" borderId="105" xfId="44" applyFont="false" applyBorder="true" applyAlignment="true" applyProtection="true">
      <alignment horizontal="center" vertical="bottom" textRotation="0" wrapText="false" indent="0" shrinkToFit="false"/>
      <protection locked="true" hidden="false"/>
    </xf>
    <xf numFmtId="164" fontId="27" fillId="19" borderId="106" xfId="0" applyFont="true" applyBorder="true" applyAlignment="true" applyProtection="true">
      <alignment horizontal="center" vertical="bottom" textRotation="0" wrapText="false" indent="0" shrinkToFit="false"/>
      <protection locked="false" hidden="false"/>
    </xf>
    <xf numFmtId="164" fontId="27" fillId="18" borderId="106" xfId="0" applyFont="true" applyBorder="true" applyAlignment="true" applyProtection="true">
      <alignment horizontal="center" vertical="bottom" textRotation="0" wrapText="false" indent="0" shrinkToFit="false"/>
      <protection locked="false" hidden="false"/>
    </xf>
    <xf numFmtId="164" fontId="27" fillId="0" borderId="17" xfId="0" applyFont="true" applyBorder="true" applyAlignment="false" applyProtection="false">
      <alignment horizontal="general" vertical="bottom" textRotation="0" wrapText="false" indent="0" shrinkToFit="false"/>
      <protection locked="true" hidden="false"/>
    </xf>
    <xf numFmtId="164" fontId="21" fillId="0" borderId="0" xfId="0" applyFont="true" applyBorder="true" applyAlignment="true" applyProtection="true">
      <alignment horizontal="center" vertical="bottom" textRotation="0" wrapText="false" indent="0" shrinkToFit="false"/>
      <protection locked="false" hidden="false"/>
    </xf>
    <xf numFmtId="172" fontId="21" fillId="0" borderId="0" xfId="0" applyFont="true" applyBorder="true" applyAlignment="true" applyProtection="true">
      <alignment horizontal="center" vertical="bottom" textRotation="0" wrapText="false" indent="0" shrinkToFit="false"/>
      <protection locked="false" hidden="false"/>
    </xf>
    <xf numFmtId="168" fontId="27" fillId="0" borderId="0" xfId="0" applyFont="true" applyBorder="true" applyAlignment="false" applyProtection="false">
      <alignment horizontal="general" vertical="bottom" textRotation="0" wrapText="false" indent="0" shrinkToFit="false"/>
      <protection locked="true" hidden="false"/>
    </xf>
    <xf numFmtId="173" fontId="27" fillId="0" borderId="0" xfId="0" applyFont="true" applyBorder="true" applyAlignment="false" applyProtection="false">
      <alignment horizontal="general" vertical="bottom" textRotation="0" wrapText="false" indent="0" shrinkToFit="false"/>
      <protection locked="true" hidden="false"/>
    </xf>
    <xf numFmtId="164" fontId="95" fillId="0" borderId="0" xfId="0" applyFont="true" applyBorder="false" applyAlignment="true" applyProtection="false">
      <alignment horizontal="right" vertical="bottom" textRotation="0" wrapText="false" indent="0" shrinkToFit="false"/>
      <protection locked="true" hidden="false"/>
    </xf>
    <xf numFmtId="174" fontId="0" fillId="3" borderId="6" xfId="44" applyFont="false" applyBorder="true" applyAlignment="true" applyProtection="true">
      <alignment horizontal="center" vertical="center" textRotation="0" wrapText="false" indent="0" shrinkToFit="false"/>
      <protection locked="true" hidden="false"/>
    </xf>
    <xf numFmtId="164" fontId="17" fillId="0" borderId="0" xfId="0" applyFont="true" applyBorder="true" applyAlignment="true" applyProtection="false">
      <alignment horizontal="center" vertical="center" textRotation="0" wrapText="true" indent="0" shrinkToFit="false"/>
      <protection locked="true" hidden="false"/>
    </xf>
    <xf numFmtId="168" fontId="27" fillId="0" borderId="0" xfId="0" applyFont="true" applyBorder="true" applyAlignment="true" applyProtection="false">
      <alignment horizontal="left" vertical="center" textRotation="0" wrapText="false" indent="0" shrinkToFit="false"/>
      <protection locked="true" hidden="false"/>
    </xf>
    <xf numFmtId="164" fontId="96" fillId="0" borderId="0" xfId="0" applyFont="true" applyBorder="true" applyAlignment="true" applyProtection="false">
      <alignment horizontal="center" vertical="top" textRotation="0" wrapText="false" indent="0" shrinkToFit="false"/>
      <protection locked="true" hidden="false"/>
    </xf>
    <xf numFmtId="164" fontId="11" fillId="0" borderId="0" xfId="0" applyFont="true" applyBorder="true" applyAlignment="false" applyProtection="false">
      <alignment horizontal="general" vertical="bottom" textRotation="0" wrapText="false" indent="0" shrinkToFit="false"/>
      <protection locked="true" hidden="false"/>
    </xf>
    <xf numFmtId="164" fontId="27" fillId="0" borderId="0" xfId="0" applyFont="true" applyBorder="true" applyAlignment="true" applyProtection="false">
      <alignment horizontal="general" vertical="bottom" textRotation="0" wrapText="true" indent="0" shrinkToFit="false"/>
      <protection locked="true" hidden="false"/>
    </xf>
    <xf numFmtId="168" fontId="27" fillId="0" borderId="0" xfId="0" applyFont="true" applyBorder="true" applyAlignment="true" applyProtection="false">
      <alignment horizontal="general" vertical="bottom" textRotation="0" wrapText="true" indent="0" shrinkToFit="false"/>
      <protection locked="true" hidden="false"/>
    </xf>
    <xf numFmtId="164" fontId="97" fillId="0" borderId="0" xfId="0" applyFont="true" applyBorder="false" applyAlignment="true" applyProtection="false">
      <alignment horizontal="center" vertical="bottom" textRotation="0" wrapText="false" indent="0" shrinkToFit="false"/>
      <protection locked="true" hidden="false"/>
    </xf>
    <xf numFmtId="164" fontId="97" fillId="0" borderId="0" xfId="0" applyFont="true" applyBorder="false" applyAlignment="false" applyProtection="false">
      <alignment horizontal="general" vertical="bottom" textRotation="0" wrapText="false" indent="0" shrinkToFit="false"/>
      <protection locked="true" hidden="false"/>
    </xf>
    <xf numFmtId="175" fontId="27" fillId="0" borderId="0" xfId="0" applyFont="true" applyBorder="true" applyAlignment="false" applyProtection="false">
      <alignment horizontal="general" vertical="bottom" textRotation="0" wrapText="false" indent="0" shrinkToFit="false"/>
      <protection locked="true" hidden="false"/>
    </xf>
    <xf numFmtId="164" fontId="21" fillId="19" borderId="91" xfId="49" applyFont="true" applyBorder="true" applyAlignment="true" applyProtection="true">
      <alignment horizontal="center" vertical="center" textRotation="0" wrapText="false" indent="0" shrinkToFit="false"/>
      <protection locked="true" hidden="false"/>
    </xf>
    <xf numFmtId="172" fontId="5" fillId="19" borderId="112" xfId="49" applyFont="true" applyBorder="true" applyAlignment="true" applyProtection="true">
      <alignment horizontal="center" vertical="center" textRotation="0" wrapText="true" indent="0" shrinkToFit="false"/>
      <protection locked="false" hidden="false"/>
    </xf>
    <xf numFmtId="164" fontId="21" fillId="19" borderId="91" xfId="49" applyFont="true" applyBorder="true" applyAlignment="true" applyProtection="true">
      <alignment horizontal="center" vertical="bottom" textRotation="0" wrapText="true" indent="0" shrinkToFit="false"/>
      <protection locked="true" hidden="false"/>
    </xf>
    <xf numFmtId="164" fontId="21" fillId="14" borderId="55" xfId="0" applyFont="true" applyBorder="true" applyAlignment="true" applyProtection="false">
      <alignment horizontal="center" vertical="center" textRotation="0" wrapText="true" indent="0" shrinkToFit="false"/>
      <protection locked="true" hidden="false"/>
    </xf>
    <xf numFmtId="164" fontId="27" fillId="0" borderId="55" xfId="0" applyFont="true" applyBorder="true" applyAlignment="true" applyProtection="false">
      <alignment horizontal="left" vertical="bottom" textRotation="0" wrapText="false" indent="0" shrinkToFit="false"/>
      <protection locked="true" hidden="false"/>
    </xf>
    <xf numFmtId="172" fontId="0" fillId="3" borderId="6" xfId="44" applyFont="false" applyBorder="true" applyAlignment="true" applyProtection="true">
      <alignment horizontal="right" vertical="bottom" textRotation="0" wrapText="false" indent="0" shrinkToFit="false"/>
      <protection locked="true" hidden="false"/>
    </xf>
    <xf numFmtId="172" fontId="27" fillId="0" borderId="6" xfId="0" applyFont="true" applyBorder="true" applyAlignment="true" applyProtection="true">
      <alignment horizontal="right" vertical="bottom" textRotation="0" wrapText="false" indent="0" shrinkToFit="false"/>
      <protection locked="true" hidden="false"/>
    </xf>
    <xf numFmtId="164" fontId="0" fillId="14" borderId="56" xfId="46" applyFont="true" applyBorder="true" applyAlignment="true" applyProtection="true">
      <alignment horizontal="left" vertical="center" textRotation="0" wrapText="false" indent="0" shrinkToFit="false"/>
      <protection locked="true" hidden="false"/>
    </xf>
    <xf numFmtId="172" fontId="69" fillId="19" borderId="6" xfId="0" applyFont="true" applyBorder="true" applyAlignment="true" applyProtection="true">
      <alignment horizontal="center" vertical="bottom" textRotation="0" wrapText="false" indent="0" shrinkToFit="false"/>
      <protection locked="false" hidden="false"/>
    </xf>
    <xf numFmtId="164" fontId="27" fillId="0" borderId="55" xfId="0" applyFont="true" applyBorder="true" applyAlignment="true" applyProtection="false">
      <alignment horizontal="right" vertical="bottom" textRotation="0" wrapText="false" indent="0" shrinkToFit="false"/>
      <protection locked="true" hidden="false"/>
    </xf>
    <xf numFmtId="164" fontId="27" fillId="0" borderId="6" xfId="0" applyFont="true" applyBorder="true" applyAlignment="true" applyProtection="false">
      <alignment horizontal="left" vertical="bottom" textRotation="0" wrapText="false" indent="0" shrinkToFit="false"/>
      <protection locked="true" hidden="false"/>
    </xf>
    <xf numFmtId="172" fontId="27" fillId="19" borderId="6" xfId="0" applyFont="true" applyBorder="true" applyAlignment="true" applyProtection="true">
      <alignment horizontal="center" vertical="center" textRotation="0" wrapText="false" indent="0" shrinkToFit="false"/>
      <protection locked="false" hidden="false"/>
    </xf>
    <xf numFmtId="172" fontId="27" fillId="19" borderId="6" xfId="0" applyFont="true" applyBorder="true" applyAlignment="true" applyProtection="true">
      <alignment horizontal="center" vertical="bottom" textRotation="0" wrapText="false" indent="0" shrinkToFit="false"/>
      <protection locked="false" hidden="false"/>
    </xf>
    <xf numFmtId="164" fontId="27" fillId="0" borderId="104" xfId="0" applyFont="true" applyBorder="true" applyAlignment="true" applyProtection="false">
      <alignment horizontal="general" vertical="bottom" textRotation="0" wrapText="false" indent="0" shrinkToFit="false"/>
      <protection locked="true" hidden="false"/>
    </xf>
    <xf numFmtId="172" fontId="69" fillId="19" borderId="105" xfId="0" applyFont="true" applyBorder="true" applyAlignment="true" applyProtection="true">
      <alignment horizontal="center" vertical="bottom" textRotation="0" wrapText="false" indent="0" shrinkToFit="false"/>
      <protection locked="false" hidden="false"/>
    </xf>
    <xf numFmtId="164" fontId="21" fillId="0" borderId="6" xfId="0" applyFont="true" applyBorder="true" applyAlignment="true" applyProtection="false">
      <alignment horizontal="right" vertical="bottom" textRotation="0" wrapText="false" indent="0" shrinkToFit="false"/>
      <protection locked="true" hidden="false"/>
    </xf>
    <xf numFmtId="164" fontId="21" fillId="0" borderId="6" xfId="0" applyFont="true" applyBorder="true" applyAlignment="true" applyProtection="false">
      <alignment horizontal="center" vertical="bottom" textRotation="0" wrapText="false" indent="0" shrinkToFit="false"/>
      <protection locked="true" hidden="false"/>
    </xf>
    <xf numFmtId="172" fontId="0" fillId="3" borderId="6" xfId="44" applyFont="false" applyBorder="true" applyAlignment="true" applyProtection="true">
      <alignment horizontal="center" vertical="bottom" textRotation="0" wrapText="false" indent="0" shrinkToFit="false"/>
      <protection locked="false" hidden="false"/>
    </xf>
    <xf numFmtId="164" fontId="94" fillId="0" borderId="0" xfId="0" applyFont="true" applyBorder="false" applyAlignment="false" applyProtection="false">
      <alignment horizontal="general" vertical="bottom" textRotation="0" wrapText="false" indent="0" shrinkToFit="false"/>
      <protection locked="true" hidden="false"/>
    </xf>
    <xf numFmtId="164" fontId="21" fillId="0" borderId="0" xfId="0" applyFont="true" applyBorder="true" applyAlignment="true" applyProtection="false">
      <alignment horizontal="left" vertical="center" textRotation="0" wrapText="false" indent="0" shrinkToFit="false"/>
      <protection locked="true" hidden="false"/>
    </xf>
    <xf numFmtId="164" fontId="21"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true" applyAlignment="true" applyProtection="false">
      <alignment horizontal="right" vertical="bottom" textRotation="0" wrapText="false" indent="0" shrinkToFit="false"/>
      <protection locked="true" hidden="false"/>
    </xf>
    <xf numFmtId="164" fontId="17" fillId="19" borderId="0" xfId="0" applyFont="true" applyBorder="true" applyAlignment="true" applyProtection="false">
      <alignment horizontal="center" vertical="center" textRotation="0" wrapText="true" indent="0" shrinkToFit="false"/>
      <protection locked="true" hidden="false"/>
    </xf>
    <xf numFmtId="168" fontId="27" fillId="0" borderId="0" xfId="0" applyFont="true" applyBorder="true" applyAlignment="true" applyProtection="false">
      <alignment horizontal="left" vertical="bottom" textRotation="0" wrapText="false" indent="0" shrinkToFit="false"/>
      <protection locked="true" hidden="false"/>
    </xf>
    <xf numFmtId="172" fontId="27" fillId="19" borderId="6" xfId="0" applyFont="true" applyBorder="true" applyAlignment="true" applyProtection="true">
      <alignment horizontal="right" vertical="bottom" textRotation="0" wrapText="false" indent="0" shrinkToFit="false"/>
      <protection locked="false" hidden="false"/>
    </xf>
    <xf numFmtId="164" fontId="69" fillId="0" borderId="0" xfId="0" applyFont="true" applyBorder="true" applyAlignment="true" applyProtection="false">
      <alignment horizontal="left" vertical="bottom" textRotation="0" wrapText="false" indent="0" shrinkToFit="false"/>
      <protection locked="true" hidden="false"/>
    </xf>
    <xf numFmtId="164" fontId="27" fillId="0" borderId="104" xfId="0" applyFont="true" applyBorder="true" applyAlignment="true" applyProtection="false">
      <alignment horizontal="left" vertical="bottom" textRotation="0" wrapText="false" indent="0" shrinkToFit="false"/>
      <protection locked="true" hidden="false"/>
    </xf>
    <xf numFmtId="164" fontId="27" fillId="0" borderId="105" xfId="0" applyFont="true" applyBorder="true" applyAlignment="true" applyProtection="false">
      <alignment horizontal="left" vertical="bottom" textRotation="0" wrapText="false" indent="0" shrinkToFit="false"/>
      <protection locked="true" hidden="false"/>
    </xf>
    <xf numFmtId="172" fontId="27" fillId="19" borderId="105" xfId="0" applyFont="true" applyBorder="true" applyAlignment="true" applyProtection="true">
      <alignment horizontal="center" vertical="bottom" textRotation="0" wrapText="false" indent="0" shrinkToFit="false"/>
      <protection locked="false" hidden="false"/>
    </xf>
    <xf numFmtId="164" fontId="28" fillId="0" borderId="0" xfId="0" applyFont="true" applyBorder="true" applyAlignment="true" applyProtection="false">
      <alignment horizontal="left" vertical="bottom" textRotation="0" wrapText="false" indent="0" shrinkToFit="false"/>
      <protection locked="true" hidden="false"/>
    </xf>
    <xf numFmtId="164" fontId="27" fillId="0" borderId="0" xfId="0" applyFont="true" applyBorder="true" applyAlignment="true" applyProtection="false">
      <alignment horizontal="left" vertical="bottom" textRotation="0" wrapText="false" indent="0" shrinkToFit="false"/>
      <protection locked="true" hidden="false"/>
    </xf>
    <xf numFmtId="172" fontId="27" fillId="0" borderId="0" xfId="0" applyFont="true" applyBorder="true" applyAlignment="true" applyProtection="true">
      <alignment horizontal="center" vertical="bottom" textRotation="0" wrapText="false" indent="0" shrinkToFit="false"/>
      <protection locked="false" hidden="false"/>
    </xf>
    <xf numFmtId="164" fontId="21" fillId="0" borderId="6" xfId="0" applyFont="true" applyBorder="true" applyAlignment="true" applyProtection="false">
      <alignment horizontal="left" vertical="bottom" textRotation="0" wrapText="false" indent="0" shrinkToFit="false"/>
      <protection locked="true" hidden="false"/>
    </xf>
    <xf numFmtId="172" fontId="21" fillId="0" borderId="6" xfId="0" applyFont="true" applyBorder="true" applyAlignment="true" applyProtection="false">
      <alignment horizontal="center" vertical="bottom" textRotation="0" wrapText="false" indent="0" shrinkToFit="false"/>
      <protection locked="true" hidden="false"/>
    </xf>
    <xf numFmtId="164" fontId="91" fillId="0" borderId="0" xfId="0" applyFont="true" applyBorder="true" applyAlignment="true" applyProtection="false">
      <alignment horizontal="center" vertical="bottom" textRotation="0" wrapText="false" indent="0" shrinkToFit="false"/>
      <protection locked="true" hidden="false"/>
    </xf>
    <xf numFmtId="164" fontId="91" fillId="0" borderId="0" xfId="0" applyFont="true" applyBorder="true" applyAlignment="true" applyProtection="false">
      <alignment horizontal="left" vertical="bottom" textRotation="0" wrapText="false" indent="0" shrinkToFit="false"/>
      <protection locked="true" hidden="false"/>
    </xf>
    <xf numFmtId="167" fontId="69" fillId="0" borderId="0" xfId="0" applyFont="true" applyBorder="true" applyAlignment="false" applyProtection="false">
      <alignment horizontal="general" vertical="bottom" textRotation="0" wrapText="false" indent="0" shrinkToFit="false"/>
      <protection locked="true" hidden="false"/>
    </xf>
    <xf numFmtId="168" fontId="21" fillId="0" borderId="0" xfId="0" applyFont="true" applyBorder="true" applyAlignment="true" applyProtection="false">
      <alignment horizontal="center" vertical="center" textRotation="0" wrapText="false" indent="0" shrinkToFit="false"/>
      <protection locked="true" hidden="false"/>
    </xf>
    <xf numFmtId="164" fontId="17" fillId="0" borderId="0" xfId="0" applyFont="true" applyBorder="true" applyAlignment="true" applyProtection="false">
      <alignment horizontal="general" vertical="bottom" textRotation="0" wrapText="true" indent="0" shrinkToFit="false"/>
      <protection locked="true" hidden="false"/>
    </xf>
    <xf numFmtId="167" fontId="78" fillId="0" borderId="0" xfId="0" applyFont="true" applyBorder="true" applyAlignment="true" applyProtection="false">
      <alignment horizontal="general" vertical="bottom" textRotation="0" wrapText="true" indent="0" shrinkToFit="false"/>
      <protection locked="true" hidden="false"/>
    </xf>
    <xf numFmtId="176" fontId="69" fillId="0" borderId="0" xfId="0" applyFont="true" applyBorder="true" applyAlignment="false" applyProtection="false">
      <alignment horizontal="general" vertical="bottom" textRotation="0" wrapText="false" indent="0" shrinkToFit="false"/>
      <protection locked="true" hidden="false"/>
    </xf>
    <xf numFmtId="164" fontId="92" fillId="0" borderId="0" xfId="0" applyFont="true" applyBorder="true" applyAlignment="true" applyProtection="false">
      <alignment horizontal="left" vertical="bottom" textRotation="0" wrapText="false" indent="0" shrinkToFit="false"/>
      <protection locked="true" hidden="false"/>
    </xf>
    <xf numFmtId="164" fontId="8" fillId="19" borderId="118" xfId="49" applyFont="true" applyBorder="true" applyAlignment="true" applyProtection="true">
      <alignment horizontal="center" vertical="bottom" textRotation="0" wrapText="false" indent="0" shrinkToFit="false"/>
      <protection locked="true" hidden="false"/>
    </xf>
    <xf numFmtId="164" fontId="91" fillId="0" borderId="17" xfId="0" applyFont="true" applyBorder="true" applyAlignment="true" applyProtection="false">
      <alignment horizontal="general" vertical="bottom" textRotation="0" wrapText="true" indent="0" shrinkToFit="false"/>
      <protection locked="true" hidden="false"/>
    </xf>
    <xf numFmtId="164" fontId="5" fillId="19" borderId="119" xfId="49" applyFont="true" applyBorder="true" applyAlignment="true" applyProtection="true">
      <alignment horizontal="center" vertical="center" textRotation="0" wrapText="true" indent="0" shrinkToFit="false"/>
      <protection locked="true" hidden="false"/>
    </xf>
    <xf numFmtId="164" fontId="5" fillId="19" borderId="7" xfId="49" applyFont="true" applyBorder="true" applyAlignment="true" applyProtection="true">
      <alignment horizontal="center" vertical="center" textRotation="0" wrapText="true" indent="0" shrinkToFit="false"/>
      <protection locked="true" hidden="false"/>
    </xf>
    <xf numFmtId="164" fontId="5" fillId="19" borderId="6" xfId="49" applyFont="true" applyBorder="true" applyAlignment="true" applyProtection="true">
      <alignment horizontal="center" vertical="center" textRotation="0" wrapText="true" indent="0" shrinkToFit="false"/>
      <protection locked="false" hidden="false"/>
    </xf>
    <xf numFmtId="164" fontId="5" fillId="19" borderId="96" xfId="49" applyFont="true" applyBorder="true" applyAlignment="true" applyProtection="true">
      <alignment horizontal="center" vertical="center" textRotation="0" wrapText="true" indent="0" shrinkToFit="false"/>
      <protection locked="false" hidden="false"/>
    </xf>
    <xf numFmtId="164" fontId="5" fillId="19" borderId="98" xfId="49" applyFont="true" applyBorder="true" applyAlignment="true" applyProtection="true">
      <alignment horizontal="center" vertical="center" textRotation="0" wrapText="true" indent="0" shrinkToFit="false"/>
      <protection locked="true" hidden="false"/>
    </xf>
    <xf numFmtId="164" fontId="91" fillId="0" borderId="65" xfId="0" applyFont="true" applyBorder="true" applyAlignment="true" applyProtection="false">
      <alignment horizontal="general" vertical="bottom" textRotation="0" wrapText="true" indent="0" shrinkToFit="false"/>
      <protection locked="true" hidden="false"/>
    </xf>
    <xf numFmtId="164" fontId="27" fillId="14" borderId="8" xfId="0" applyFont="true" applyBorder="true" applyAlignment="true" applyProtection="false">
      <alignment horizontal="center" vertical="center" textRotation="0" wrapText="true" indent="0" shrinkToFit="false"/>
      <protection locked="true" hidden="false"/>
    </xf>
    <xf numFmtId="169" fontId="27" fillId="14" borderId="6" xfId="19" applyFont="true" applyBorder="true" applyAlignment="true" applyProtection="true">
      <alignment horizontal="center" vertical="center" textRotation="0" wrapText="true" indent="0" shrinkToFit="false"/>
      <protection locked="true" hidden="false"/>
    </xf>
    <xf numFmtId="169" fontId="27" fillId="14" borderId="7" xfId="19" applyFont="true" applyBorder="true" applyAlignment="true" applyProtection="true">
      <alignment horizontal="center" vertical="center" textRotation="0" wrapText="true" indent="0" shrinkToFit="false"/>
      <protection locked="true" hidden="false"/>
    </xf>
    <xf numFmtId="164" fontId="27" fillId="14" borderId="96" xfId="0" applyFont="true" applyBorder="true" applyAlignment="true" applyProtection="false">
      <alignment horizontal="center" vertical="center" textRotation="0" wrapText="true" indent="0" shrinkToFit="false"/>
      <protection locked="true" hidden="false"/>
    </xf>
    <xf numFmtId="164" fontId="23" fillId="19" borderId="54" xfId="49" applyFont="true" applyBorder="true" applyAlignment="true" applyProtection="true">
      <alignment horizontal="left" vertical="center" textRotation="0" wrapText="true" indent="0" shrinkToFit="false"/>
      <protection locked="true" hidden="false"/>
    </xf>
    <xf numFmtId="164" fontId="0" fillId="14" borderId="8" xfId="46" applyFont="true" applyBorder="true" applyAlignment="true" applyProtection="true">
      <alignment horizontal="left" vertical="center" textRotation="0" wrapText="false" indent="0" shrinkToFit="false"/>
      <protection locked="true" hidden="false"/>
    </xf>
    <xf numFmtId="164" fontId="0" fillId="14" borderId="6" xfId="46" applyFont="true" applyBorder="true" applyAlignment="true" applyProtection="true">
      <alignment horizontal="left" vertical="center" textRotation="0" wrapText="false" indent="0" shrinkToFit="false"/>
      <protection locked="true" hidden="false"/>
    </xf>
    <xf numFmtId="164" fontId="0" fillId="14" borderId="7" xfId="46" applyFont="true" applyBorder="true" applyAlignment="true" applyProtection="true">
      <alignment horizontal="left" vertical="center" textRotation="0" wrapText="false" indent="0" shrinkToFit="false"/>
      <protection locked="true" hidden="false"/>
    </xf>
    <xf numFmtId="164" fontId="0" fillId="14" borderId="96" xfId="46" applyFont="true" applyBorder="true" applyAlignment="true" applyProtection="true">
      <alignment horizontal="left" vertical="center" textRotation="0" wrapText="false" indent="0" shrinkToFit="false"/>
      <protection locked="true" hidden="false"/>
    </xf>
    <xf numFmtId="164" fontId="0" fillId="14" borderId="98" xfId="46" applyFont="true" applyBorder="true" applyAlignment="true" applyProtection="true">
      <alignment horizontal="center" vertical="center" textRotation="0" wrapText="false" indent="0" shrinkToFit="false"/>
      <protection locked="true" hidden="false"/>
    </xf>
    <xf numFmtId="164" fontId="27" fillId="0" borderId="120" xfId="0" applyFont="true" applyBorder="true" applyAlignment="false" applyProtection="false">
      <alignment horizontal="general" vertical="bottom" textRotation="0" wrapText="false" indent="0" shrinkToFit="false"/>
      <protection locked="true" hidden="false"/>
    </xf>
    <xf numFmtId="164" fontId="27" fillId="19" borderId="8" xfId="0" applyFont="true" applyBorder="true" applyAlignment="false" applyProtection="true">
      <alignment horizontal="general" vertical="bottom" textRotation="0" wrapText="false" indent="0" shrinkToFit="false"/>
      <protection locked="false" hidden="false"/>
    </xf>
    <xf numFmtId="169" fontId="0" fillId="17" borderId="6" xfId="41" applyFont="false" applyBorder="true" applyAlignment="true" applyProtection="true">
      <alignment horizontal="center" vertical="bottom" textRotation="0" wrapText="false" indent="0" shrinkToFit="false"/>
      <protection locked="false" hidden="false"/>
    </xf>
    <xf numFmtId="174" fontId="0" fillId="3" borderId="7" xfId="44" applyFont="false" applyBorder="true" applyAlignment="true" applyProtection="true">
      <alignment horizontal="center" vertical="bottom" textRotation="0" wrapText="false" indent="0" shrinkToFit="false"/>
      <protection locked="false" hidden="false"/>
    </xf>
    <xf numFmtId="174" fontId="0" fillId="3" borderId="119" xfId="44" applyFont="false" applyBorder="true" applyAlignment="true" applyProtection="true">
      <alignment horizontal="center" vertical="bottom" textRotation="0" wrapText="false" indent="0" shrinkToFit="false"/>
      <protection locked="false" hidden="false"/>
    </xf>
    <xf numFmtId="164" fontId="0" fillId="18" borderId="98" xfId="43" applyFont="false" applyBorder="true" applyAlignment="true" applyProtection="true">
      <alignment horizontal="center" vertical="bottom" textRotation="0" wrapText="false" indent="0" shrinkToFit="false"/>
      <protection locked="false" hidden="false"/>
    </xf>
    <xf numFmtId="164" fontId="27" fillId="19" borderId="96" xfId="0" applyFont="true" applyBorder="true" applyAlignment="true" applyProtection="true">
      <alignment horizontal="center" vertical="bottom" textRotation="0" wrapText="false" indent="0" shrinkToFit="false"/>
      <protection locked="false" hidden="false"/>
    </xf>
    <xf numFmtId="172" fontId="0" fillId="3" borderId="119" xfId="44" applyFont="false" applyBorder="true" applyAlignment="true" applyProtection="true">
      <alignment horizontal="center" vertical="bottom" textRotation="0" wrapText="false" indent="0" shrinkToFit="false"/>
      <protection locked="false" hidden="false"/>
    </xf>
    <xf numFmtId="164" fontId="0" fillId="17" borderId="121" xfId="41" applyFont="false" applyBorder="true" applyAlignment="true" applyProtection="true">
      <alignment horizontal="general" vertical="bottom" textRotation="0" wrapText="false" indent="0" shrinkToFit="false"/>
      <protection locked="false" hidden="false"/>
    </xf>
    <xf numFmtId="164" fontId="27" fillId="23" borderId="120" xfId="0" applyFont="true" applyBorder="true" applyAlignment="false" applyProtection="true">
      <alignment horizontal="general" vertical="bottom" textRotation="0" wrapText="false" indent="0" shrinkToFit="false"/>
      <protection locked="false" hidden="false"/>
    </xf>
    <xf numFmtId="169" fontId="27" fillId="19" borderId="6" xfId="19" applyFont="true" applyBorder="true" applyAlignment="true" applyProtection="true">
      <alignment horizontal="center" vertical="bottom" textRotation="0" wrapText="false" indent="0" shrinkToFit="false"/>
      <protection locked="false" hidden="false"/>
    </xf>
    <xf numFmtId="164" fontId="0" fillId="17" borderId="99" xfId="41" applyFont="false" applyBorder="true" applyAlignment="true" applyProtection="true">
      <alignment horizontal="general" vertical="bottom" textRotation="0" wrapText="false" indent="0" shrinkToFit="false"/>
      <protection locked="false" hidden="false"/>
    </xf>
    <xf numFmtId="164" fontId="23" fillId="19" borderId="54" xfId="49" applyFont="true" applyBorder="true" applyAlignment="true" applyProtection="true">
      <alignment horizontal="left" vertical="center" textRotation="0" wrapText="false" indent="0" shrinkToFit="false"/>
      <protection locked="true" hidden="false"/>
    </xf>
    <xf numFmtId="164" fontId="0" fillId="14" borderId="10" xfId="46" applyFont="true" applyBorder="true" applyAlignment="true" applyProtection="true">
      <alignment horizontal="left" vertical="center" textRotation="0" wrapText="false" indent="0" shrinkToFit="false"/>
      <protection locked="true" hidden="false"/>
    </xf>
    <xf numFmtId="164" fontId="0" fillId="14" borderId="96" xfId="46" applyFont="true" applyBorder="true" applyAlignment="true" applyProtection="true">
      <alignment horizontal="center" vertical="bottom" textRotation="0" wrapText="false" indent="0" shrinkToFit="false"/>
      <protection locked="false" hidden="false"/>
    </xf>
    <xf numFmtId="164" fontId="27" fillId="23" borderId="122" xfId="0" applyFont="true" applyBorder="true" applyAlignment="false" applyProtection="true">
      <alignment horizontal="general" vertical="bottom" textRotation="0" wrapText="false" indent="0" shrinkToFit="false"/>
      <protection locked="false" hidden="false"/>
    </xf>
    <xf numFmtId="164" fontId="0" fillId="17" borderId="8" xfId="41" applyFont="false" applyBorder="true" applyAlignment="true" applyProtection="true">
      <alignment horizontal="general" vertical="bottom" textRotation="0" wrapText="false" indent="0" shrinkToFit="false"/>
      <protection locked="false" hidden="false"/>
    </xf>
    <xf numFmtId="164" fontId="27" fillId="19" borderId="8" xfId="0" applyFont="true" applyBorder="true" applyAlignment="true" applyProtection="true">
      <alignment horizontal="center" vertical="bottom" textRotation="0" wrapText="false" indent="0" shrinkToFit="false"/>
      <protection locked="false" hidden="false"/>
    </xf>
    <xf numFmtId="164" fontId="0" fillId="14" borderId="123" xfId="46" applyFont="true" applyBorder="true" applyAlignment="true" applyProtection="true">
      <alignment horizontal="left" vertical="center" textRotation="0" wrapText="false" indent="0" shrinkToFit="false"/>
      <protection locked="true" hidden="false"/>
    </xf>
    <xf numFmtId="164" fontId="98" fillId="14" borderId="6" xfId="46" applyFont="true" applyBorder="true" applyAlignment="true" applyProtection="true">
      <alignment horizontal="left" vertical="center" textRotation="0" wrapText="false" indent="0" shrinkToFit="false"/>
      <protection locked="true" hidden="false"/>
    </xf>
    <xf numFmtId="164" fontId="27" fillId="0" borderId="122" xfId="0" applyFont="true" applyBorder="true" applyAlignment="false" applyProtection="false">
      <alignment horizontal="general" vertical="bottom" textRotation="0" wrapText="false" indent="0" shrinkToFit="false"/>
      <protection locked="true" hidden="false"/>
    </xf>
    <xf numFmtId="164" fontId="0" fillId="17" borderId="119" xfId="41" applyFont="false" applyBorder="true" applyAlignment="true" applyProtection="true">
      <alignment horizontal="center" vertical="bottom" textRotation="0" wrapText="false" indent="0" shrinkToFit="false"/>
      <protection locked="false" hidden="false"/>
    </xf>
    <xf numFmtId="164" fontId="27" fillId="0" borderId="120" xfId="0" applyFont="true" applyBorder="true" applyAlignment="false" applyProtection="true">
      <alignment horizontal="general" vertical="bottom" textRotation="0" wrapText="false" indent="0" shrinkToFit="false"/>
      <protection locked="false" hidden="false"/>
    </xf>
    <xf numFmtId="164" fontId="27" fillId="23" borderId="120" xfId="0" applyFont="true" applyBorder="true" applyAlignment="false" applyProtection="false">
      <alignment horizontal="general" vertical="bottom" textRotation="0" wrapText="false" indent="0" shrinkToFit="false"/>
      <protection locked="true" hidden="false"/>
    </xf>
    <xf numFmtId="169" fontId="0" fillId="15" borderId="6" xfId="37" applyFont="false" applyBorder="true" applyAlignment="true" applyProtection="true">
      <alignment horizontal="center" vertical="bottom" textRotation="0" wrapText="false" indent="0" shrinkToFit="false"/>
      <protection locked="false" hidden="false"/>
    </xf>
    <xf numFmtId="172" fontId="0" fillId="3" borderId="96" xfId="44" applyFont="false" applyBorder="true" applyAlignment="true" applyProtection="true">
      <alignment horizontal="center" vertical="bottom" textRotation="0" wrapText="false" indent="0" shrinkToFit="false"/>
      <protection locked="false" hidden="false"/>
    </xf>
    <xf numFmtId="177" fontId="69" fillId="0" borderId="0" xfId="0" applyFont="true" applyBorder="true" applyAlignment="true" applyProtection="false">
      <alignment horizontal="center" vertical="bottom" textRotation="0" wrapText="false" indent="0" shrinkToFit="false"/>
      <protection locked="true" hidden="false"/>
    </xf>
    <xf numFmtId="164" fontId="0" fillId="17" borderId="99" xfId="41" applyFont="false" applyBorder="true" applyAlignment="true" applyProtection="true">
      <alignment horizontal="general" vertical="top" textRotation="0" wrapText="false" indent="0" shrinkToFit="false"/>
      <protection locked="false" hidden="false"/>
    </xf>
    <xf numFmtId="164" fontId="0" fillId="17" borderId="124" xfId="41" applyFont="false" applyBorder="true" applyAlignment="true" applyProtection="true">
      <alignment horizontal="general" vertical="bottom" textRotation="0" wrapText="false" indent="0" shrinkToFit="false"/>
      <protection locked="false" hidden="false"/>
    </xf>
    <xf numFmtId="164" fontId="93" fillId="19" borderId="8" xfId="0" applyFont="true" applyBorder="true" applyAlignment="true" applyProtection="false">
      <alignment horizontal="left" vertical="center" textRotation="0" wrapText="false" indent="0" shrinkToFit="false"/>
      <protection locked="true" hidden="false"/>
    </xf>
    <xf numFmtId="164" fontId="93" fillId="19" borderId="6" xfId="0" applyFont="true" applyBorder="true" applyAlignment="true" applyProtection="false">
      <alignment horizontal="left" vertical="center" textRotation="0" wrapText="false" indent="0" shrinkToFit="false"/>
      <protection locked="true" hidden="false"/>
    </xf>
    <xf numFmtId="164" fontId="93" fillId="19" borderId="96" xfId="0" applyFont="true" applyBorder="true" applyAlignment="true" applyProtection="false">
      <alignment horizontal="center" vertical="center" textRotation="0" wrapText="false" indent="0" shrinkToFit="false"/>
      <protection locked="true" hidden="false"/>
    </xf>
    <xf numFmtId="164" fontId="23" fillId="19" borderId="125" xfId="49" applyFont="true" applyBorder="true" applyAlignment="true" applyProtection="true">
      <alignment horizontal="left" vertical="center" textRotation="0" wrapText="false" indent="0" shrinkToFit="false"/>
      <protection locked="true" hidden="false"/>
    </xf>
    <xf numFmtId="164" fontId="93" fillId="19" borderId="107" xfId="0" applyFont="true" applyBorder="true" applyAlignment="true" applyProtection="false">
      <alignment horizontal="left" vertical="center" textRotation="0" wrapText="false" indent="0" shrinkToFit="false"/>
      <protection locked="true" hidden="false"/>
    </xf>
    <xf numFmtId="164" fontId="93" fillId="19" borderId="108" xfId="0" applyFont="true" applyBorder="true" applyAlignment="true" applyProtection="false">
      <alignment horizontal="left" vertical="center" textRotation="0" wrapText="false" indent="0" shrinkToFit="false"/>
      <protection locked="true" hidden="false"/>
    </xf>
    <xf numFmtId="174" fontId="0" fillId="3" borderId="103" xfId="44" applyFont="false" applyBorder="true" applyAlignment="true" applyProtection="true">
      <alignment horizontal="center" vertical="bottom" textRotation="0" wrapText="false" indent="0" shrinkToFit="false"/>
      <protection locked="false" hidden="false"/>
    </xf>
    <xf numFmtId="164" fontId="0" fillId="17" borderId="126" xfId="41" applyFont="false" applyBorder="true" applyAlignment="true" applyProtection="true">
      <alignment horizontal="general" vertical="bottom" textRotation="0" wrapText="false" indent="0" shrinkToFit="false"/>
      <protection locked="false" hidden="false"/>
    </xf>
    <xf numFmtId="164" fontId="0" fillId="18" borderId="111" xfId="43" applyFont="false" applyBorder="true" applyAlignment="true" applyProtection="true">
      <alignment horizontal="center" vertical="bottom" textRotation="0" wrapText="false" indent="0" shrinkToFit="false"/>
      <protection locked="false" hidden="false"/>
    </xf>
    <xf numFmtId="164" fontId="93" fillId="19" borderId="102" xfId="0" applyFont="true" applyBorder="true" applyAlignment="true" applyProtection="false">
      <alignment horizontal="center" vertical="center" textRotation="0" wrapText="false" indent="0" shrinkToFit="false"/>
      <protection locked="true" hidden="false"/>
    </xf>
    <xf numFmtId="164" fontId="28" fillId="0" borderId="17" xfId="0" applyFont="true" applyBorder="true" applyAlignment="false" applyProtection="true">
      <alignment horizontal="general" vertical="bottom" textRotation="0" wrapText="false" indent="0" shrinkToFit="false"/>
      <protection locked="false" hidden="false"/>
    </xf>
    <xf numFmtId="164" fontId="28" fillId="0" borderId="0" xfId="0" applyFont="true" applyBorder="true" applyAlignment="false" applyProtection="true">
      <alignment horizontal="general" vertical="bottom" textRotation="0" wrapText="false" indent="0" shrinkToFit="false"/>
      <protection locked="false" hidden="false"/>
    </xf>
    <xf numFmtId="164" fontId="28" fillId="0" borderId="0" xfId="19" applyFont="true" applyBorder="true" applyAlignment="true" applyProtection="true">
      <alignment horizontal="center" vertical="bottom" textRotation="0" wrapText="false" indent="0" shrinkToFit="false"/>
      <protection locked="false" hidden="false"/>
    </xf>
    <xf numFmtId="164" fontId="28" fillId="0" borderId="0" xfId="0" applyFont="true" applyBorder="true" applyAlignment="true" applyProtection="true">
      <alignment horizontal="center" vertical="bottom" textRotation="0" wrapText="false" indent="0" shrinkToFit="false"/>
      <protection locked="false" hidden="false"/>
    </xf>
    <xf numFmtId="169" fontId="28" fillId="0" borderId="0" xfId="19" applyFont="true" applyBorder="true" applyAlignment="true" applyProtection="true">
      <alignment horizontal="center" vertical="bottom" textRotation="0" wrapText="false" indent="0" shrinkToFit="false"/>
      <protection locked="false" hidden="false"/>
    </xf>
    <xf numFmtId="164" fontId="99" fillId="0" borderId="0" xfId="0" applyFont="true" applyBorder="true" applyAlignment="false" applyProtection="false">
      <alignment horizontal="general" vertical="bottom" textRotation="0" wrapText="false" indent="0" shrinkToFit="false"/>
      <protection locked="true" hidden="false"/>
    </xf>
    <xf numFmtId="172" fontId="99" fillId="0" borderId="0" xfId="0" applyFont="true" applyBorder="true" applyAlignment="false" applyProtection="false">
      <alignment horizontal="general" vertical="bottom" textRotation="0" wrapText="false" indent="0" shrinkToFit="false"/>
      <protection locked="true" hidden="false"/>
    </xf>
    <xf numFmtId="178" fontId="91" fillId="0" borderId="0" xfId="0" applyFont="true" applyBorder="true" applyAlignment="false" applyProtection="false">
      <alignment horizontal="general" vertical="bottom" textRotation="0" wrapText="false" indent="0" shrinkToFit="false"/>
      <protection locked="true" hidden="false"/>
    </xf>
    <xf numFmtId="164" fontId="21" fillId="0" borderId="6" xfId="0" applyFont="true" applyBorder="true" applyAlignment="true" applyProtection="true">
      <alignment horizontal="center" vertical="center" textRotation="0" wrapText="true" indent="0" shrinkToFit="false"/>
      <protection locked="false" hidden="false"/>
    </xf>
    <xf numFmtId="167" fontId="99" fillId="0" borderId="0" xfId="0" applyFont="true" applyBorder="true" applyAlignment="false" applyProtection="false">
      <alignment horizontal="general" vertical="bottom" textRotation="0" wrapText="false" indent="0" shrinkToFit="false"/>
      <protection locked="true" hidden="false"/>
    </xf>
    <xf numFmtId="172" fontId="0" fillId="3" borderId="6" xfId="44" applyFont="false" applyBorder="true" applyAlignment="true" applyProtection="true">
      <alignment horizontal="center" vertical="center" textRotation="0" wrapText="false" indent="0" shrinkToFit="false"/>
      <protection locked="true" hidden="false"/>
    </xf>
    <xf numFmtId="167" fontId="91" fillId="0" borderId="0" xfId="0" applyFont="true" applyBorder="true" applyAlignment="true" applyProtection="false">
      <alignment horizontal="right" vertical="bottom" textRotation="0" wrapText="false" indent="0" shrinkToFit="false"/>
      <protection locked="true" hidden="false"/>
    </xf>
    <xf numFmtId="172" fontId="27" fillId="0" borderId="0" xfId="0" applyFont="true" applyBorder="true" applyAlignment="true" applyProtection="false">
      <alignment horizontal="center" vertical="bottom" textRotation="0" wrapText="false" indent="0" shrinkToFit="false"/>
      <protection locked="true" hidden="false"/>
    </xf>
    <xf numFmtId="177" fontId="92" fillId="0" borderId="0" xfId="0" applyFont="true" applyBorder="true" applyAlignment="true" applyProtection="false">
      <alignment horizontal="center" vertical="bottom" textRotation="0" wrapText="false" indent="0" shrinkToFit="false"/>
      <protection locked="true" hidden="false"/>
    </xf>
    <xf numFmtId="164" fontId="27" fillId="0" borderId="0" xfId="0" applyFont="true" applyBorder="true" applyAlignment="true" applyProtection="false">
      <alignment horizontal="general" vertical="top" textRotation="0" wrapText="true" indent="0" shrinkToFit="false"/>
      <protection locked="true" hidden="false"/>
    </xf>
    <xf numFmtId="164" fontId="27" fillId="0" borderId="127" xfId="0" applyFont="true" applyBorder="true" applyAlignment="false" applyProtection="false">
      <alignment horizontal="general" vertical="bottom" textRotation="0" wrapText="false" indent="0" shrinkToFit="false"/>
      <protection locked="true" hidden="false"/>
    </xf>
    <xf numFmtId="164" fontId="8" fillId="19" borderId="1" xfId="49" applyFont="true" applyBorder="true" applyAlignment="true" applyProtection="true">
      <alignment horizontal="center" vertical="bottom" textRotation="0" wrapText="false" indent="0" shrinkToFit="false"/>
      <protection locked="true" hidden="false"/>
    </xf>
    <xf numFmtId="164" fontId="8" fillId="19" borderId="128" xfId="49" applyFont="true" applyBorder="true" applyAlignment="true" applyProtection="true">
      <alignment horizontal="center" vertical="bottom" textRotation="0" wrapText="false" indent="0" shrinkToFit="false"/>
      <protection locked="true" hidden="false"/>
    </xf>
    <xf numFmtId="164" fontId="27" fillId="0" borderId="17" xfId="0" applyFont="true" applyBorder="true" applyAlignment="true" applyProtection="false">
      <alignment horizontal="general" vertical="bottom" textRotation="0" wrapText="true" indent="0" shrinkToFit="false"/>
      <protection locked="true" hidden="false"/>
    </xf>
    <xf numFmtId="164" fontId="5" fillId="19" borderId="89" xfId="49" applyFont="true" applyBorder="true" applyAlignment="true" applyProtection="true">
      <alignment horizontal="center" vertical="center" textRotation="0" wrapText="true" indent="0" shrinkToFit="false"/>
      <protection locked="true" hidden="false"/>
    </xf>
    <xf numFmtId="164" fontId="5" fillId="19" borderId="90" xfId="49" applyFont="true" applyBorder="true" applyAlignment="true" applyProtection="true">
      <alignment horizontal="center" vertical="center" textRotation="0" wrapText="true" indent="0" shrinkToFit="false"/>
      <protection locked="true" hidden="false"/>
    </xf>
    <xf numFmtId="164" fontId="5" fillId="19" borderId="94" xfId="49" applyFont="true" applyBorder="true" applyAlignment="true" applyProtection="true">
      <alignment horizontal="center" vertical="center" textRotation="0" wrapText="true" indent="0" shrinkToFit="false"/>
      <protection locked="true" hidden="false"/>
    </xf>
    <xf numFmtId="164" fontId="5" fillId="19" borderId="91" xfId="49" applyFont="true" applyBorder="true" applyAlignment="true" applyProtection="true">
      <alignment horizontal="center" vertical="center" textRotation="0" wrapText="true" indent="0" shrinkToFit="false"/>
      <protection locked="false" hidden="false"/>
    </xf>
    <xf numFmtId="164" fontId="5" fillId="19" borderId="113" xfId="49" applyFont="true" applyBorder="true" applyAlignment="true" applyProtection="true">
      <alignment horizontal="center" vertical="center" textRotation="0" wrapText="true" indent="0" shrinkToFit="false"/>
      <protection locked="true" hidden="false"/>
    </xf>
    <xf numFmtId="164" fontId="5" fillId="19" borderId="93" xfId="49" applyFont="true" applyBorder="true" applyAlignment="true" applyProtection="true">
      <alignment horizontal="center" vertical="center" textRotation="0" wrapText="true" indent="0" shrinkToFit="false"/>
      <protection locked="true" hidden="false"/>
    </xf>
    <xf numFmtId="164" fontId="5" fillId="19" borderId="110" xfId="49" applyFont="true" applyBorder="true" applyAlignment="true" applyProtection="true">
      <alignment horizontal="center" vertical="center" textRotation="0" wrapText="true" indent="0" shrinkToFit="false"/>
      <protection locked="true" hidden="false"/>
    </xf>
    <xf numFmtId="164" fontId="17" fillId="14" borderId="96" xfId="0" applyFont="true" applyBorder="true" applyAlignment="true" applyProtection="false">
      <alignment horizontal="center" vertical="center" textRotation="0" wrapText="true" indent="0" shrinkToFit="false"/>
      <protection locked="true" hidden="false"/>
    </xf>
    <xf numFmtId="164" fontId="27" fillId="14" borderId="7" xfId="0" applyFont="true" applyBorder="true" applyAlignment="true" applyProtection="false">
      <alignment horizontal="center" vertical="center" textRotation="0" wrapText="true" indent="0" shrinkToFit="false"/>
      <protection locked="true" hidden="false"/>
    </xf>
    <xf numFmtId="164" fontId="27" fillId="14" borderId="55" xfId="0" applyFont="true" applyBorder="true" applyAlignment="true" applyProtection="false">
      <alignment horizontal="center" vertical="center" textRotation="0" wrapText="true" indent="0" shrinkToFit="false"/>
      <protection locked="true" hidden="false"/>
    </xf>
    <xf numFmtId="164" fontId="23" fillId="19" borderId="7" xfId="49" applyFont="true" applyBorder="true" applyAlignment="true" applyProtection="true">
      <alignment horizontal="left" vertical="center" textRotation="0" wrapText="false" indent="0" shrinkToFit="false"/>
      <protection locked="true" hidden="false"/>
    </xf>
    <xf numFmtId="174" fontId="23" fillId="3" borderId="7" xfId="44" applyFont="true" applyBorder="true" applyAlignment="true" applyProtection="true">
      <alignment horizontal="right" vertical="center" textRotation="0" wrapText="false" indent="0" shrinkToFit="false"/>
      <protection locked="true" hidden="false"/>
    </xf>
    <xf numFmtId="174" fontId="23" fillId="3" borderId="55" xfId="44" applyFont="true" applyBorder="true" applyAlignment="true" applyProtection="true">
      <alignment horizontal="right" vertical="center" textRotation="0" wrapText="false" indent="0" shrinkToFit="false"/>
      <protection locked="true" hidden="false"/>
    </xf>
    <xf numFmtId="164" fontId="0" fillId="14" borderId="56" xfId="46" applyFont="true" applyBorder="true" applyAlignment="true" applyProtection="true">
      <alignment horizontal="center" vertical="center" textRotation="0" wrapText="false" indent="0" shrinkToFit="false"/>
      <protection locked="true" hidden="false"/>
    </xf>
    <xf numFmtId="174" fontId="0" fillId="14" borderId="8" xfId="50" applyFont="false" applyBorder="true" applyAlignment="true" applyProtection="true">
      <alignment horizontal="right" vertical="center" textRotation="0" wrapText="false" indent="0" shrinkToFit="false"/>
      <protection locked="true" hidden="false"/>
    </xf>
    <xf numFmtId="164" fontId="27" fillId="23" borderId="129" xfId="0" applyFont="true" applyBorder="true" applyAlignment="false" applyProtection="true">
      <alignment horizontal="general" vertical="bottom" textRotation="0" wrapText="false" indent="0" shrinkToFit="false"/>
      <protection locked="false" hidden="false"/>
    </xf>
    <xf numFmtId="164" fontId="27" fillId="19" borderId="96" xfId="0" applyFont="true" applyBorder="true" applyAlignment="false" applyProtection="true">
      <alignment horizontal="general" vertical="bottom" textRotation="0" wrapText="false" indent="0" shrinkToFit="false"/>
      <protection locked="false" hidden="false"/>
    </xf>
    <xf numFmtId="164" fontId="0" fillId="18" borderId="56" xfId="43" applyFont="false" applyBorder="true" applyAlignment="true" applyProtection="true">
      <alignment horizontal="center" vertical="bottom" textRotation="0" wrapText="false" indent="0" shrinkToFit="false"/>
      <protection locked="false" hidden="false"/>
    </xf>
    <xf numFmtId="164" fontId="27" fillId="0" borderId="129" xfId="0" applyFont="true" applyBorder="true" applyAlignment="false" applyProtection="false">
      <alignment horizontal="general" vertical="bottom" textRotation="0" wrapText="false" indent="0" shrinkToFit="false"/>
      <protection locked="true" hidden="false"/>
    </xf>
    <xf numFmtId="170" fontId="27" fillId="19" borderId="55" xfId="0" applyFont="true" applyBorder="true" applyAlignment="true" applyProtection="true">
      <alignment horizontal="center" vertical="bottom" textRotation="0" wrapText="false" indent="0" shrinkToFit="false"/>
      <protection locked="false" hidden="false"/>
    </xf>
    <xf numFmtId="170" fontId="27" fillId="19" borderId="8" xfId="0" applyFont="true" applyBorder="true" applyAlignment="true" applyProtection="true">
      <alignment horizontal="center" vertical="bottom" textRotation="0" wrapText="false" indent="0" shrinkToFit="false"/>
      <protection locked="false" hidden="false"/>
    </xf>
    <xf numFmtId="164" fontId="23" fillId="19" borderId="119" xfId="49" applyFont="true" applyBorder="true" applyAlignment="true" applyProtection="true">
      <alignment horizontal="general" vertical="bottom" textRotation="0" wrapText="false" indent="0" shrinkToFit="false"/>
      <protection locked="true" hidden="false"/>
    </xf>
    <xf numFmtId="164" fontId="0" fillId="14" borderId="96" xfId="50" applyFont="false" applyBorder="true" applyAlignment="true" applyProtection="true">
      <alignment horizontal="general" vertical="bottom" textRotation="0" wrapText="false" indent="0" shrinkToFit="false"/>
      <protection locked="false" hidden="false"/>
    </xf>
    <xf numFmtId="169" fontId="0" fillId="14" borderId="6" xfId="50" applyFont="false" applyBorder="true" applyAlignment="true" applyProtection="true">
      <alignment horizontal="center" vertical="bottom" textRotation="0" wrapText="false" indent="0" shrinkToFit="false"/>
      <protection locked="false" hidden="false"/>
    </xf>
    <xf numFmtId="164" fontId="0" fillId="14" borderId="6" xfId="50" applyFont="false" applyBorder="true" applyAlignment="true" applyProtection="true">
      <alignment horizontal="center" vertical="bottom" textRotation="0" wrapText="false" indent="0" shrinkToFit="false"/>
      <protection locked="false" hidden="false"/>
    </xf>
    <xf numFmtId="174" fontId="23" fillId="3" borderId="7" xfId="44" applyFont="true" applyBorder="true" applyAlignment="true" applyProtection="true">
      <alignment horizontal="right" vertical="bottom" textRotation="0" wrapText="false" indent="0" shrinkToFit="false"/>
      <protection locked="false" hidden="false"/>
    </xf>
    <xf numFmtId="164" fontId="0" fillId="14" borderId="55" xfId="50" applyFont="false" applyBorder="true" applyAlignment="true" applyProtection="true">
      <alignment horizontal="right" vertical="bottom" textRotation="0" wrapText="false" indent="0" shrinkToFit="false"/>
      <protection locked="false" hidden="false"/>
    </xf>
    <xf numFmtId="164" fontId="0" fillId="14" borderId="56" xfId="50" applyFont="false" applyBorder="true" applyAlignment="true" applyProtection="true">
      <alignment horizontal="center" vertical="center" textRotation="0" wrapText="false" indent="0" shrinkToFit="false"/>
      <protection locked="true" hidden="false"/>
    </xf>
    <xf numFmtId="164" fontId="0" fillId="14" borderId="8" xfId="50" applyFont="false" applyBorder="true" applyAlignment="true" applyProtection="true">
      <alignment horizontal="right" vertical="bottom" textRotation="0" wrapText="false" indent="0" shrinkToFit="false"/>
      <protection locked="false" hidden="false"/>
    </xf>
    <xf numFmtId="164" fontId="0" fillId="14" borderId="98" xfId="50" applyFont="false" applyBorder="true" applyAlignment="true" applyProtection="true">
      <alignment horizontal="center" vertical="center" textRotation="0" wrapText="false" indent="0" shrinkToFit="false"/>
      <protection locked="true" hidden="false"/>
    </xf>
    <xf numFmtId="164" fontId="27" fillId="0" borderId="129" xfId="0" applyFont="true" applyBorder="true" applyAlignment="false" applyProtection="true">
      <alignment horizontal="general" vertical="bottom" textRotation="0" wrapText="false" indent="0" shrinkToFit="false"/>
      <protection locked="false" hidden="false"/>
    </xf>
    <xf numFmtId="174" fontId="0" fillId="3" borderId="100" xfId="44" applyFont="false" applyBorder="true" applyAlignment="true" applyProtection="true">
      <alignment horizontal="center" vertical="bottom" textRotation="0" wrapText="false" indent="0" shrinkToFit="false"/>
      <protection locked="false" hidden="false"/>
    </xf>
    <xf numFmtId="164" fontId="23" fillId="19" borderId="119" xfId="49" applyFont="true" applyBorder="true" applyAlignment="true" applyProtection="true">
      <alignment horizontal="general" vertical="center" textRotation="0" wrapText="false" indent="0" shrinkToFit="false"/>
      <protection locked="true" hidden="false"/>
    </xf>
    <xf numFmtId="164" fontId="0" fillId="14" borderId="119" xfId="50" applyFont="false" applyBorder="true" applyAlignment="true" applyProtection="true">
      <alignment horizontal="center" vertical="bottom" textRotation="0" wrapText="false" indent="0" shrinkToFit="false"/>
      <protection locked="false" hidden="false"/>
    </xf>
    <xf numFmtId="164" fontId="0" fillId="14" borderId="100" xfId="50" applyFont="false" applyBorder="true" applyAlignment="true" applyProtection="true">
      <alignment horizontal="center" vertical="bottom" textRotation="0" wrapText="false" indent="0" shrinkToFit="false"/>
      <protection locked="false" hidden="false"/>
    </xf>
    <xf numFmtId="164" fontId="0" fillId="14" borderId="55" xfId="50" applyFont="true" applyBorder="true" applyAlignment="true" applyProtection="true">
      <alignment horizontal="center" vertical="bottom" textRotation="0" wrapText="false" indent="0" shrinkToFit="false"/>
      <protection locked="false" hidden="false"/>
    </xf>
    <xf numFmtId="164" fontId="0" fillId="14" borderId="60" xfId="50" applyFont="false" applyBorder="true" applyAlignment="true" applyProtection="true">
      <alignment horizontal="center" vertical="bottom" textRotation="0" wrapText="false" indent="0" shrinkToFit="false"/>
      <protection locked="false" hidden="false"/>
    </xf>
    <xf numFmtId="164" fontId="0" fillId="14" borderId="8" xfId="50" applyFont="true" applyBorder="true" applyAlignment="true" applyProtection="true">
      <alignment horizontal="center" vertical="bottom" textRotation="0" wrapText="false" indent="0" shrinkToFit="false"/>
      <protection locked="false" hidden="false"/>
    </xf>
    <xf numFmtId="164" fontId="0" fillId="14" borderId="130" xfId="50" applyFont="false" applyBorder="true" applyAlignment="true" applyProtection="true">
      <alignment horizontal="center" vertical="bottom" textRotation="0" wrapText="false" indent="0" shrinkToFit="false"/>
      <protection locked="false" hidden="false"/>
    </xf>
    <xf numFmtId="164" fontId="0" fillId="14" borderId="119" xfId="50" applyFont="false" applyBorder="true" applyAlignment="true" applyProtection="true">
      <alignment horizontal="general" vertical="bottom" textRotation="0" wrapText="false" indent="0" shrinkToFit="false"/>
      <protection locked="false" hidden="false"/>
    </xf>
    <xf numFmtId="164" fontId="0" fillId="14" borderId="119" xfId="50" applyFont="true" applyBorder="true" applyAlignment="true" applyProtection="true">
      <alignment horizontal="center" vertical="bottom" textRotation="0" wrapText="true" indent="0" shrinkToFit="false"/>
      <protection locked="false" hidden="false"/>
    </xf>
    <xf numFmtId="164" fontId="27" fillId="19" borderId="119" xfId="0" applyFont="true" applyBorder="true" applyAlignment="false" applyProtection="true">
      <alignment horizontal="general" vertical="bottom" textRotation="0" wrapText="false" indent="0" shrinkToFit="false"/>
      <protection locked="false" hidden="false"/>
    </xf>
    <xf numFmtId="164" fontId="0" fillId="17" borderId="131" xfId="41" applyFont="false" applyBorder="true" applyAlignment="true" applyProtection="true">
      <alignment horizontal="left" vertical="bottom" textRotation="0" wrapText="true" indent="0" shrinkToFit="false"/>
      <protection locked="true" hidden="false"/>
    </xf>
    <xf numFmtId="164" fontId="0" fillId="14" borderId="7" xfId="50" applyFont="false" applyBorder="true" applyAlignment="true" applyProtection="true">
      <alignment horizontal="center" vertical="bottom" textRotation="0" wrapText="false" indent="0" shrinkToFit="false"/>
      <protection locked="false" hidden="false"/>
    </xf>
    <xf numFmtId="164" fontId="27" fillId="19" borderId="96" xfId="0" applyFont="true" applyBorder="true" applyAlignment="true" applyProtection="false">
      <alignment horizontal="center" vertical="bottom" textRotation="0" wrapText="false" indent="0" shrinkToFit="false"/>
      <protection locked="true" hidden="false"/>
    </xf>
    <xf numFmtId="164" fontId="27" fillId="19" borderId="6" xfId="0" applyFont="true" applyBorder="true" applyAlignment="true" applyProtection="false">
      <alignment horizontal="center" vertical="bottom" textRotation="0" wrapText="false" indent="0" shrinkToFit="false"/>
      <protection locked="true" hidden="false"/>
    </xf>
    <xf numFmtId="174" fontId="0" fillId="3" borderId="7" xfId="44" applyFont="false" applyBorder="true" applyAlignment="true" applyProtection="true">
      <alignment horizontal="center" vertical="bottom" textRotation="0" wrapText="false" indent="0" shrinkToFit="false"/>
      <protection locked="true" hidden="false"/>
    </xf>
    <xf numFmtId="164" fontId="27" fillId="19" borderId="8" xfId="0" applyFont="true" applyBorder="true" applyAlignment="true" applyProtection="false">
      <alignment horizontal="center" vertical="bottom" textRotation="0" wrapText="false" indent="0" shrinkToFit="false"/>
      <protection locked="true" hidden="false"/>
    </xf>
    <xf numFmtId="164" fontId="27" fillId="0" borderId="119" xfId="0" applyFont="true" applyBorder="true" applyAlignment="true" applyProtection="false">
      <alignment horizontal="left" vertical="bottom" textRotation="0" wrapText="false" indent="0" shrinkToFit="false"/>
      <protection locked="true" hidden="false"/>
    </xf>
    <xf numFmtId="164" fontId="27" fillId="0" borderId="119" xfId="0" applyFont="true" applyBorder="true" applyAlignment="true" applyProtection="false">
      <alignment horizontal="center" vertical="bottom" textRotation="0" wrapText="false" indent="0" shrinkToFit="false"/>
      <protection locked="true" hidden="false"/>
    </xf>
    <xf numFmtId="170" fontId="27" fillId="19" borderId="6" xfId="0" applyFont="true" applyBorder="true" applyAlignment="true" applyProtection="true">
      <alignment horizontal="center" vertical="bottom" textRotation="0" wrapText="false" indent="0" shrinkToFit="false"/>
      <protection locked="false" hidden="false"/>
    </xf>
    <xf numFmtId="179" fontId="27" fillId="19" borderId="8" xfId="0" applyFont="true" applyBorder="true" applyAlignment="true" applyProtection="true">
      <alignment horizontal="center" vertical="bottom" textRotation="0" wrapText="false" indent="0" shrinkToFit="false"/>
      <protection locked="false" hidden="false"/>
    </xf>
    <xf numFmtId="164" fontId="21" fillId="19" borderId="132" xfId="49" applyFont="true" applyBorder="true" applyAlignment="true" applyProtection="true">
      <alignment horizontal="general" vertical="bottom" textRotation="0" wrapText="false" indent="0" shrinkToFit="false"/>
      <protection locked="true" hidden="false"/>
    </xf>
    <xf numFmtId="164" fontId="27" fillId="19" borderId="102" xfId="0" applyFont="true" applyBorder="true" applyAlignment="false" applyProtection="true">
      <alignment horizontal="general" vertical="bottom" textRotation="0" wrapText="false" indent="0" shrinkToFit="false"/>
      <protection locked="false" hidden="false"/>
    </xf>
    <xf numFmtId="164" fontId="0" fillId="17" borderId="108" xfId="41" applyFont="false" applyBorder="true" applyAlignment="true" applyProtection="true">
      <alignment horizontal="center" vertical="bottom" textRotation="0" wrapText="false" indent="0" shrinkToFit="false"/>
      <protection locked="false" hidden="false"/>
    </xf>
    <xf numFmtId="164" fontId="27" fillId="19" borderId="108" xfId="0" applyFont="true" applyBorder="true" applyAlignment="true" applyProtection="true">
      <alignment horizontal="center" vertical="bottom" textRotation="0" wrapText="false" indent="0" shrinkToFit="false"/>
      <protection locked="false" hidden="false"/>
    </xf>
    <xf numFmtId="164" fontId="0" fillId="17" borderId="103" xfId="41" applyFont="false" applyBorder="true" applyAlignment="true" applyProtection="true">
      <alignment horizontal="center" vertical="bottom" textRotation="0" wrapText="false" indent="0" shrinkToFit="false"/>
      <protection locked="false" hidden="false"/>
    </xf>
    <xf numFmtId="164" fontId="0" fillId="17" borderId="104" xfId="41" applyFont="false" applyBorder="true" applyAlignment="true" applyProtection="true">
      <alignment horizontal="center" vertical="bottom" textRotation="0" wrapText="false" indent="0" shrinkToFit="false"/>
      <protection locked="false" hidden="false"/>
    </xf>
    <xf numFmtId="164" fontId="0" fillId="17" borderId="133" xfId="41" applyFont="false" applyBorder="true" applyAlignment="true" applyProtection="true">
      <alignment horizontal="center" vertical="bottom" textRotation="0" wrapText="false" indent="0" shrinkToFit="false"/>
      <protection locked="false" hidden="false"/>
    </xf>
    <xf numFmtId="164" fontId="0" fillId="17" borderId="134" xfId="41" applyFont="false" applyBorder="true" applyAlignment="true" applyProtection="true">
      <alignment horizontal="center" vertical="bottom" textRotation="0" wrapText="false" indent="0" shrinkToFit="false"/>
      <protection locked="false" hidden="false"/>
    </xf>
    <xf numFmtId="164" fontId="0" fillId="17" borderId="107" xfId="41" applyFont="false" applyBorder="true" applyAlignment="true" applyProtection="true">
      <alignment horizontal="center" vertical="bottom" textRotation="0" wrapText="false" indent="0" shrinkToFit="false"/>
      <protection locked="false" hidden="false"/>
    </xf>
    <xf numFmtId="164" fontId="0" fillId="17" borderId="135" xfId="41" applyFont="false" applyBorder="true" applyAlignment="true" applyProtection="true">
      <alignment horizontal="center" vertical="bottom" textRotation="0" wrapText="false" indent="0" shrinkToFit="false"/>
      <protection locked="false" hidden="false"/>
    </xf>
    <xf numFmtId="167" fontId="21" fillId="0" borderId="0" xfId="0" applyFont="true" applyBorder="true" applyAlignment="false" applyProtection="false">
      <alignment horizontal="general" vertical="bottom" textRotation="0" wrapText="false" indent="0" shrinkToFit="false"/>
      <protection locked="true" hidden="false"/>
    </xf>
    <xf numFmtId="164" fontId="0" fillId="3" borderId="0" xfId="44" applyFont="false" applyBorder="true" applyAlignment="true" applyProtection="true">
      <alignment horizontal="general" vertical="bottom" textRotation="0" wrapText="false" indent="0" shrinkToFit="false"/>
      <protection locked="true" hidden="false"/>
    </xf>
    <xf numFmtId="167" fontId="100" fillId="0" borderId="0" xfId="0" applyFont="true" applyBorder="true" applyAlignment="true" applyProtection="false">
      <alignment horizontal="left" vertical="center" textRotation="0" wrapText="false" indent="0" shrinkToFit="false"/>
      <protection locked="true" hidden="false"/>
    </xf>
    <xf numFmtId="164" fontId="21" fillId="0" borderId="0" xfId="0" applyFont="true" applyBorder="true" applyAlignment="true" applyProtection="false">
      <alignment horizontal="general" vertical="bottom" textRotation="0" wrapText="false" indent="0" shrinkToFit="false"/>
      <protection locked="true" hidden="false"/>
    </xf>
    <xf numFmtId="172" fontId="21" fillId="0" borderId="0" xfId="0" applyFont="true" applyBorder="true" applyAlignment="false" applyProtection="false">
      <alignment horizontal="general" vertical="bottom" textRotation="0" wrapText="false" indent="0" shrinkToFit="false"/>
      <protection locked="true" hidden="false"/>
    </xf>
    <xf numFmtId="164" fontId="21" fillId="0" borderId="0" xfId="0" applyFont="true" applyBorder="true" applyAlignment="true" applyProtection="true">
      <alignment horizontal="center" vertical="center" textRotation="0" wrapText="true" indent="0" shrinkToFit="false"/>
      <protection locked="false" hidden="false"/>
    </xf>
    <xf numFmtId="164" fontId="23" fillId="19" borderId="65" xfId="49" applyFont="true" applyBorder="true" applyAlignment="true" applyProtection="true">
      <alignment horizontal="center" vertical="center" textRotation="0" wrapText="false" indent="0" shrinkToFit="false"/>
      <protection locked="false" hidden="false"/>
    </xf>
    <xf numFmtId="164" fontId="23" fillId="19" borderId="91" xfId="49" applyFont="true" applyBorder="true" applyAlignment="true" applyProtection="true">
      <alignment horizontal="center" vertical="center" textRotation="0" wrapText="false" indent="0" shrinkToFit="false"/>
      <protection locked="false" hidden="false"/>
    </xf>
    <xf numFmtId="164" fontId="23" fillId="19" borderId="136" xfId="49" applyFont="true" applyBorder="true" applyAlignment="true" applyProtection="true">
      <alignment horizontal="left" vertical="center" textRotation="0" wrapText="true" indent="0" shrinkToFit="false"/>
      <protection locked="false" hidden="false"/>
    </xf>
    <xf numFmtId="164" fontId="23" fillId="19" borderId="137" xfId="49" applyFont="true" applyBorder="true" applyAlignment="true" applyProtection="true">
      <alignment horizontal="left" vertical="center" textRotation="0" wrapText="true" indent="0" shrinkToFit="false"/>
      <protection locked="false" hidden="false"/>
    </xf>
    <xf numFmtId="164" fontId="23" fillId="19" borderId="112" xfId="49" applyFont="true" applyBorder="true" applyAlignment="true" applyProtection="true">
      <alignment horizontal="center" vertical="center" textRotation="0" wrapText="true" indent="0" shrinkToFit="false"/>
      <protection locked="false" hidden="false"/>
    </xf>
    <xf numFmtId="164" fontId="23" fillId="19" borderId="113" xfId="49" applyFont="true" applyBorder="true" applyAlignment="true" applyProtection="true">
      <alignment horizontal="center" vertical="center" textRotation="0" wrapText="true" indent="0" shrinkToFit="false"/>
      <protection locked="false" hidden="false"/>
    </xf>
    <xf numFmtId="164" fontId="20" fillId="0" borderId="8" xfId="0" applyFont="true" applyBorder="true" applyAlignment="true" applyProtection="false">
      <alignment horizontal="right" vertical="center" textRotation="0" wrapText="true" indent="0" shrinkToFit="false"/>
      <protection locked="true" hidden="false"/>
    </xf>
    <xf numFmtId="174" fontId="0" fillId="3" borderId="6" xfId="44" applyFont="false" applyBorder="true" applyAlignment="true" applyProtection="true">
      <alignment horizontal="center" vertical="center" textRotation="0" wrapText="true" indent="0" shrinkToFit="false"/>
      <protection locked="true" hidden="false"/>
    </xf>
    <xf numFmtId="164" fontId="27" fillId="23" borderId="55" xfId="0" applyFont="true" applyBorder="true" applyAlignment="true" applyProtection="true">
      <alignment horizontal="center" vertical="bottom" textRotation="0" wrapText="false" indent="0" shrinkToFit="false"/>
      <protection locked="false" hidden="false"/>
    </xf>
    <xf numFmtId="164" fontId="20" fillId="19" borderId="6" xfId="0" applyFont="true" applyBorder="true" applyAlignment="true" applyProtection="false">
      <alignment horizontal="center" vertical="center" textRotation="0" wrapText="true" indent="0" shrinkToFit="false"/>
      <protection locked="true" hidden="false"/>
    </xf>
    <xf numFmtId="164" fontId="20" fillId="19" borderId="6" xfId="0" applyFont="true" applyBorder="true" applyAlignment="true" applyProtection="false">
      <alignment horizontal="general" vertical="center" textRotation="0" wrapText="true" indent="0" shrinkToFit="false"/>
      <protection locked="true" hidden="false"/>
    </xf>
    <xf numFmtId="164" fontId="0" fillId="18" borderId="56" xfId="43" applyFont="true" applyBorder="true" applyAlignment="true" applyProtection="true">
      <alignment horizontal="center" vertical="bottom" textRotation="0" wrapText="true" indent="0" shrinkToFit="false"/>
      <protection locked="true" hidden="false"/>
    </xf>
    <xf numFmtId="174" fontId="101" fillId="0" borderId="0" xfId="0" applyFont="true" applyBorder="false" applyAlignment="true" applyProtection="false">
      <alignment horizontal="right" vertical="bottom" textRotation="0" wrapText="false" indent="0" shrinkToFit="false"/>
      <protection locked="true" hidden="false"/>
    </xf>
    <xf numFmtId="164" fontId="0" fillId="18" borderId="56" xfId="43" applyFont="false" applyBorder="true" applyAlignment="true" applyProtection="true">
      <alignment horizontal="center" vertical="bottom" textRotation="0" wrapText="true" indent="0" shrinkToFit="false"/>
      <protection locked="true" hidden="false"/>
    </xf>
    <xf numFmtId="164" fontId="27" fillId="23" borderId="104" xfId="0" applyFont="true" applyBorder="true" applyAlignment="true" applyProtection="true">
      <alignment horizontal="center" vertical="bottom" textRotation="0" wrapText="false" indent="0" shrinkToFit="false"/>
      <protection locked="false" hidden="false"/>
    </xf>
    <xf numFmtId="164" fontId="20" fillId="19" borderId="105" xfId="0" applyFont="true" applyBorder="true" applyAlignment="true" applyProtection="false">
      <alignment horizontal="center" vertical="center" textRotation="0" wrapText="true" indent="0" shrinkToFit="false"/>
      <protection locked="true" hidden="false"/>
    </xf>
    <xf numFmtId="164" fontId="20" fillId="19" borderId="105" xfId="0" applyFont="true" applyBorder="true" applyAlignment="true" applyProtection="false">
      <alignment horizontal="general" vertical="center" textRotation="0" wrapText="true" indent="0" shrinkToFit="false"/>
      <protection locked="true" hidden="false"/>
    </xf>
    <xf numFmtId="164" fontId="0" fillId="18" borderId="106" xfId="43" applyFont="false" applyBorder="true" applyAlignment="true" applyProtection="true">
      <alignment horizontal="center" vertical="bottom" textRotation="0" wrapText="true" indent="0" shrinkToFit="false"/>
      <protection locked="true" hidden="false"/>
    </xf>
    <xf numFmtId="164" fontId="102" fillId="0" borderId="0" xfId="0" applyFont="true" applyBorder="true" applyAlignment="false" applyProtection="true">
      <alignment horizontal="general" vertical="bottom" textRotation="0" wrapText="false" indent="0" shrinkToFit="false"/>
      <protection locked="false" hidden="false"/>
    </xf>
    <xf numFmtId="164" fontId="103" fillId="0" borderId="0" xfId="0" applyFont="true" applyBorder="true" applyAlignment="true" applyProtection="false">
      <alignment horizontal="general" vertical="center" textRotation="0" wrapText="false" indent="0" shrinkToFit="false"/>
      <protection locked="true" hidden="false"/>
    </xf>
    <xf numFmtId="164" fontId="103" fillId="0" borderId="0" xfId="0" applyFont="true" applyBorder="true" applyAlignment="true" applyProtection="false">
      <alignment horizontal="center" vertical="center" textRotation="0" wrapText="false" indent="0" shrinkToFit="false"/>
      <protection locked="true" hidden="false"/>
    </xf>
    <xf numFmtId="164" fontId="27" fillId="0" borderId="0" xfId="0" applyFont="true" applyBorder="false" applyAlignment="true" applyProtection="false">
      <alignment horizontal="general" vertical="bottom" textRotation="0" wrapText="true" indent="0" shrinkToFit="false"/>
      <protection locked="true" hidden="false"/>
    </xf>
    <xf numFmtId="164" fontId="89" fillId="0" borderId="0" xfId="20" applyFont="true" applyBorder="true" applyAlignment="true" applyProtection="true">
      <alignment horizontal="general" vertical="bottom" textRotation="0" wrapText="false" indent="0" shrinkToFit="false"/>
      <protection locked="true" hidden="false"/>
    </xf>
    <xf numFmtId="164" fontId="100" fillId="0" borderId="0" xfId="0" applyFont="true" applyBorder="true" applyAlignment="false" applyProtection="false">
      <alignment horizontal="general" vertical="bottom" textRotation="0" wrapText="false" indent="0" shrinkToFit="false"/>
      <protection locked="true" hidden="false"/>
    </xf>
    <xf numFmtId="164" fontId="21" fillId="0" borderId="138" xfId="0" applyFont="true" applyBorder="true" applyAlignment="true" applyProtection="false">
      <alignment horizontal="left" vertical="center" textRotation="0" wrapText="true" indent="0" shrinkToFit="false"/>
      <protection locked="true" hidden="false"/>
    </xf>
    <xf numFmtId="164" fontId="5" fillId="19" borderId="139" xfId="49" applyFont="true" applyBorder="true" applyAlignment="true" applyProtection="true">
      <alignment horizontal="center" vertical="center" textRotation="0" wrapText="true" indent="0" shrinkToFit="false"/>
      <protection locked="false" hidden="false"/>
    </xf>
    <xf numFmtId="164" fontId="5" fillId="19" borderId="140" xfId="49" applyFont="true" applyBorder="true" applyAlignment="true" applyProtection="true">
      <alignment horizontal="center" vertical="center" textRotation="0" wrapText="true" indent="0" shrinkToFit="false"/>
      <protection locked="true" hidden="false"/>
    </xf>
    <xf numFmtId="164" fontId="27" fillId="0" borderId="55" xfId="0" applyFont="true" applyBorder="true" applyAlignment="true" applyProtection="false">
      <alignment horizontal="left" vertical="center" textRotation="0" wrapText="true" indent="0" shrinkToFit="false"/>
      <protection locked="true" hidden="false"/>
    </xf>
    <xf numFmtId="164" fontId="90" fillId="14" borderId="8" xfId="20" applyFont="true" applyBorder="true" applyAlignment="true" applyProtection="true">
      <alignment horizontal="center" vertical="center" textRotation="0" wrapText="true" indent="0" shrinkToFit="false"/>
      <protection locked="true" hidden="false"/>
    </xf>
    <xf numFmtId="164" fontId="27" fillId="14" borderId="60" xfId="0" applyFont="true" applyBorder="true" applyAlignment="true" applyProtection="false">
      <alignment horizontal="center" vertical="center" textRotation="0" wrapText="true" indent="0" shrinkToFit="false"/>
      <protection locked="true" hidden="false"/>
    </xf>
    <xf numFmtId="164" fontId="69" fillId="0" borderId="141" xfId="0" applyFont="true" applyBorder="true" applyAlignment="true" applyProtection="false">
      <alignment horizontal="general" vertical="bottom" textRotation="0" wrapText="true" indent="0" shrinkToFit="false"/>
      <protection locked="true" hidden="false"/>
    </xf>
    <xf numFmtId="164" fontId="27" fillId="19" borderId="9" xfId="19" applyFont="true" applyBorder="true" applyAlignment="true" applyProtection="true">
      <alignment horizontal="center" vertical="bottom" textRotation="0" wrapText="false" indent="0" shrinkToFit="false"/>
      <protection locked="false" hidden="false"/>
    </xf>
    <xf numFmtId="174" fontId="0" fillId="3" borderId="56" xfId="44" applyFont="false" applyBorder="true" applyAlignment="true" applyProtection="true">
      <alignment horizontal="center" vertical="center" textRotation="0" wrapText="true" indent="0" shrinkToFit="false"/>
      <protection locked="true" hidden="false"/>
    </xf>
    <xf numFmtId="164" fontId="69" fillId="0" borderId="141" xfId="0" applyFont="true" applyBorder="true" applyAlignment="false" applyProtection="false">
      <alignment horizontal="general" vertical="bottom" textRotation="0" wrapText="false" indent="0" shrinkToFit="false"/>
      <protection locked="true" hidden="false"/>
    </xf>
    <xf numFmtId="164" fontId="94" fillId="0" borderId="141" xfId="0" applyFont="true" applyBorder="true" applyAlignment="false" applyProtection="false">
      <alignment horizontal="general" vertical="bottom" textRotation="0" wrapText="false" indent="0" shrinkToFit="false"/>
      <protection locked="true" hidden="false"/>
    </xf>
    <xf numFmtId="164" fontId="90" fillId="0" borderId="0" xfId="20" applyFont="true" applyBorder="true" applyAlignment="false" applyProtection="true">
      <alignment horizontal="general" vertical="bottom" textRotation="0" wrapText="false" indent="0" shrinkToFit="false"/>
      <protection locked="true" hidden="false"/>
    </xf>
    <xf numFmtId="164" fontId="69" fillId="0" borderId="104" xfId="0" applyFont="true" applyBorder="true" applyAlignment="true" applyProtection="false">
      <alignment horizontal="general" vertical="bottom" textRotation="0" wrapText="true" indent="0" shrinkToFit="false"/>
      <protection locked="true" hidden="false"/>
    </xf>
    <xf numFmtId="164" fontId="27" fillId="19" borderId="105" xfId="19" applyFont="true" applyBorder="true" applyAlignment="true" applyProtection="true">
      <alignment horizontal="center" vertical="bottom" textRotation="0" wrapText="false" indent="0" shrinkToFit="false"/>
      <protection locked="false" hidden="false"/>
    </xf>
    <xf numFmtId="174" fontId="0" fillId="3" borderId="105" xfId="44" applyFont="false" applyBorder="true" applyAlignment="true" applyProtection="true">
      <alignment horizontal="center" vertical="center" textRotation="0" wrapText="true" indent="0" shrinkToFit="false"/>
      <protection locked="true" hidden="false"/>
    </xf>
    <xf numFmtId="167" fontId="0" fillId="15" borderId="105" xfId="37" applyFont="false" applyBorder="true" applyAlignment="true" applyProtection="true">
      <alignment horizontal="right" vertical="center" textRotation="0" wrapText="false" indent="0" shrinkToFit="false"/>
      <protection locked="true" hidden="false"/>
    </xf>
    <xf numFmtId="164" fontId="27" fillId="19" borderId="133" xfId="19" applyFont="true" applyBorder="true" applyAlignment="true" applyProtection="true">
      <alignment horizontal="center" vertical="bottom" textRotation="0" wrapText="false" indent="0" shrinkToFit="false"/>
      <protection locked="false" hidden="false"/>
    </xf>
    <xf numFmtId="174" fontId="0" fillId="3" borderId="106" xfId="44" applyFont="false" applyBorder="true" applyAlignment="true" applyProtection="true">
      <alignment horizontal="center" vertical="center" textRotation="0" wrapText="true" indent="0" shrinkToFit="false"/>
      <protection locked="true" hidden="false"/>
    </xf>
    <xf numFmtId="164" fontId="27" fillId="0" borderId="0" xfId="0" applyFont="true" applyBorder="false" applyAlignment="true" applyProtection="false">
      <alignment horizontal="general" vertical="center" textRotation="0" wrapText="false" indent="0" shrinkToFit="false"/>
      <protection locked="true" hidden="false"/>
    </xf>
    <xf numFmtId="164" fontId="27" fillId="0" borderId="0" xfId="0" applyFont="true" applyBorder="false" applyAlignment="true" applyProtection="false">
      <alignment horizontal="center" vertical="center" textRotation="0" wrapText="false" indent="0" shrinkToFit="false"/>
      <protection locked="true" hidden="false"/>
    </xf>
    <xf numFmtId="164" fontId="21" fillId="0" borderId="6" xfId="0" applyFont="true" applyBorder="true" applyAlignment="true" applyProtection="false">
      <alignment horizontal="center" vertical="center" textRotation="0" wrapText="true" indent="0" shrinkToFit="false"/>
      <protection locked="true" hidden="false"/>
    </xf>
    <xf numFmtId="164" fontId="28" fillId="0" borderId="0" xfId="0" applyFont="true" applyBorder="true" applyAlignment="true" applyProtection="false">
      <alignment horizontal="center" vertical="center" textRotation="0" wrapText="false" indent="0" shrinkToFit="false"/>
      <protection locked="true" hidden="false"/>
    </xf>
    <xf numFmtId="164" fontId="21" fillId="0" borderId="6" xfId="0" applyFont="true" applyBorder="true" applyAlignment="true" applyProtection="false">
      <alignment horizontal="center" vertical="center" textRotation="0" wrapText="false" indent="0" shrinkToFit="false"/>
      <protection locked="true" hidden="false"/>
    </xf>
    <xf numFmtId="164" fontId="27" fillId="14" borderId="6" xfId="0" applyFont="true" applyBorder="true" applyAlignment="true" applyProtection="false">
      <alignment horizontal="center" vertical="center" textRotation="0" wrapText="false" indent="0" shrinkToFit="false"/>
      <protection locked="true" hidden="false"/>
    </xf>
    <xf numFmtId="164" fontId="20" fillId="0" borderId="0" xfId="0" applyFont="true" applyBorder="true" applyAlignment="true" applyProtection="false">
      <alignment horizontal="center" vertical="bottom" textRotation="0" wrapText="false" indent="0" shrinkToFit="false"/>
      <protection locked="true" hidden="false"/>
    </xf>
    <xf numFmtId="164" fontId="20" fillId="19" borderId="11" xfId="0" applyFont="true" applyBorder="true" applyAlignment="true" applyProtection="false">
      <alignment horizontal="center" vertical="center" textRotation="0" wrapText="true" indent="0" shrinkToFit="false"/>
      <protection locked="true" hidden="false"/>
    </xf>
    <xf numFmtId="164" fontId="18" fillId="20" borderId="0" xfId="51" applyFont="true" applyBorder="true" applyAlignment="true" applyProtection="true">
      <alignment horizontal="center" vertical="center" textRotation="0" wrapText="false" indent="0" shrinkToFit="false"/>
      <protection locked="true" hidden="false"/>
    </xf>
    <xf numFmtId="164" fontId="69" fillId="0" borderId="0" xfId="0" applyFont="true" applyBorder="true" applyAlignment="true" applyProtection="false">
      <alignment horizontal="right" vertical="center" textRotation="0" wrapText="true" indent="0" shrinkToFit="false"/>
      <protection locked="true" hidden="false"/>
    </xf>
    <xf numFmtId="164" fontId="103" fillId="0" borderId="0" xfId="0" applyFont="true" applyBorder="true" applyAlignment="true" applyProtection="false">
      <alignment horizontal="left" vertical="center" textRotation="0" wrapText="true" indent="0" shrinkToFit="false"/>
      <protection locked="true" hidden="false"/>
    </xf>
    <xf numFmtId="164" fontId="69" fillId="0" borderId="0" xfId="0" applyFont="true" applyBorder="true" applyAlignment="true" applyProtection="false">
      <alignment horizontal="left" vertical="center" textRotation="0" wrapText="true" indent="0" shrinkToFit="false"/>
      <protection locked="true" hidden="false"/>
    </xf>
    <xf numFmtId="164" fontId="72" fillId="17" borderId="0" xfId="0" applyFont="true" applyBorder="true" applyAlignment="true" applyProtection="false">
      <alignment horizontal="left" vertical="bottom" textRotation="0" wrapText="false" indent="0" shrinkToFit="false"/>
      <protection locked="true" hidden="false"/>
    </xf>
    <xf numFmtId="164" fontId="69" fillId="17" borderId="0" xfId="0" applyFont="true" applyBorder="false" applyAlignment="true" applyProtection="false">
      <alignment horizontal="right" vertical="bottom" textRotation="0" wrapText="false" indent="0" shrinkToFit="false"/>
      <protection locked="true" hidden="false"/>
    </xf>
    <xf numFmtId="164" fontId="69" fillId="17" borderId="0" xfId="0" applyFont="true" applyBorder="false" applyAlignment="true" applyProtection="false">
      <alignment horizontal="left" vertical="bottom" textRotation="0" wrapText="false" indent="0" shrinkToFit="false"/>
      <protection locked="true" hidden="false"/>
    </xf>
    <xf numFmtId="164" fontId="20" fillId="0" borderId="0" xfId="0" applyFont="true" applyBorder="false" applyAlignment="true" applyProtection="false">
      <alignment horizontal="left" vertical="bottom" textRotation="0" wrapText="true" indent="0" shrinkToFit="false"/>
      <protection locked="true" hidden="false"/>
    </xf>
    <xf numFmtId="164" fontId="23" fillId="19" borderId="64" xfId="49" applyFont="true" applyBorder="true" applyAlignment="true" applyProtection="true">
      <alignment horizontal="center" vertical="center" textRotation="0" wrapText="true" indent="0" shrinkToFit="false"/>
      <protection locked="true" hidden="false"/>
    </xf>
    <xf numFmtId="164" fontId="17" fillId="0" borderId="142" xfId="0" applyFont="true" applyBorder="true" applyAlignment="false" applyProtection="false">
      <alignment horizontal="general" vertical="bottom" textRotation="0" wrapText="false" indent="0" shrinkToFit="false"/>
      <protection locked="true" hidden="false"/>
    </xf>
    <xf numFmtId="169" fontId="0" fillId="3" borderId="0" xfId="19" applyFont="false" applyBorder="true" applyAlignment="false" applyProtection="true">
      <alignment horizontal="general" vertical="bottom" textRotation="0" wrapText="false" indent="0" shrinkToFit="false"/>
      <protection locked="true" hidden="false"/>
    </xf>
    <xf numFmtId="164" fontId="69" fillId="0" borderId="0" xfId="0" applyFont="true" applyBorder="true" applyAlignment="true" applyProtection="false">
      <alignment horizontal="right" vertical="bottom" textRotation="0" wrapText="false" indent="0" shrinkToFit="false"/>
      <protection locked="true" hidden="false"/>
    </xf>
    <xf numFmtId="164" fontId="69" fillId="0" borderId="0" xfId="0" applyFont="true" applyBorder="false" applyAlignment="true" applyProtection="false">
      <alignment horizontal="left" vertical="bottom" textRotation="0" wrapText="false" indent="0" shrinkToFit="false"/>
      <protection locked="true" hidden="false"/>
    </xf>
    <xf numFmtId="169" fontId="0" fillId="3" borderId="0" xfId="44" applyFont="false" applyBorder="true" applyAlignment="true" applyProtection="true">
      <alignment horizontal="general" vertical="bottom" textRotation="0" wrapText="false" indent="0" shrinkToFit="false"/>
      <protection locked="true" hidden="false"/>
    </xf>
    <xf numFmtId="164" fontId="11" fillId="0" borderId="0" xfId="0" applyFont="true" applyBorder="true" applyAlignment="true" applyProtection="false">
      <alignment horizontal="general" vertical="center" textRotation="0" wrapText="true" indent="0" shrinkToFit="false"/>
      <protection locked="true" hidden="false"/>
    </xf>
    <xf numFmtId="164" fontId="23" fillId="19" borderId="74" xfId="49" applyFont="true" applyBorder="true" applyAlignment="true" applyProtection="true">
      <alignment horizontal="center" vertical="center" textRotation="0" wrapText="true" indent="0" shrinkToFit="false"/>
      <protection locked="false" hidden="false"/>
    </xf>
    <xf numFmtId="164" fontId="106" fillId="0" borderId="0" xfId="0" applyFont="true" applyBorder="true" applyAlignment="false" applyProtection="false">
      <alignment horizontal="general" vertical="bottom" textRotation="0" wrapText="false" indent="0" shrinkToFit="false"/>
      <protection locked="true" hidden="false"/>
    </xf>
    <xf numFmtId="164" fontId="21" fillId="0" borderId="142" xfId="0" applyFont="true" applyBorder="true" applyAlignment="false" applyProtection="false">
      <alignment horizontal="general" vertical="bottom" textRotation="0" wrapText="false" indent="0" shrinkToFit="false"/>
      <protection locked="true" hidden="false"/>
    </xf>
    <xf numFmtId="164" fontId="0" fillId="14" borderId="77" xfId="50" applyFont="true" applyBorder="true" applyAlignment="true" applyProtection="true">
      <alignment horizontal="center" vertical="center" textRotation="0" wrapText="true" indent="0" shrinkToFit="false"/>
      <protection locked="true" hidden="false"/>
    </xf>
    <xf numFmtId="164" fontId="0" fillId="14" borderId="36" xfId="50" applyFont="true" applyBorder="true" applyAlignment="true" applyProtection="true">
      <alignment horizontal="center" vertical="center" textRotation="0" wrapText="true" indent="0" shrinkToFit="false"/>
      <protection locked="true" hidden="false"/>
    </xf>
    <xf numFmtId="180" fontId="0" fillId="14" borderId="78" xfId="50" applyFont="true" applyBorder="true" applyAlignment="true" applyProtection="true">
      <alignment horizontal="center" vertical="center" textRotation="0" wrapText="true" indent="0" shrinkToFit="false"/>
      <protection locked="true" hidden="false"/>
    </xf>
    <xf numFmtId="164" fontId="23" fillId="19" borderId="64" xfId="49" applyFont="true" applyBorder="true" applyAlignment="true" applyProtection="true">
      <alignment horizontal="center" vertical="center" textRotation="0" wrapText="true" indent="0" shrinkToFit="false"/>
      <protection locked="false" hidden="false"/>
    </xf>
    <xf numFmtId="164" fontId="0" fillId="14" borderId="48" xfId="50" applyFont="true" applyBorder="true" applyAlignment="true" applyProtection="true">
      <alignment horizontal="center" vertical="center" textRotation="0" wrapText="false" indent="0" shrinkToFit="false"/>
      <protection locked="true" hidden="false"/>
    </xf>
    <xf numFmtId="164" fontId="17" fillId="0" borderId="143" xfId="0" applyFont="true" applyBorder="true" applyAlignment="true" applyProtection="false">
      <alignment horizontal="center" vertical="center" textRotation="0" wrapText="false" indent="0" shrinkToFit="false"/>
      <protection locked="true" hidden="false"/>
    </xf>
    <xf numFmtId="164" fontId="17" fillId="0" borderId="79" xfId="0" applyFont="true" applyBorder="true" applyAlignment="true" applyProtection="false">
      <alignment horizontal="center" vertical="center" textRotation="0" wrapText="true" indent="0" shrinkToFit="false"/>
      <protection locked="true" hidden="false"/>
    </xf>
    <xf numFmtId="164" fontId="0" fillId="17" borderId="52" xfId="41" applyFont="false" applyBorder="true" applyAlignment="true" applyProtection="true">
      <alignment horizontal="general" vertical="center" textRotation="0" wrapText="true" indent="0" shrinkToFit="false"/>
      <protection locked="true" hidden="false"/>
    </xf>
    <xf numFmtId="164" fontId="20" fillId="0" borderId="0" xfId="0" applyFont="true" applyBorder="true" applyAlignment="true" applyProtection="false">
      <alignment horizontal="general" vertical="center" textRotation="0" wrapText="true" indent="0" shrinkToFit="false"/>
      <protection locked="true" hidden="false"/>
    </xf>
    <xf numFmtId="164" fontId="0" fillId="19" borderId="22" xfId="45" applyFont="false" applyBorder="true" applyAlignment="true" applyProtection="true">
      <alignment horizontal="general" vertical="center" textRotation="0" wrapText="false" indent="0" shrinkToFit="false"/>
      <protection locked="true" hidden="false"/>
    </xf>
    <xf numFmtId="164" fontId="0" fillId="14" borderId="120" xfId="50" applyFont="true" applyBorder="true" applyAlignment="true" applyProtection="true">
      <alignment horizontal="center" vertical="center" textRotation="0" wrapText="true" indent="0" shrinkToFit="false"/>
      <protection locked="true" hidden="false"/>
    </xf>
    <xf numFmtId="164" fontId="17" fillId="0" borderId="26" xfId="0" applyFont="true" applyBorder="true" applyAlignment="true" applyProtection="false">
      <alignment horizontal="center" vertical="center" textRotation="0" wrapText="true" indent="0" shrinkToFit="false"/>
      <protection locked="true" hidden="false"/>
    </xf>
    <xf numFmtId="164" fontId="17" fillId="0" borderId="81" xfId="0" applyFont="true" applyBorder="true" applyAlignment="true" applyProtection="false">
      <alignment horizontal="center" vertical="center" textRotation="0" wrapText="true" indent="0" shrinkToFit="false"/>
      <protection locked="true" hidden="false"/>
    </xf>
    <xf numFmtId="164" fontId="10" fillId="0" borderId="26" xfId="0" applyFont="true" applyBorder="true" applyAlignment="true" applyProtection="false">
      <alignment horizontal="center" vertical="center" textRotation="0" wrapText="true" indent="0" shrinkToFit="false"/>
      <protection locked="true" hidden="false"/>
    </xf>
    <xf numFmtId="174" fontId="0" fillId="3" borderId="37" xfId="44" applyFont="false" applyBorder="true" applyAlignment="true" applyProtection="true">
      <alignment horizontal="center" vertical="center" textRotation="0" wrapText="false" indent="0" shrinkToFit="false"/>
      <protection locked="true" hidden="false"/>
    </xf>
    <xf numFmtId="164" fontId="0" fillId="14" borderId="125" xfId="50" applyFont="true" applyBorder="true" applyAlignment="true" applyProtection="true">
      <alignment horizontal="center" vertical="center" textRotation="0" wrapText="true" indent="0" shrinkToFit="false"/>
      <protection locked="true" hidden="false"/>
    </xf>
    <xf numFmtId="164" fontId="17" fillId="0" borderId="85" xfId="0" applyFont="true" applyBorder="true" applyAlignment="true" applyProtection="false">
      <alignment horizontal="center" vertical="center" textRotation="0" wrapText="true" indent="0" shrinkToFit="false"/>
      <protection locked="true" hidden="false"/>
    </xf>
    <xf numFmtId="164" fontId="17" fillId="0" borderId="109" xfId="0" applyFont="true" applyBorder="true" applyAlignment="true" applyProtection="false">
      <alignment horizontal="center" vertical="center" textRotation="0" wrapText="true" indent="0" shrinkToFit="false"/>
      <protection locked="true" hidden="false"/>
    </xf>
    <xf numFmtId="164" fontId="20" fillId="19" borderId="144" xfId="0" applyFont="true" applyBorder="true" applyAlignment="true" applyProtection="false">
      <alignment horizontal="center" vertical="center" textRotation="0" wrapText="true" indent="0" shrinkToFit="false"/>
      <protection locked="true" hidden="false"/>
    </xf>
    <xf numFmtId="164" fontId="20" fillId="19" borderId="88" xfId="0" applyFont="true" applyBorder="true" applyAlignment="true" applyProtection="false">
      <alignment horizontal="center" vertical="center" textRotation="0" wrapText="true" indent="0" shrinkToFit="false"/>
      <protection locked="true" hidden="false"/>
    </xf>
    <xf numFmtId="164" fontId="69" fillId="0" borderId="0" xfId="0" applyFont="true" applyBorder="false" applyAlignment="true" applyProtection="false">
      <alignment horizontal="right" vertical="bottom" textRotation="0" wrapText="false" indent="0" shrinkToFit="false"/>
      <protection locked="true" hidden="false"/>
    </xf>
    <xf numFmtId="164" fontId="23" fillId="19" borderId="64" xfId="49" applyFont="true" applyBorder="true" applyAlignment="true" applyProtection="true">
      <alignment horizontal="center" vertical="center" textRotation="0" wrapText="false" indent="0" shrinkToFit="false"/>
      <protection locked="true" hidden="false"/>
    </xf>
    <xf numFmtId="164" fontId="20" fillId="0" borderId="145" xfId="0" applyFont="true" applyBorder="true" applyAlignment="true" applyProtection="false">
      <alignment horizontal="right" vertical="bottom" textRotation="0" wrapText="false" indent="0" shrinkToFit="false"/>
      <protection locked="true" hidden="false"/>
    </xf>
    <xf numFmtId="164" fontId="20" fillId="19" borderId="88" xfId="0" applyFont="true" applyBorder="true" applyAlignment="true" applyProtection="false">
      <alignment horizontal="center" vertical="bottom" textRotation="0" wrapText="false" indent="0" shrinkToFit="false"/>
      <protection locked="true" hidden="false"/>
    </xf>
    <xf numFmtId="164" fontId="107" fillId="0" borderId="0" xfId="0" applyFont="true" applyBorder="false" applyAlignment="true" applyProtection="false">
      <alignment horizontal="general" vertical="top" textRotation="0" wrapText="false" indent="0" shrinkToFit="false"/>
      <protection locked="true" hidden="false"/>
    </xf>
    <xf numFmtId="164" fontId="11" fillId="0" borderId="0" xfId="0" applyFont="true" applyBorder="true" applyAlignment="true" applyProtection="false">
      <alignment horizontal="right" vertical="center" textRotation="0" wrapText="false" indent="0" shrinkToFit="false"/>
      <protection locked="true" hidden="false"/>
    </xf>
    <xf numFmtId="164" fontId="23" fillId="3" borderId="146" xfId="44" applyFont="true" applyBorder="true" applyAlignment="true" applyProtection="true">
      <alignment horizontal="center" vertical="center" textRotation="0" wrapText="true" indent="0" shrinkToFit="false"/>
      <protection locked="true" hidden="false"/>
    </xf>
    <xf numFmtId="169" fontId="23" fillId="3" borderId="144" xfId="44" applyFont="true" applyBorder="true" applyAlignment="true" applyProtection="true">
      <alignment horizontal="center" vertical="center" textRotation="0" wrapText="true" indent="0" shrinkToFit="false"/>
      <protection locked="true" hidden="false"/>
    </xf>
    <xf numFmtId="164" fontId="72" fillId="0" borderId="0" xfId="0" applyFont="true" applyBorder="false" applyAlignment="true" applyProtection="false">
      <alignment horizontal="center"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108"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true" applyAlignment="true" applyProtection="false">
      <alignment horizontal="general" vertical="bottom" textRotation="0" wrapText="true" indent="0" shrinkToFit="false"/>
      <protection locked="true" hidden="false"/>
    </xf>
    <xf numFmtId="164" fontId="21" fillId="0" borderId="145" xfId="0" applyFont="true" applyBorder="true" applyAlignment="true" applyProtection="false">
      <alignment horizontal="left" vertical="center" textRotation="0" wrapText="true" indent="0" shrinkToFit="false"/>
      <protection locked="true" hidden="false"/>
    </xf>
    <xf numFmtId="164" fontId="17" fillId="19" borderId="88" xfId="0" applyFont="true" applyBorder="true" applyAlignment="true" applyProtection="false">
      <alignment horizontal="center" vertical="center" textRotation="0" wrapText="true" indent="0" shrinkToFit="false"/>
      <protection locked="true" hidden="false"/>
    </xf>
    <xf numFmtId="164" fontId="86" fillId="0" borderId="0" xfId="0" applyFont="true" applyBorder="false" applyAlignment="true" applyProtection="false">
      <alignment horizontal="general" vertical="top" textRotation="0" wrapText="false" indent="0" shrinkToFit="false"/>
      <protection locked="true" hidden="false"/>
    </xf>
    <xf numFmtId="164" fontId="11" fillId="0" borderId="0" xfId="0" applyFont="true" applyBorder="true" applyAlignment="true" applyProtection="false">
      <alignment horizontal="center" vertical="center" textRotation="0" wrapText="true" indent="0" shrinkToFit="false"/>
      <protection locked="true" hidden="false"/>
    </xf>
    <xf numFmtId="164" fontId="21" fillId="0" borderId="145" xfId="0" applyFont="true" applyBorder="true" applyAlignment="true" applyProtection="false">
      <alignment horizontal="right" vertical="bottom" textRotation="0" wrapText="true" indent="0" shrinkToFit="false"/>
      <protection locked="true" hidden="false"/>
    </xf>
    <xf numFmtId="164" fontId="27" fillId="0" borderId="0" xfId="0" applyFont="true" applyBorder="false" applyAlignment="true" applyProtection="false">
      <alignment horizontal="right" vertical="bottom" textRotation="0" wrapText="false" indent="0" shrinkToFit="false"/>
      <protection locked="true" hidden="false"/>
    </xf>
    <xf numFmtId="164" fontId="0" fillId="18" borderId="0" xfId="43" applyFont="false" applyBorder="true" applyAlignment="true" applyProtection="true">
      <alignment horizontal="general" vertical="bottom" textRotation="0" wrapText="false" indent="0" shrinkToFit="false"/>
      <protection locked="true" hidden="false"/>
    </xf>
    <xf numFmtId="164" fontId="0" fillId="18" borderId="0" xfId="43" applyFont="false" applyBorder="true" applyAlignment="true" applyProtection="true">
      <alignment horizontal="center" vertical="bottom" textRotation="0" wrapText="true" indent="0" shrinkToFit="false"/>
      <protection locked="true" hidden="false"/>
    </xf>
    <xf numFmtId="164" fontId="23" fillId="19" borderId="147" xfId="49" applyFont="true" applyBorder="true" applyAlignment="true" applyProtection="true">
      <alignment horizontal="center" vertical="center" textRotation="0" wrapText="true" indent="0" shrinkToFit="false"/>
      <protection locked="true" hidden="false"/>
    </xf>
    <xf numFmtId="164" fontId="23" fillId="19" borderId="6" xfId="49" applyFont="true" applyBorder="true" applyAlignment="true" applyProtection="true">
      <alignment horizontal="center" vertical="center" textRotation="0" wrapText="true" indent="0" shrinkToFit="false"/>
      <protection locked="true" hidden="false"/>
    </xf>
    <xf numFmtId="164" fontId="17" fillId="19" borderId="6" xfId="0" applyFont="true" applyBorder="true" applyAlignment="true" applyProtection="false">
      <alignment horizontal="center" vertical="bottom" textRotation="0" wrapText="false" indent="0" shrinkToFit="false"/>
      <protection locked="true" hidden="false"/>
    </xf>
    <xf numFmtId="164" fontId="17" fillId="19" borderId="6" xfId="0" applyFont="true" applyBorder="true" applyAlignment="true" applyProtection="false">
      <alignment horizontal="center" vertical="center" textRotation="0" wrapText="false" indent="0" shrinkToFit="false"/>
      <protection locked="true" hidden="false"/>
    </xf>
    <xf numFmtId="164" fontId="20" fillId="0" borderId="0" xfId="0" applyFont="true" applyBorder="true" applyAlignment="true" applyProtection="false">
      <alignment horizontal="general" vertical="bottom" textRotation="0" wrapText="false" indent="0" shrinkToFit="false"/>
      <protection locked="true" hidden="false"/>
    </xf>
    <xf numFmtId="164" fontId="21" fillId="0" borderId="0" xfId="0" applyFont="true" applyBorder="false" applyAlignment="true" applyProtection="false">
      <alignment horizontal="right" vertical="center" textRotation="0" wrapText="false" indent="0" shrinkToFit="false"/>
      <protection locked="true" hidden="false"/>
    </xf>
    <xf numFmtId="164" fontId="21" fillId="0" borderId="0" xfId="0" applyFont="true" applyBorder="false" applyAlignment="true" applyProtection="false">
      <alignment horizontal="general" vertical="center" textRotation="0" wrapText="true" indent="0" shrinkToFit="false"/>
      <protection locked="true" hidden="false"/>
    </xf>
    <xf numFmtId="164" fontId="20" fillId="19" borderId="26" xfId="0" applyFont="true" applyBorder="true" applyAlignment="true" applyProtection="false">
      <alignment horizontal="center"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20" fillId="0" borderId="61" xfId="0" applyFont="true" applyBorder="true" applyAlignment="true" applyProtection="false">
      <alignment horizontal="right" vertical="center" textRotation="0" wrapText="true" indent="0" shrinkToFit="false"/>
      <protection locked="true" hidden="false"/>
    </xf>
    <xf numFmtId="164" fontId="20" fillId="19" borderId="14" xfId="0" applyFont="true" applyBorder="true" applyAlignment="true" applyProtection="false">
      <alignment horizontal="center" vertical="bottom" textRotation="0" wrapText="false" indent="0" shrinkToFit="false"/>
      <protection locked="true" hidden="false"/>
    </xf>
    <xf numFmtId="169" fontId="0" fillId="3" borderId="0" xfId="44" applyFont="false" applyBorder="true" applyAlignment="true" applyProtection="true">
      <alignment horizontal="center" vertical="bottom" textRotation="0" wrapText="false" indent="0" shrinkToFit="false"/>
      <protection locked="true" hidden="false"/>
    </xf>
    <xf numFmtId="164" fontId="17" fillId="0" borderId="0" xfId="0" applyFont="true" applyBorder="true" applyAlignment="true" applyProtection="false">
      <alignment horizontal="center" vertical="center" textRotation="0" wrapText="false" indent="0" shrinkToFit="false"/>
      <protection locked="true" hidden="false"/>
    </xf>
    <xf numFmtId="164" fontId="9" fillId="19" borderId="148" xfId="49" applyFont="true" applyBorder="true" applyAlignment="true" applyProtection="true">
      <alignment horizontal="center" vertical="center" textRotation="0" wrapText="true" indent="0" shrinkToFit="false"/>
      <protection locked="true" hidden="false"/>
    </xf>
    <xf numFmtId="164" fontId="109" fillId="19" borderId="149" xfId="49" applyFont="true" applyBorder="true" applyAlignment="true" applyProtection="true">
      <alignment horizontal="center" vertical="center" textRotation="0" wrapText="true" indent="0" shrinkToFit="false"/>
      <protection locked="true" hidden="false"/>
    </xf>
    <xf numFmtId="164" fontId="20" fillId="0" borderId="150" xfId="0" applyFont="true" applyBorder="true" applyAlignment="true" applyProtection="false">
      <alignment horizontal="general" vertical="bottom" textRotation="0" wrapText="true" indent="0" shrinkToFit="false"/>
      <protection locked="true" hidden="false"/>
    </xf>
    <xf numFmtId="164" fontId="109" fillId="19" borderId="151" xfId="49" applyFont="true" applyBorder="true" applyAlignment="true" applyProtection="true">
      <alignment horizontal="center" vertical="center" textRotation="0" wrapText="true" indent="0" shrinkToFit="false"/>
      <protection locked="true" hidden="false"/>
    </xf>
    <xf numFmtId="164" fontId="0" fillId="14" borderId="5" xfId="50" applyFont="false" applyBorder="true" applyAlignment="true" applyProtection="true">
      <alignment horizontal="general" vertical="center" textRotation="0" wrapText="true" indent="0" shrinkToFit="false"/>
      <protection locked="true" hidden="false"/>
    </xf>
    <xf numFmtId="164" fontId="0" fillId="14" borderId="1" xfId="50" applyFont="true" applyBorder="true" applyAlignment="true" applyProtection="true">
      <alignment horizontal="center" vertical="center" textRotation="0" wrapText="true" indent="0" shrinkToFit="false"/>
      <protection locked="true" hidden="false"/>
    </xf>
    <xf numFmtId="164" fontId="0" fillId="14" borderId="152" xfId="50" applyFont="true" applyBorder="true" applyAlignment="true" applyProtection="true">
      <alignment horizontal="center" vertical="center" textRotation="0" wrapText="true" indent="0" shrinkToFit="false"/>
      <protection locked="true" hidden="false"/>
    </xf>
    <xf numFmtId="172" fontId="0" fillId="3" borderId="0" xfId="44" applyFont="false" applyBorder="true" applyAlignment="true" applyProtection="true">
      <alignment horizontal="center" vertical="bottom" textRotation="0" wrapText="false" indent="0" shrinkToFit="false"/>
      <protection locked="true" hidden="false"/>
    </xf>
    <xf numFmtId="164" fontId="0" fillId="14" borderId="5" xfId="50" applyFont="true" applyBorder="true" applyAlignment="true" applyProtection="true">
      <alignment horizontal="center" vertical="center" textRotation="0" wrapText="true" indent="0" shrinkToFit="false"/>
      <protection locked="true" hidden="false"/>
    </xf>
    <xf numFmtId="164" fontId="4" fillId="0" borderId="1" xfId="0" applyFont="true" applyBorder="true" applyAlignment="true" applyProtection="false">
      <alignment horizontal="center" vertical="center" textRotation="0" wrapText="true" indent="0" shrinkToFit="false"/>
      <protection locked="true" hidden="false"/>
    </xf>
    <xf numFmtId="164" fontId="4" fillId="0" borderId="152" xfId="0" applyFont="true" applyBorder="true" applyAlignment="true" applyProtection="false">
      <alignment horizontal="center" vertical="center" textRotation="0" wrapText="true" indent="0" shrinkToFit="false"/>
      <protection locked="true" hidden="false"/>
    </xf>
    <xf numFmtId="164" fontId="0" fillId="14" borderId="153" xfId="50" applyFont="true" applyBorder="true" applyAlignment="true" applyProtection="true">
      <alignment horizontal="center" vertical="center" textRotation="0" wrapText="true" indent="0" shrinkToFit="false"/>
      <protection locked="true" hidden="false"/>
    </xf>
    <xf numFmtId="164" fontId="4" fillId="0" borderId="154" xfId="0" applyFont="true" applyBorder="true" applyAlignment="true" applyProtection="false">
      <alignment horizontal="center" vertical="center" textRotation="0" wrapText="true" indent="0" shrinkToFit="false"/>
      <protection locked="true" hidden="false"/>
    </xf>
    <xf numFmtId="164" fontId="4" fillId="0" borderId="25" xfId="0" applyFont="true" applyBorder="true" applyAlignment="true" applyProtection="false">
      <alignment horizontal="center" vertical="center" textRotation="0" wrapText="true" indent="0" shrinkToFit="false"/>
      <protection locked="true" hidden="false"/>
    </xf>
    <xf numFmtId="164" fontId="20" fillId="19" borderId="88" xfId="0" applyFont="true" applyBorder="true" applyAlignment="true" applyProtection="false">
      <alignment horizontal="center" vertical="center" textRotation="0" wrapText="false" indent="0" shrinkToFit="false"/>
      <protection locked="true" hidden="false"/>
    </xf>
    <xf numFmtId="164" fontId="21" fillId="0" borderId="0" xfId="0" applyFont="true" applyBorder="false" applyAlignment="false" applyProtection="false">
      <alignment horizontal="general" vertical="bottom" textRotation="0" wrapText="false" indent="0" shrinkToFit="false"/>
      <protection locked="true" hidden="false"/>
    </xf>
    <xf numFmtId="164" fontId="23" fillId="19" borderId="0" xfId="49" applyFont="true" applyBorder="true" applyAlignment="true" applyProtection="true">
      <alignment horizontal="center" vertical="center" textRotation="0" wrapText="false" indent="0" shrinkToFit="false"/>
      <protection locked="true" hidden="false"/>
    </xf>
    <xf numFmtId="164" fontId="20" fillId="0" borderId="0" xfId="0" applyFont="true" applyBorder="true" applyAlignment="true" applyProtection="false">
      <alignment horizontal="general" vertical="center" textRotation="0" wrapText="false" indent="0" shrinkToFit="false"/>
      <protection locked="true" hidden="false"/>
    </xf>
    <xf numFmtId="172" fontId="0" fillId="3" borderId="0" xfId="44" applyFont="false" applyBorder="true" applyAlignment="true" applyProtection="true">
      <alignment horizontal="center" vertical="center" textRotation="0" wrapText="false" indent="0" shrinkToFit="false"/>
      <protection locked="true" hidden="false"/>
    </xf>
    <xf numFmtId="164" fontId="20" fillId="0" borderId="61" xfId="0" applyFont="true" applyBorder="true" applyAlignment="true" applyProtection="false">
      <alignment horizontal="general" vertical="center" textRotation="0" wrapText="false" indent="0" shrinkToFit="false"/>
      <protection locked="true" hidden="false"/>
    </xf>
    <xf numFmtId="164" fontId="20" fillId="19" borderId="6" xfId="0" applyFont="true" applyBorder="true" applyAlignment="true" applyProtection="false">
      <alignment horizontal="center" vertical="center" textRotation="0" wrapText="false" indent="0" shrinkToFit="false"/>
      <protection locked="true" hidden="false"/>
    </xf>
    <xf numFmtId="164" fontId="20" fillId="0" borderId="150" xfId="0" applyFont="true" applyBorder="true" applyAlignment="true" applyProtection="false">
      <alignment horizontal="left" vertical="center" textRotation="0" wrapText="true" indent="0" shrinkToFit="false"/>
      <protection locked="true" hidden="false"/>
    </xf>
    <xf numFmtId="174" fontId="20" fillId="0" borderId="0" xfId="0" applyFont="true" applyBorder="true" applyAlignment="true" applyProtection="false">
      <alignment horizontal="right" vertical="center" textRotation="0" wrapText="true" indent="0" shrinkToFit="false"/>
      <protection locked="true" hidden="false"/>
    </xf>
    <xf numFmtId="164" fontId="20" fillId="0" borderId="0" xfId="0" applyFont="true" applyBorder="true" applyAlignment="true" applyProtection="false">
      <alignment horizontal="left" vertical="center" textRotation="0" wrapText="true" indent="0" shrinkToFit="false"/>
      <protection locked="true" hidden="false"/>
    </xf>
    <xf numFmtId="169" fontId="0" fillId="3" borderId="0" xfId="44" applyFont="false" applyBorder="tru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28" fillId="0" borderId="0" xfId="0" applyFont="true" applyBorder="false" applyAlignment="true" applyProtection="false">
      <alignment horizontal="general" vertical="center" textRotation="0" wrapText="false" indent="0" shrinkToFit="false"/>
      <protection locked="true" hidden="false"/>
    </xf>
    <xf numFmtId="164" fontId="9" fillId="19" borderId="1" xfId="49" applyFont="true" applyBorder="true" applyAlignment="true" applyProtection="true">
      <alignment horizontal="center" vertical="center" textRotation="0" wrapText="true" indent="0" shrinkToFit="false"/>
      <protection locked="true" hidden="false"/>
    </xf>
    <xf numFmtId="164" fontId="109" fillId="19" borderId="1" xfId="49" applyFont="true" applyBorder="true" applyAlignment="true" applyProtection="true">
      <alignment horizontal="center" vertical="center" textRotation="0" wrapText="true" indent="0" shrinkToFit="false"/>
      <protection locked="true" hidden="false"/>
    </xf>
    <xf numFmtId="164" fontId="4" fillId="0" borderId="5" xfId="0" applyFont="true" applyBorder="true" applyAlignment="true" applyProtection="false">
      <alignment horizontal="center" vertical="center" textRotation="0" wrapText="true" indent="0" shrinkToFit="false"/>
      <protection locked="true" hidden="false"/>
    </xf>
    <xf numFmtId="164" fontId="20" fillId="19" borderId="88" xfId="0" applyFont="true" applyBorder="true" applyAlignment="true" applyProtection="false">
      <alignment horizontal="center" vertical="bottom" textRotation="0" wrapText="true" indent="0" shrinkToFit="false"/>
      <protection locked="true" hidden="false"/>
    </xf>
    <xf numFmtId="164" fontId="20" fillId="19" borderId="144" xfId="0" applyFont="true" applyBorder="true" applyAlignment="true" applyProtection="false">
      <alignment horizontal="center" vertical="center" textRotation="0" wrapText="false" indent="0" shrinkToFit="false"/>
      <protection locked="true" hidden="false"/>
    </xf>
    <xf numFmtId="164" fontId="20" fillId="0" borderId="0" xfId="0" applyFont="true" applyBorder="false" applyAlignment="true" applyProtection="false">
      <alignment horizontal="general" vertical="bottom" textRotation="0" wrapText="false" indent="0" shrinkToFit="false"/>
      <protection locked="true" hidden="false"/>
    </xf>
    <xf numFmtId="164" fontId="20" fillId="0" borderId="0" xfId="0" applyFont="true" applyBorder="false" applyAlignment="true" applyProtection="false">
      <alignment horizontal="center" vertical="bottom" textRotation="0" wrapText="false" indent="0" shrinkToFit="false"/>
      <protection locked="true" hidden="false"/>
    </xf>
    <xf numFmtId="164" fontId="21" fillId="0" borderId="0" xfId="0" applyFont="true" applyBorder="true" applyAlignment="true" applyProtection="false">
      <alignment horizontal="general" vertical="bottom" textRotation="0" wrapText="true" indent="0" shrinkToFit="false"/>
      <protection locked="true" hidden="false"/>
    </xf>
    <xf numFmtId="164" fontId="20" fillId="0" borderId="145" xfId="0" applyFont="true" applyBorder="true" applyAlignment="true" applyProtection="false">
      <alignment horizontal="right" vertical="bottom" textRotation="0" wrapText="true" indent="0" shrinkToFit="false"/>
      <protection locked="true" hidden="false"/>
    </xf>
    <xf numFmtId="174" fontId="23" fillId="3" borderId="88" xfId="44" applyFont="true" applyBorder="true" applyAlignment="true" applyProtection="true">
      <alignment horizontal="center" vertical="center" textRotation="0" wrapText="false" indent="0" shrinkToFit="false"/>
      <protection locked="true" hidden="false"/>
    </xf>
    <xf numFmtId="164" fontId="20" fillId="0" borderId="0" xfId="0" applyFont="true" applyBorder="true" applyAlignment="true" applyProtection="false">
      <alignment horizontal="general" vertical="bottom" textRotation="0" wrapText="true" indent="0" shrinkToFit="false"/>
      <protection locked="true" hidden="false"/>
    </xf>
    <xf numFmtId="164" fontId="21" fillId="0" borderId="0" xfId="0" applyFont="true" applyBorder="false" applyAlignment="true" applyProtection="false">
      <alignment horizontal="general" vertical="bottom" textRotation="0" wrapText="true" indent="0" shrinkToFit="false"/>
      <protection locked="true" hidden="false"/>
    </xf>
    <xf numFmtId="164" fontId="110" fillId="0" borderId="0" xfId="0" applyFont="true" applyBorder="false" applyAlignment="true" applyProtection="false">
      <alignment horizontal="general" vertical="center" textRotation="0" wrapText="false" indent="0" shrinkToFit="false"/>
      <protection locked="true" hidden="false"/>
    </xf>
    <xf numFmtId="164" fontId="111" fillId="0" borderId="0" xfId="0" applyFont="true" applyBorder="false" applyAlignment="true" applyProtection="false">
      <alignment horizontal="general" vertical="center" textRotation="0" wrapText="false" indent="0" shrinkToFit="false"/>
      <protection locked="true" hidden="false"/>
    </xf>
    <xf numFmtId="164" fontId="21" fillId="0" borderId="0" xfId="0" applyFont="true" applyBorder="false" applyAlignment="true" applyProtection="false">
      <alignment horizontal="right" vertical="bottom" textRotation="0" wrapText="false" indent="0" shrinkToFit="false"/>
      <protection locked="true" hidden="false"/>
    </xf>
    <xf numFmtId="172" fontId="0" fillId="3" borderId="0" xfId="44" applyFont="false" applyBorder="true" applyAlignment="true" applyProtection="true">
      <alignment horizontal="center" vertical="center" textRotation="0" wrapText="true" indent="0" shrinkToFit="false"/>
      <protection locked="true" hidden="false"/>
    </xf>
    <xf numFmtId="169" fontId="23" fillId="3" borderId="88" xfId="44" applyFont="true" applyBorder="true" applyAlignment="true" applyProtection="true">
      <alignment horizontal="center" vertical="bottom" textRotation="0" wrapText="true" indent="0" shrinkToFit="false"/>
      <protection locked="true" hidden="false"/>
    </xf>
    <xf numFmtId="164" fontId="69" fillId="0" borderId="155" xfId="0" applyFont="true" applyBorder="true" applyAlignment="false" applyProtection="false">
      <alignment horizontal="general" vertical="bottom" textRotation="0" wrapText="false" indent="0" shrinkToFit="false"/>
      <protection locked="true" hidden="false"/>
    </xf>
    <xf numFmtId="164" fontId="69" fillId="0" borderId="155"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true" applyProtection="false">
      <alignment horizontal="left" vertical="center" textRotation="0" wrapText="true" indent="0" shrinkToFit="false"/>
      <protection locked="true" hidden="false"/>
    </xf>
    <xf numFmtId="164" fontId="23" fillId="19" borderId="0" xfId="49" applyFont="true" applyBorder="true" applyAlignment="true" applyProtection="true">
      <alignment horizontal="center" vertical="center" textRotation="0" wrapText="true" indent="0" shrinkToFit="false"/>
      <protection locked="true" hidden="false"/>
    </xf>
    <xf numFmtId="169" fontId="23" fillId="3" borderId="88" xfId="44" applyFont="true" applyBorder="true" applyAlignment="true" applyProtection="true">
      <alignment horizontal="center" vertical="center" textRotation="0" wrapText="true" indent="0" shrinkToFit="false"/>
      <protection locked="true" hidden="false"/>
    </xf>
    <xf numFmtId="164" fontId="21" fillId="0" borderId="0" xfId="0" applyFont="true" applyBorder="false" applyAlignment="true" applyProtection="false">
      <alignment horizontal="right" vertical="center" textRotation="0" wrapText="true" indent="0" shrinkToFit="false"/>
      <protection locked="true" hidden="false"/>
    </xf>
    <xf numFmtId="164" fontId="25" fillId="0" borderId="0" xfId="0" applyFont="true" applyBorder="false" applyAlignment="true" applyProtection="false">
      <alignment horizontal="right" vertical="bottom" textRotation="0" wrapText="false" indent="0" shrinkToFit="false"/>
      <protection locked="true" hidden="false"/>
    </xf>
    <xf numFmtId="164" fontId="78" fillId="0" borderId="0" xfId="0" applyFont="true" applyBorder="true" applyAlignment="true" applyProtection="false">
      <alignment horizontal="right" vertical="bottom" textRotation="0" wrapText="false" indent="0" shrinkToFit="false"/>
      <protection locked="true" hidden="false"/>
    </xf>
    <xf numFmtId="164" fontId="79" fillId="0" borderId="0" xfId="0" applyFont="true" applyBorder="true" applyAlignment="true" applyProtection="false">
      <alignment horizontal="right" vertical="bottom" textRotation="0" wrapText="false" indent="0" shrinkToFit="false"/>
      <protection locked="true" hidden="false"/>
    </xf>
    <xf numFmtId="164" fontId="27" fillId="0" borderId="0" xfId="0" applyFont="true" applyBorder="true" applyAlignment="true" applyProtection="false">
      <alignment horizontal="right" vertical="bottom" textRotation="0" wrapText="false" indent="0" shrinkToFit="false"/>
      <protection locked="true" hidden="false"/>
    </xf>
    <xf numFmtId="164" fontId="112" fillId="0" borderId="0" xfId="0" applyFont="true" applyBorder="true" applyAlignment="false" applyProtection="false">
      <alignment horizontal="general" vertical="bottom" textRotation="0" wrapText="false" indent="0" shrinkToFit="false"/>
      <protection locked="true" hidden="false"/>
    </xf>
    <xf numFmtId="164" fontId="78" fillId="0" borderId="0" xfId="0" applyFont="true" applyBorder="true" applyAlignment="true" applyProtection="false">
      <alignment horizontal="center" vertical="bottom" textRotation="0" wrapText="false" indent="0" shrinkToFit="false"/>
      <protection locked="true" hidden="false"/>
    </xf>
    <xf numFmtId="164" fontId="113" fillId="0" borderId="0" xfId="0" applyFont="true" applyBorder="true" applyAlignment="true" applyProtection="false">
      <alignment horizontal="general" vertical="bottom" textRotation="0" wrapText="false" indent="0" shrinkToFit="false"/>
      <protection locked="true" hidden="false"/>
    </xf>
    <xf numFmtId="164" fontId="90" fillId="0" borderId="0" xfId="20" applyFont="true" applyBorder="true" applyAlignment="true" applyProtection="true">
      <alignment horizontal="general" vertical="bottom" textRotation="0" wrapText="false" indent="0" shrinkToFit="false"/>
      <protection locked="true" hidden="false"/>
    </xf>
    <xf numFmtId="164" fontId="20" fillId="19" borderId="6" xfId="49" applyFont="true" applyBorder="true" applyAlignment="true" applyProtection="true">
      <alignment horizontal="center" vertical="center" textRotation="0" wrapText="true" indent="0" shrinkToFit="false"/>
      <protection locked="true" hidden="false"/>
    </xf>
    <xf numFmtId="164" fontId="23" fillId="19" borderId="6" xfId="49" applyFont="true" applyBorder="true" applyAlignment="true" applyProtection="true">
      <alignment horizontal="center" vertical="bottom" textRotation="0" wrapText="false" indent="0" shrinkToFit="false"/>
      <protection locked="true" hidden="false"/>
    </xf>
    <xf numFmtId="164" fontId="17" fillId="14" borderId="6" xfId="0" applyFont="true" applyBorder="true" applyAlignment="true" applyProtection="false">
      <alignment horizontal="center" vertical="center" textRotation="0" wrapText="true" indent="0" shrinkToFit="false"/>
      <protection locked="true" hidden="false"/>
    </xf>
    <xf numFmtId="164" fontId="17" fillId="19" borderId="6" xfId="49" applyFont="true" applyBorder="true" applyAlignment="true" applyProtection="true">
      <alignment horizontal="center" vertical="center" textRotation="0" wrapText="true" indent="0" shrinkToFit="false"/>
      <protection locked="true" hidden="false"/>
    </xf>
    <xf numFmtId="164" fontId="17" fillId="19" borderId="6" xfId="0" applyFont="true" applyBorder="true" applyAlignment="true" applyProtection="false">
      <alignment horizontal="center" vertical="center" textRotation="0" wrapText="true" indent="0" shrinkToFit="false"/>
      <protection locked="true" hidden="false"/>
    </xf>
    <xf numFmtId="164" fontId="83" fillId="0" borderId="0" xfId="0" applyFont="true" applyBorder="false" applyAlignment="true" applyProtection="false">
      <alignment horizontal="right" vertical="center" textRotation="0" wrapText="false" indent="0" shrinkToFit="false"/>
      <protection locked="true" hidden="false"/>
    </xf>
    <xf numFmtId="169" fontId="0" fillId="3" borderId="88" xfId="19" applyFont="false" applyBorder="true" applyAlignment="true" applyProtection="true">
      <alignment horizontal="general" vertical="center" textRotation="0" wrapText="false" indent="0" shrinkToFit="false"/>
      <protection locked="true" hidden="false"/>
    </xf>
    <xf numFmtId="164" fontId="83" fillId="0" borderId="0" xfId="0" applyFont="true" applyBorder="false" applyAlignment="true" applyProtection="false">
      <alignment horizontal="general" vertical="bottom" textRotation="0" wrapText="true" indent="0" shrinkToFit="false"/>
      <protection locked="true" hidden="false"/>
    </xf>
    <xf numFmtId="164" fontId="83" fillId="0" borderId="0" xfId="0" applyFont="true" applyBorder="true" applyAlignment="true" applyProtection="false">
      <alignment horizontal="general" vertical="bottom" textRotation="0" wrapText="true" indent="0" shrinkToFit="false"/>
      <protection locked="true" hidden="false"/>
    </xf>
    <xf numFmtId="164" fontId="79" fillId="0" borderId="0" xfId="0" applyFont="true" applyBorder="false" applyAlignment="true" applyProtection="false">
      <alignment horizontal="right" vertical="bottom" textRotation="0" wrapText="true" indent="0" shrinkToFit="false"/>
      <protection locked="true" hidden="false"/>
    </xf>
    <xf numFmtId="164" fontId="28" fillId="0" borderId="0" xfId="0" applyFont="true" applyBorder="true" applyAlignment="true" applyProtection="false">
      <alignment horizontal="center" vertical="center" textRotation="0" wrapText="true" indent="0" shrinkToFit="false"/>
      <protection locked="true" hidden="false"/>
    </xf>
    <xf numFmtId="164" fontId="72" fillId="0" borderId="0" xfId="0" applyFont="true" applyBorder="true" applyAlignment="true" applyProtection="false">
      <alignment horizontal="left" vertical="bottom" textRotation="0" wrapText="false" indent="0" shrinkToFit="false"/>
      <protection locked="true" hidden="false"/>
    </xf>
    <xf numFmtId="164" fontId="21" fillId="0" borderId="145" xfId="0" applyFont="true" applyBorder="true" applyAlignment="true" applyProtection="false">
      <alignment horizontal="right" vertical="bottom" textRotation="0" wrapText="false" indent="0" shrinkToFit="false"/>
      <protection locked="true" hidden="false"/>
    </xf>
    <xf numFmtId="164" fontId="20" fillId="0" borderId="0" xfId="0" applyFont="true" applyBorder="false" applyAlignment="true" applyProtection="false">
      <alignment horizontal="general" vertical="center" textRotation="0" wrapText="true" indent="0" shrinkToFit="false"/>
      <protection locked="true" hidden="false"/>
    </xf>
    <xf numFmtId="164" fontId="21" fillId="0" borderId="0" xfId="0" applyFont="true" applyBorder="true" applyAlignment="true" applyProtection="false">
      <alignment horizontal="right" vertical="bottom" textRotation="0" wrapText="false" indent="0" shrinkToFit="false"/>
      <protection locked="true" hidden="false"/>
    </xf>
    <xf numFmtId="164" fontId="17" fillId="19" borderId="0" xfId="0" applyFont="true" applyBorder="true" applyAlignment="true" applyProtection="false">
      <alignment horizontal="center" vertical="center" textRotation="0" wrapText="false" indent="0" shrinkToFit="false"/>
      <protection locked="true" hidden="false"/>
    </xf>
    <xf numFmtId="164" fontId="72" fillId="0" borderId="0" xfId="0" applyFont="true" applyBorder="false" applyAlignment="false" applyProtection="false">
      <alignment horizontal="general" vertical="bottom" textRotation="0" wrapText="false" indent="0" shrinkToFit="false"/>
      <protection locked="true" hidden="false"/>
    </xf>
    <xf numFmtId="164" fontId="20" fillId="0" borderId="0" xfId="0" applyFont="true" applyBorder="false" applyAlignment="true" applyProtection="false">
      <alignment horizontal="general" vertical="bottom" textRotation="0" wrapText="true" indent="0" shrinkToFit="false"/>
      <protection locked="true" hidden="false"/>
    </xf>
    <xf numFmtId="164" fontId="20" fillId="0" borderId="145" xfId="0" applyFont="true" applyBorder="true" applyAlignment="true" applyProtection="false">
      <alignment horizontal="right" vertical="center" textRotation="0" wrapText="true" indent="0" shrinkToFit="false"/>
      <protection locked="true" hidden="false"/>
    </xf>
    <xf numFmtId="164" fontId="114" fillId="0" borderId="0" xfId="0" applyFont="true" applyBorder="false" applyAlignment="false" applyProtection="false">
      <alignment horizontal="general" vertical="bottom" textRotation="0" wrapText="false" indent="0" shrinkToFit="false"/>
      <protection locked="true" hidden="false"/>
    </xf>
    <xf numFmtId="164" fontId="79" fillId="19" borderId="88" xfId="0" applyFont="true" applyBorder="true" applyAlignment="true" applyProtection="false">
      <alignment horizontal="center" vertical="bottom" textRotation="0" wrapText="false" indent="0" shrinkToFit="false"/>
      <protection locked="true" hidden="false"/>
    </xf>
    <xf numFmtId="164" fontId="17" fillId="0" borderId="0" xfId="0" applyFont="true" applyBorder="true" applyAlignment="true" applyProtection="false">
      <alignment horizontal="right" vertical="bottom" textRotation="0" wrapText="false" indent="0" shrinkToFit="false"/>
      <protection locked="true" hidden="false"/>
    </xf>
    <xf numFmtId="164" fontId="69" fillId="19" borderId="0" xfId="0" applyFont="true" applyBorder="true" applyAlignment="true" applyProtection="false">
      <alignment horizontal="center" vertical="bottom" textRotation="0" wrapText="false" indent="0" shrinkToFit="false"/>
      <protection locked="true" hidden="false"/>
    </xf>
    <xf numFmtId="174" fontId="68" fillId="0" borderId="0" xfId="0" applyFont="true" applyBorder="true" applyAlignment="true" applyProtection="false">
      <alignment horizontal="left" vertical="bottom" textRotation="0" wrapText="false" indent="0" shrinkToFit="false"/>
      <protection locked="true" hidden="false"/>
    </xf>
    <xf numFmtId="172" fontId="23" fillId="3" borderId="88" xfId="44" applyFont="true" applyBorder="true" applyAlignment="true" applyProtection="true">
      <alignment horizontal="center" vertical="center" textRotation="0" wrapText="true" indent="0" shrinkToFit="false"/>
      <protection locked="true" hidden="false"/>
    </xf>
    <xf numFmtId="164" fontId="83" fillId="0" borderId="0" xfId="0" applyFont="true" applyBorder="false" applyAlignment="true" applyProtection="false">
      <alignment horizontal="right" vertical="bottom" textRotation="0" wrapText="false" indent="0" shrinkToFit="false"/>
      <protection locked="true" hidden="false"/>
    </xf>
    <xf numFmtId="164" fontId="21" fillId="0" borderId="145" xfId="0" applyFont="true" applyBorder="true" applyAlignment="true" applyProtection="false">
      <alignment horizontal="right" vertical="center" textRotation="0" wrapText="false" indent="0" shrinkToFit="false"/>
      <protection locked="true" hidden="false"/>
    </xf>
    <xf numFmtId="169" fontId="79" fillId="19" borderId="88" xfId="19" applyFont="true" applyBorder="true" applyAlignment="true" applyProtection="true">
      <alignment horizontal="center" vertical="bottom" textRotation="0" wrapText="false" indent="0" shrinkToFit="false"/>
      <protection locked="true" hidden="false"/>
    </xf>
    <xf numFmtId="164" fontId="20" fillId="0" borderId="0" xfId="0" applyFont="true" applyBorder="true" applyAlignment="true" applyProtection="false">
      <alignment horizontal="right" vertical="center" textRotation="0" wrapText="false" indent="0" shrinkToFit="false"/>
      <protection locked="true" hidden="false"/>
    </xf>
    <xf numFmtId="164" fontId="35" fillId="0" borderId="0" xfId="0" applyFont="true" applyBorder="false" applyAlignment="false" applyProtection="false">
      <alignment horizontal="general" vertical="bottom" textRotation="0" wrapText="false" indent="0" shrinkToFit="false"/>
      <protection locked="true" hidden="false"/>
    </xf>
    <xf numFmtId="164" fontId="20" fillId="0" borderId="0" xfId="0" applyFont="true" applyBorder="true" applyAlignment="true" applyProtection="false">
      <alignment horizontal="center" vertical="center" textRotation="0" wrapText="false" indent="0" shrinkToFit="false"/>
      <protection locked="true" hidden="false"/>
    </xf>
    <xf numFmtId="164" fontId="69" fillId="0" borderId="0" xfId="0" applyFont="true" applyBorder="false" applyAlignment="true" applyProtection="false">
      <alignment horizontal="left" vertical="center" textRotation="0" wrapText="false" indent="0" shrinkToFit="false"/>
      <protection locked="true" hidden="false"/>
    </xf>
    <xf numFmtId="164" fontId="72" fillId="0" borderId="0" xfId="0" applyFont="true" applyBorder="false" applyAlignment="true" applyProtection="false">
      <alignment horizontal="left" vertical="bottom" textRotation="0" wrapText="false" indent="0" shrinkToFit="false"/>
      <protection locked="true" hidden="false"/>
    </xf>
    <xf numFmtId="164" fontId="115" fillId="19" borderId="0" xfId="49" applyFont="true" applyBorder="true" applyAlignment="true" applyProtection="true">
      <alignment horizontal="center" vertical="bottom" textRotation="0" wrapText="true" indent="0" shrinkToFit="false"/>
      <protection locked="true" hidden="false"/>
    </xf>
    <xf numFmtId="164" fontId="77" fillId="0" borderId="0" xfId="0" applyFont="true" applyBorder="false" applyAlignment="true" applyProtection="false">
      <alignment horizontal="right" vertical="bottom" textRotation="0" wrapText="false" indent="0" shrinkToFit="false"/>
      <protection locked="true" hidden="false"/>
    </xf>
    <xf numFmtId="164" fontId="20" fillId="0" borderId="0" xfId="0" applyFont="true" applyBorder="false" applyAlignment="true" applyProtection="false">
      <alignment horizontal="center" vertical="bottom" textRotation="0" wrapText="true" indent="0" shrinkToFit="false"/>
      <protection locked="true" hidden="false"/>
    </xf>
    <xf numFmtId="170" fontId="0" fillId="3" borderId="0" xfId="44" applyFont="false" applyBorder="true" applyAlignment="true" applyProtection="true">
      <alignment horizontal="center" vertical="bottom" textRotation="0" wrapText="false" indent="0" shrinkToFit="false"/>
      <protection locked="true" hidden="false"/>
    </xf>
    <xf numFmtId="164" fontId="23" fillId="3" borderId="88" xfId="44" applyFont="true" applyBorder="true" applyAlignment="true" applyProtection="true">
      <alignment horizontal="center" vertical="center" textRotation="0" wrapText="true" indent="0" shrinkToFit="false"/>
      <protection locked="true" hidden="false"/>
    </xf>
    <xf numFmtId="164" fontId="69" fillId="0" borderId="0" xfId="0" applyFont="true" applyBorder="true" applyAlignment="true" applyProtection="false">
      <alignment horizontal="general" vertical="bottom" textRotation="0" wrapText="false" indent="0" shrinkToFit="false"/>
      <protection locked="true" hidden="false"/>
    </xf>
    <xf numFmtId="164" fontId="116" fillId="0" borderId="0" xfId="0" applyFont="true" applyBorder="false" applyAlignment="true" applyProtection="false">
      <alignment horizontal="right" vertical="center" textRotation="0" wrapText="false" indent="0" shrinkToFit="false"/>
      <protection locked="true" hidden="false"/>
    </xf>
    <xf numFmtId="164" fontId="78" fillId="0" borderId="0" xfId="0" applyFont="true" applyBorder="true" applyAlignment="true" applyProtection="false">
      <alignment horizontal="left" vertical="bottom" textRotation="0" wrapText="false" indent="0" shrinkToFit="false"/>
      <protection locked="true" hidden="false"/>
    </xf>
    <xf numFmtId="172" fontId="69" fillId="0" borderId="0" xfId="0" applyFont="true" applyBorder="true" applyAlignment="true" applyProtection="false">
      <alignment horizontal="center" vertical="bottom" textRotation="0" wrapText="false" indent="0" shrinkToFit="false"/>
      <protection locked="true" hidden="false"/>
    </xf>
    <xf numFmtId="164" fontId="20" fillId="0" borderId="0" xfId="0" applyFont="true" applyBorder="false" applyAlignment="true" applyProtection="false">
      <alignment horizontal="general" vertical="center" textRotation="0" wrapText="false" indent="0" shrinkToFit="false"/>
      <protection locked="true" hidden="false"/>
    </xf>
    <xf numFmtId="164" fontId="20" fillId="0" borderId="0" xfId="0" applyFont="true" applyBorder="false" applyAlignment="true" applyProtection="false">
      <alignment horizontal="center" vertical="center" textRotation="0" wrapText="true" indent="0" shrinkToFit="false"/>
      <protection locked="true" hidden="false"/>
    </xf>
    <xf numFmtId="170" fontId="0" fillId="3" borderId="0" xfId="44" applyFont="false" applyBorder="true" applyAlignment="true" applyProtection="true">
      <alignment horizontal="center" vertical="center" textRotation="0" wrapText="false" indent="0" shrinkToFit="false"/>
      <protection locked="true" hidden="false"/>
    </xf>
    <xf numFmtId="164" fontId="69" fillId="0" borderId="0" xfId="0" applyFont="true" applyBorder="false" applyAlignment="true" applyProtection="false">
      <alignment horizontal="general" vertical="bottom" textRotation="0" wrapText="false" indent="0" shrinkToFit="false"/>
      <protection locked="true" hidden="false"/>
    </xf>
    <xf numFmtId="164" fontId="17" fillId="0" borderId="0" xfId="0" applyFont="true" applyBorder="true" applyAlignment="true" applyProtection="false">
      <alignment horizontal="left" vertical="center" textRotation="0" wrapText="true" indent="0" shrinkToFit="false"/>
      <protection locked="true" hidden="false"/>
    </xf>
    <xf numFmtId="164" fontId="116" fillId="0" borderId="0" xfId="0" applyFont="true" applyBorder="false" applyAlignment="true" applyProtection="false">
      <alignment horizontal="general" vertical="center" textRotation="0" wrapText="false" indent="0" shrinkToFit="false"/>
      <protection locked="true" hidden="false"/>
    </xf>
    <xf numFmtId="181" fontId="23" fillId="3" borderId="144" xfId="44" applyFont="true" applyBorder="true" applyAlignment="true" applyProtection="true">
      <alignment horizontal="center" vertical="center" textRotation="0" wrapText="true" indent="0" shrinkToFit="false"/>
      <protection locked="true" hidden="false"/>
    </xf>
    <xf numFmtId="172" fontId="78" fillId="0" borderId="0" xfId="0" applyFont="true" applyBorder="true" applyAlignment="false" applyProtection="false">
      <alignment horizontal="general" vertical="bottom" textRotation="0" wrapText="false" indent="0" shrinkToFit="false"/>
      <protection locked="true" hidden="false"/>
    </xf>
    <xf numFmtId="164" fontId="21" fillId="0" borderId="0" xfId="0" applyFont="true" applyBorder="true" applyAlignment="true" applyProtection="false">
      <alignment horizontal="right" vertical="center" textRotation="0" wrapText="false" indent="0" shrinkToFit="false"/>
      <protection locked="true" hidden="false"/>
    </xf>
    <xf numFmtId="174" fontId="23" fillId="3" borderId="0" xfId="44" applyFont="true" applyBorder="true" applyAlignment="true" applyProtection="true">
      <alignment horizontal="center" vertical="bottom" textRotation="0" wrapText="false" indent="0" shrinkToFit="false"/>
      <protection locked="true" hidden="false"/>
    </xf>
    <xf numFmtId="164" fontId="106" fillId="0" borderId="0" xfId="0" applyFont="true" applyBorder="false" applyAlignment="false" applyProtection="false">
      <alignment horizontal="general" vertical="bottom" textRotation="0" wrapText="false" indent="0" shrinkToFit="false"/>
      <protection locked="true" hidden="false"/>
    </xf>
    <xf numFmtId="164" fontId="21" fillId="0" borderId="0" xfId="0" applyFont="true" applyBorder="true" applyAlignment="true" applyProtection="false">
      <alignment horizontal="general" vertical="center" textRotation="0" wrapText="false" indent="0" shrinkToFit="false"/>
      <protection locked="true" hidden="false"/>
    </xf>
    <xf numFmtId="164" fontId="117" fillId="19" borderId="88" xfId="0" applyFont="true" applyBorder="true" applyAlignment="false" applyProtection="false">
      <alignment horizontal="general" vertical="bottom" textRotation="0" wrapText="false" indent="0" shrinkToFit="false"/>
      <protection locked="true" hidden="false"/>
    </xf>
    <xf numFmtId="164" fontId="118" fillId="0" borderId="0" xfId="0" applyFont="true" applyBorder="false" applyAlignment="false" applyProtection="false">
      <alignment horizontal="general" vertical="bottom" textRotation="0" wrapText="false" indent="0" shrinkToFit="false"/>
      <protection locked="true" hidden="false"/>
    </xf>
    <xf numFmtId="164" fontId="27" fillId="0" borderId="0" xfId="0" applyFont="true" applyBorder="true" applyAlignment="true" applyProtection="false">
      <alignment horizontal="general" vertical="center" textRotation="0" wrapText="false" indent="0" shrinkToFit="false"/>
      <protection locked="true" hidden="false"/>
    </xf>
    <xf numFmtId="164" fontId="21" fillId="19" borderId="26" xfId="49" applyFont="true" applyBorder="true" applyAlignment="true" applyProtection="true">
      <alignment horizontal="center" vertical="center" textRotation="0" wrapText="true" indent="0" shrinkToFit="false"/>
      <protection locked="true" hidden="false"/>
    </xf>
    <xf numFmtId="164" fontId="0" fillId="14" borderId="156" xfId="50" applyFont="true" applyBorder="true" applyAlignment="true" applyProtection="true">
      <alignment horizontal="center" vertical="center" textRotation="0" wrapText="false" indent="0" shrinkToFit="false"/>
      <protection locked="true" hidden="false"/>
    </xf>
    <xf numFmtId="164" fontId="0" fillId="14" borderId="40" xfId="50" applyFont="true" applyBorder="true" applyAlignment="true" applyProtection="true">
      <alignment horizontal="center" vertical="center" textRotation="0" wrapText="false" indent="0" shrinkToFit="false"/>
      <protection locked="true" hidden="false"/>
    </xf>
    <xf numFmtId="164" fontId="0" fillId="14" borderId="123" xfId="50" applyFont="true" applyBorder="true" applyAlignment="true" applyProtection="true">
      <alignment horizontal="center" vertical="center" textRotation="0" wrapText="false" indent="0" shrinkToFit="false"/>
      <protection locked="true" hidden="false"/>
    </xf>
    <xf numFmtId="164" fontId="21" fillId="19" borderId="6" xfId="49" applyFont="true" applyBorder="true" applyAlignment="true" applyProtection="true">
      <alignment horizontal="center" vertical="center" textRotation="0" wrapText="true" indent="0" shrinkToFit="false"/>
      <protection locked="true" hidden="false"/>
    </xf>
    <xf numFmtId="164" fontId="0" fillId="14" borderId="6" xfId="50" applyFont="true" applyBorder="true" applyAlignment="true" applyProtection="true">
      <alignment horizontal="center" vertical="center" textRotation="0" wrapText="false" indent="0" shrinkToFit="false"/>
      <protection locked="true" hidden="false"/>
    </xf>
    <xf numFmtId="164" fontId="27" fillId="0" borderId="7" xfId="0" applyFont="true" applyBorder="true" applyAlignment="true" applyProtection="false">
      <alignment horizontal="center" vertical="center" textRotation="0" wrapText="true" indent="0" shrinkToFit="false"/>
      <protection locked="true" hidden="false"/>
    </xf>
    <xf numFmtId="164" fontId="27" fillId="0" borderId="26" xfId="0" applyFont="true" applyBorder="true" applyAlignment="true" applyProtection="false">
      <alignment horizontal="center" vertical="center" textRotation="0" wrapText="true" indent="0" shrinkToFit="false"/>
      <protection locked="true" hidden="false"/>
    </xf>
    <xf numFmtId="164" fontId="27" fillId="0" borderId="8" xfId="0" applyFont="true" applyBorder="true" applyAlignment="true" applyProtection="false">
      <alignment horizontal="center" vertical="center" textRotation="0" wrapText="true" indent="0" shrinkToFit="false"/>
      <protection locked="true" hidden="false"/>
    </xf>
    <xf numFmtId="164" fontId="17" fillId="0" borderId="0" xfId="0" applyFont="true" applyBorder="false" applyAlignment="true" applyProtection="false">
      <alignment horizontal="right" vertical="center" textRotation="0" wrapText="false" indent="0" shrinkToFit="false"/>
      <protection locked="true" hidden="false"/>
    </xf>
    <xf numFmtId="164" fontId="109" fillId="19" borderId="11" xfId="49" applyFont="true" applyBorder="true" applyAlignment="true" applyProtection="true">
      <alignment horizontal="center" vertical="center" textRotation="0" wrapText="true" indent="0" shrinkToFit="false"/>
      <protection locked="true" hidden="false"/>
    </xf>
    <xf numFmtId="164" fontId="27" fillId="0" borderId="6" xfId="0" applyFont="true" applyBorder="true" applyAlignment="true" applyProtection="false">
      <alignment horizontal="center" vertical="center" textRotation="0" wrapText="false" indent="0" shrinkToFit="false"/>
      <protection locked="true" hidden="false"/>
    </xf>
    <xf numFmtId="164" fontId="20" fillId="19" borderId="146" xfId="0" applyFont="true" applyBorder="true" applyAlignment="true" applyProtection="false">
      <alignment horizontal="center" vertical="center" textRotation="0" wrapText="true" indent="0" shrinkToFit="false"/>
      <protection locked="true" hidden="false"/>
    </xf>
    <xf numFmtId="172" fontId="20" fillId="19" borderId="88" xfId="19" applyFont="true" applyBorder="true" applyAlignment="true" applyProtection="true">
      <alignment horizontal="center" vertical="center" textRotation="0" wrapText="true" indent="0" shrinkToFit="false"/>
      <protection locked="true" hidden="false"/>
    </xf>
    <xf numFmtId="172" fontId="23" fillId="3" borderId="0" xfId="44" applyFont="true" applyBorder="true" applyAlignment="true" applyProtection="true">
      <alignment horizontal="general" vertical="center" textRotation="0" wrapText="false" indent="0" shrinkToFit="false"/>
      <protection locked="true" hidden="false"/>
    </xf>
    <xf numFmtId="174" fontId="23" fillId="3" borderId="144" xfId="44" applyFont="true" applyBorder="true" applyAlignment="true" applyProtection="true">
      <alignment horizontal="general" vertical="center" textRotation="0" wrapText="true" indent="0" shrinkToFit="false"/>
      <protection locked="true" hidden="false"/>
    </xf>
    <xf numFmtId="164" fontId="69" fillId="0" borderId="0" xfId="0" applyFont="true" applyBorder="true" applyAlignment="true" applyProtection="false">
      <alignment horizontal="center" vertical="center" textRotation="0" wrapText="true" indent="0" shrinkToFit="false"/>
      <protection locked="true" hidden="false"/>
    </xf>
    <xf numFmtId="164" fontId="109" fillId="19" borderId="74" xfId="49" applyFont="true" applyBorder="true" applyAlignment="true" applyProtection="true">
      <alignment horizontal="center" vertical="center" textRotation="0" wrapText="true" indent="0" shrinkToFit="false"/>
      <protection locked="true" hidden="false"/>
    </xf>
    <xf numFmtId="164" fontId="20" fillId="19" borderId="57" xfId="49" applyFont="true" applyBorder="true" applyAlignment="true" applyProtection="true">
      <alignment horizontal="center" vertical="center" textRotation="0" wrapText="true" indent="0" shrinkToFit="false"/>
      <protection locked="true" hidden="false"/>
    </xf>
    <xf numFmtId="164" fontId="20" fillId="19" borderId="14" xfId="49" applyFont="true" applyBorder="true" applyAlignment="true" applyProtection="true">
      <alignment horizontal="center" vertical="center" textRotation="0" wrapText="true" indent="0" shrinkToFit="false"/>
      <protection locked="true" hidden="false"/>
    </xf>
    <xf numFmtId="164" fontId="23" fillId="19" borderId="14" xfId="49" applyFont="true" applyBorder="true" applyAlignment="true" applyProtection="true">
      <alignment horizontal="center" vertical="center" textRotation="0" wrapText="true" indent="0" shrinkToFit="false"/>
      <protection locked="true" hidden="false"/>
    </xf>
    <xf numFmtId="164" fontId="23" fillId="19" borderId="58" xfId="49" applyFont="true" applyBorder="true" applyAlignment="true" applyProtection="true">
      <alignment horizontal="center" vertical="center" textRotation="0" wrapText="true" indent="0" shrinkToFit="false"/>
      <protection locked="true" hidden="false"/>
    </xf>
    <xf numFmtId="164" fontId="17" fillId="0" borderId="55" xfId="0" applyFont="true" applyBorder="true" applyAlignment="true" applyProtection="false">
      <alignment horizontal="center" vertical="center" textRotation="0" wrapText="true" indent="0" shrinkToFit="false"/>
      <protection locked="true" hidden="false"/>
    </xf>
    <xf numFmtId="164" fontId="27" fillId="0" borderId="0" xfId="0" applyFont="true" applyBorder="true" applyAlignment="true" applyProtection="false">
      <alignment horizontal="center" vertical="center" textRotation="0" wrapText="true" indent="0" shrinkToFit="false"/>
      <protection locked="true" hidden="false"/>
    </xf>
    <xf numFmtId="164" fontId="17" fillId="0" borderId="55" xfId="0" applyFont="true" applyBorder="true" applyAlignment="true" applyProtection="false">
      <alignment horizontal="center" vertical="bottom" textRotation="0" wrapText="false" indent="0" shrinkToFit="false"/>
      <protection locked="true" hidden="false"/>
    </xf>
    <xf numFmtId="170" fontId="0" fillId="15" borderId="6" xfId="37" applyFont="false" applyBorder="true" applyAlignment="true" applyProtection="true">
      <alignment horizontal="center" vertical="center" textRotation="0" wrapText="false" indent="0" shrinkToFit="false"/>
      <protection locked="true" hidden="false"/>
    </xf>
    <xf numFmtId="167" fontId="0" fillId="3" borderId="56" xfId="44" applyFont="false" applyBorder="true" applyAlignment="true" applyProtection="true">
      <alignment horizontal="right" vertical="center" textRotation="0" wrapText="false" indent="0" shrinkToFit="false"/>
      <protection locked="true" hidden="false"/>
    </xf>
    <xf numFmtId="164" fontId="17" fillId="0" borderId="21" xfId="0" applyFont="true" applyBorder="true" applyAlignment="true" applyProtection="false">
      <alignment horizontal="center" vertical="center" textRotation="0" wrapText="true" indent="0" shrinkToFit="false"/>
      <protection locked="true" hidden="false"/>
    </xf>
    <xf numFmtId="171" fontId="17" fillId="0" borderId="0" xfId="15" applyFont="true" applyBorder="true" applyAlignment="true" applyProtection="true">
      <alignment horizontal="center" vertical="center" textRotation="0" wrapText="false" indent="0" shrinkToFit="false"/>
      <protection locked="true" hidden="false"/>
    </xf>
    <xf numFmtId="169" fontId="17" fillId="0" borderId="0" xfId="19" applyFont="true" applyBorder="true" applyAlignment="true" applyProtection="true">
      <alignment horizontal="general" vertical="bottom" textRotation="0" wrapText="false" indent="0" shrinkToFit="false"/>
      <protection locked="true" hidden="false"/>
    </xf>
    <xf numFmtId="164" fontId="27" fillId="0" borderId="55" xfId="0" applyFont="true" applyBorder="true" applyAlignment="true" applyProtection="false">
      <alignment horizontal="center" vertical="bottom" textRotation="0" wrapText="false" indent="0" shrinkToFit="false"/>
      <protection locked="true" hidden="false"/>
    </xf>
    <xf numFmtId="167" fontId="0" fillId="3" borderId="115" xfId="44" applyFont="false" applyBorder="true" applyAlignment="true" applyProtection="true">
      <alignment horizontal="right" vertical="center" textRotation="0" wrapText="false" indent="0" shrinkToFit="false"/>
      <protection locked="true" hidden="false"/>
    </xf>
    <xf numFmtId="164" fontId="17" fillId="19" borderId="157" xfId="49" applyFont="true" applyBorder="true" applyAlignment="true" applyProtection="true">
      <alignment horizontal="center" vertical="bottom" textRotation="0" wrapText="false" indent="0" shrinkToFit="false"/>
      <protection locked="true" hidden="false"/>
    </xf>
    <xf numFmtId="164" fontId="17" fillId="19" borderId="158" xfId="49" applyFont="true" applyBorder="true" applyAlignment="true" applyProtection="true">
      <alignment horizontal="center" vertical="bottom" textRotation="0" wrapText="false" indent="0" shrinkToFit="false"/>
      <protection locked="true" hidden="false"/>
    </xf>
    <xf numFmtId="164" fontId="20" fillId="19" borderId="158" xfId="49" applyFont="true" applyBorder="true" applyAlignment="true" applyProtection="true">
      <alignment horizontal="center" vertical="center" textRotation="0" wrapText="false" indent="0" shrinkToFit="false"/>
      <protection locked="true" hidden="false"/>
    </xf>
    <xf numFmtId="167" fontId="23" fillId="3" borderId="109" xfId="44" applyFont="true" applyBorder="true" applyAlignment="true" applyProtection="true">
      <alignment horizontal="right" vertical="bottom" textRotation="0" wrapText="false" indent="0" shrinkToFit="false"/>
      <protection locked="true" hidden="false"/>
    </xf>
    <xf numFmtId="171" fontId="20" fillId="0" borderId="0" xfId="0" applyFont="true" applyBorder="true" applyAlignment="true" applyProtection="false">
      <alignment horizontal="center" vertical="center" textRotation="0" wrapText="false" indent="0" shrinkToFit="false"/>
      <protection locked="true" hidden="false"/>
    </xf>
    <xf numFmtId="164" fontId="21" fillId="19" borderId="74" xfId="49" applyFont="true" applyBorder="true" applyAlignment="true" applyProtection="true">
      <alignment horizontal="center" vertical="center" textRotation="0" wrapText="true" indent="0" shrinkToFit="false"/>
      <protection locked="true" hidden="false"/>
    </xf>
    <xf numFmtId="164" fontId="69" fillId="0" borderId="0" xfId="0" applyFont="true" applyBorder="false" applyAlignment="true" applyProtection="false">
      <alignment horizontal="right" vertical="bottom" textRotation="0" wrapText="true" indent="0" shrinkToFit="false"/>
      <protection locked="true" hidden="false"/>
    </xf>
    <xf numFmtId="172" fontId="23" fillId="19" borderId="156" xfId="49" applyFont="true" applyBorder="true" applyAlignment="true" applyProtection="true">
      <alignment horizontal="center" vertical="center" textRotation="0" wrapText="false" indent="0" shrinkToFit="false"/>
      <protection locked="true" hidden="false"/>
    </xf>
    <xf numFmtId="164" fontId="23" fillId="19" borderId="156" xfId="49" applyFont="true" applyBorder="true" applyAlignment="true" applyProtection="true">
      <alignment horizontal="center" vertical="center" textRotation="0" wrapText="true" indent="0" shrinkToFit="false"/>
      <protection locked="true" hidden="false"/>
    </xf>
    <xf numFmtId="164" fontId="23" fillId="3" borderId="0" xfId="44" applyFont="true" applyBorder="true" applyAlignment="true" applyProtection="true">
      <alignment horizontal="center" vertical="center" textRotation="0" wrapText="true" indent="0" shrinkToFit="false"/>
      <protection locked="true" hidden="false"/>
    </xf>
    <xf numFmtId="167" fontId="23" fillId="3" borderId="0" xfId="44" applyFont="true" applyBorder="true" applyAlignment="true" applyProtection="true">
      <alignment horizontal="center" vertical="center" textRotation="0" wrapText="true" indent="0" shrinkToFit="false"/>
      <protection locked="true" hidden="false"/>
    </xf>
    <xf numFmtId="164" fontId="17" fillId="0" borderId="59" xfId="0" applyFont="true" applyBorder="true" applyAlignment="true" applyProtection="false">
      <alignment horizontal="center" vertical="center" textRotation="0" wrapText="true" indent="0" shrinkToFit="false"/>
      <protection locked="true" hidden="false"/>
    </xf>
    <xf numFmtId="164" fontId="17" fillId="0" borderId="8" xfId="0" applyFont="true" applyBorder="true" applyAlignment="true" applyProtection="false">
      <alignment horizontal="center" vertical="center" textRotation="0" wrapText="true" indent="0" shrinkToFit="false"/>
      <protection locked="true" hidden="false"/>
    </xf>
    <xf numFmtId="164" fontId="27" fillId="14" borderId="81" xfId="0" applyFont="true" applyBorder="true" applyAlignment="true" applyProtection="false">
      <alignment horizontal="center" vertical="center" textRotation="0" wrapText="true" indent="0" shrinkToFit="false"/>
      <protection locked="true" hidden="false"/>
    </xf>
    <xf numFmtId="172" fontId="0" fillId="3" borderId="7" xfId="44" applyFont="false" applyBorder="true" applyAlignment="true" applyProtection="true">
      <alignment horizontal="center" vertical="bottom" textRotation="0" wrapText="false" indent="0" shrinkToFit="false"/>
      <protection locked="true" hidden="false"/>
    </xf>
    <xf numFmtId="170" fontId="0" fillId="15" borderId="7" xfId="37" applyFont="false" applyBorder="true" applyAlignment="true" applyProtection="true">
      <alignment horizontal="center" vertical="center" textRotation="0" wrapText="false" indent="0" shrinkToFit="false"/>
      <protection locked="true" hidden="false"/>
    </xf>
    <xf numFmtId="164" fontId="97" fillId="0" borderId="0" xfId="0" applyFont="true" applyBorder="true" applyAlignment="true" applyProtection="false">
      <alignment horizontal="general" vertical="bottom" textRotation="0" wrapText="false" indent="0" shrinkToFit="false"/>
      <protection locked="true" hidden="false"/>
    </xf>
    <xf numFmtId="164" fontId="97" fillId="0" borderId="0" xfId="0" applyFont="true" applyBorder="true" applyAlignment="true" applyProtection="false">
      <alignment horizontal="center" vertical="bottom" textRotation="0" wrapText="false" indent="0" shrinkToFit="false"/>
      <protection locked="true" hidden="false"/>
    </xf>
    <xf numFmtId="164" fontId="100" fillId="0" borderId="0" xfId="0" applyFont="true" applyBorder="true" applyAlignment="true" applyProtection="false">
      <alignment horizontal="center" vertical="bottom" textRotation="0" wrapText="false" indent="0" shrinkToFit="false"/>
      <protection locked="true" hidden="false"/>
    </xf>
    <xf numFmtId="164" fontId="100" fillId="0" borderId="0" xfId="0" applyFont="true" applyBorder="false" applyAlignment="true" applyProtection="false">
      <alignment horizontal="general" vertical="bottom" textRotation="0" wrapText="false" indent="0" shrinkToFit="false"/>
      <protection locked="true" hidden="false"/>
    </xf>
    <xf numFmtId="170" fontId="23" fillId="3" borderId="144" xfId="44" applyFont="true" applyBorder="true" applyAlignment="true" applyProtection="true">
      <alignment horizontal="center" vertical="bottom" textRotation="0" wrapText="false" indent="0" shrinkToFit="false"/>
      <protection locked="true" hidden="false"/>
    </xf>
    <xf numFmtId="164" fontId="0" fillId="19" borderId="23" xfId="49" applyFont="true" applyBorder="true" applyAlignment="true" applyProtection="true">
      <alignment horizontal="general" vertical="bottom" textRotation="0" wrapText="false" indent="0" shrinkToFit="false"/>
      <protection locked="true" hidden="false"/>
    </xf>
    <xf numFmtId="164" fontId="0" fillId="19" borderId="24" xfId="49" applyFont="true" applyBorder="true" applyAlignment="true" applyProtection="true">
      <alignment horizontal="general" vertical="bottom" textRotation="0" wrapText="false" indent="0" shrinkToFit="false"/>
      <protection locked="true" hidden="false"/>
    </xf>
    <xf numFmtId="164" fontId="17" fillId="19" borderId="24" xfId="49" applyFont="true" applyBorder="true" applyAlignment="true" applyProtection="true">
      <alignment horizontal="general" vertical="bottom" textRotation="0" wrapText="false" indent="0" shrinkToFit="false"/>
      <protection locked="true" hidden="false"/>
    </xf>
    <xf numFmtId="164" fontId="28" fillId="19" borderId="24" xfId="49" applyFont="true" applyBorder="true" applyAlignment="true" applyProtection="true">
      <alignment horizontal="general" vertical="bottom" textRotation="0" wrapText="false" indent="0" shrinkToFit="false"/>
      <protection locked="true" hidden="false"/>
    </xf>
    <xf numFmtId="164" fontId="20" fillId="19" borderId="24" xfId="49" applyFont="true" applyBorder="true" applyAlignment="true" applyProtection="true">
      <alignment horizontal="right" vertical="bottom" textRotation="0" wrapText="false" indent="0" shrinkToFit="false"/>
      <protection locked="true" hidden="false"/>
    </xf>
    <xf numFmtId="167" fontId="23" fillId="3" borderId="106" xfId="44" applyFont="true" applyBorder="true" applyAlignment="true" applyProtection="true">
      <alignment horizontal="right" vertical="center" textRotation="0" wrapText="false" indent="0" shrinkToFit="false"/>
      <protection locked="true" hidden="false"/>
    </xf>
    <xf numFmtId="171" fontId="17" fillId="0" borderId="0" xfId="0" applyFont="true" applyBorder="false" applyAlignment="false" applyProtection="false">
      <alignment horizontal="general" vertical="bottom" textRotation="0" wrapText="false" indent="0" shrinkToFit="false"/>
      <protection locked="true" hidden="false"/>
    </xf>
    <xf numFmtId="164" fontId="21" fillId="0" borderId="0" xfId="0" applyFont="true" applyBorder="true" applyAlignment="true" applyProtection="false">
      <alignment horizontal="left" vertical="bottom" textRotation="0" wrapText="true" indent="0" shrinkToFit="false"/>
      <protection locked="true" hidden="false"/>
    </xf>
    <xf numFmtId="164" fontId="119" fillId="0" borderId="0" xfId="0" applyFont="true" applyBorder="false" applyAlignment="false" applyProtection="false">
      <alignment horizontal="general" vertical="bottom" textRotation="0" wrapText="false" indent="0" shrinkToFit="false"/>
      <protection locked="true" hidden="false"/>
    </xf>
    <xf numFmtId="164" fontId="120" fillId="0" borderId="0" xfId="0" applyFont="true" applyBorder="true" applyAlignment="true" applyProtection="false">
      <alignment horizontal="center" vertical="center" textRotation="0" wrapText="true" indent="0" shrinkToFit="false"/>
      <protection locked="true" hidden="false"/>
    </xf>
    <xf numFmtId="164" fontId="21" fillId="19" borderId="88" xfId="0" applyFont="true" applyBorder="true" applyAlignment="true" applyProtection="false">
      <alignment horizontal="center" vertical="bottom" textRotation="0" wrapText="false" indent="0" shrinkToFit="false"/>
      <protection locked="true" hidden="false"/>
    </xf>
    <xf numFmtId="164" fontId="21" fillId="0" borderId="145" xfId="0" applyFont="true" applyBorder="true" applyAlignment="true" applyProtection="false">
      <alignment horizontal="left" vertical="bottom" textRotation="0" wrapText="true" indent="0" shrinkToFit="false"/>
      <protection locked="true" hidden="false"/>
    </xf>
    <xf numFmtId="164" fontId="27" fillId="0" borderId="0" xfId="0" applyFont="true" applyBorder="true" applyAlignment="true" applyProtection="false">
      <alignment horizontal="left" vertical="center" textRotation="0" wrapText="true" indent="0" shrinkToFit="false"/>
      <protection locked="true" hidden="false"/>
    </xf>
    <xf numFmtId="164" fontId="115" fillId="0" borderId="0" xfId="0" applyFont="true" applyBorder="false" applyAlignment="true" applyProtection="false">
      <alignment horizontal="left" vertical="center" textRotation="0" wrapText="false" indent="0" shrinkToFit="false"/>
      <protection locked="true" hidden="false"/>
    </xf>
    <xf numFmtId="164" fontId="115" fillId="0" borderId="0" xfId="0" applyFont="true" applyBorder="true" applyAlignment="true" applyProtection="false">
      <alignment horizontal="left" vertical="center" textRotation="0" wrapText="false" indent="0" shrinkToFit="false"/>
      <protection locked="true" hidden="false"/>
    </xf>
    <xf numFmtId="174" fontId="23" fillId="3" borderId="88" xfId="44" applyFont="true" applyBorder="true" applyAlignment="true" applyProtection="true">
      <alignment horizontal="center" vertical="bottom" textRotation="0" wrapText="false" indent="0" shrinkToFit="false"/>
      <protection locked="true" hidden="false"/>
    </xf>
    <xf numFmtId="164" fontId="27" fillId="0" borderId="0" xfId="0" applyFont="true" applyBorder="false" applyAlignment="true" applyProtection="false">
      <alignment horizontal="left" vertical="center" textRotation="0" wrapText="false" indent="0" shrinkToFit="false"/>
      <protection locked="true" hidden="false"/>
    </xf>
    <xf numFmtId="164" fontId="21" fillId="19" borderId="6" xfId="0" applyFont="true" applyBorder="true" applyAlignment="true" applyProtection="false">
      <alignment horizontal="center" vertical="bottom" textRotation="0" wrapText="false" indent="0" shrinkToFit="false"/>
      <protection locked="true" hidden="false"/>
    </xf>
    <xf numFmtId="174" fontId="101" fillId="0" borderId="0" xfId="0" applyFont="true" applyBorder="false" applyAlignment="true" applyProtection="false">
      <alignment horizontal="left" vertical="bottom" textRotation="0" wrapText="false" indent="0" shrinkToFit="false"/>
      <protection locked="true" hidden="false"/>
    </xf>
    <xf numFmtId="164" fontId="82" fillId="0" borderId="0" xfId="0" applyFont="true" applyBorder="false" applyAlignment="true" applyProtection="false">
      <alignment horizontal="left" vertical="top" textRotation="0" wrapText="false" indent="0" shrinkToFit="false"/>
      <protection locked="true" hidden="false"/>
    </xf>
    <xf numFmtId="164" fontId="27" fillId="0" borderId="61" xfId="0" applyFont="true" applyBorder="true" applyAlignment="true" applyProtection="false">
      <alignment horizontal="left" vertical="top" textRotation="0" wrapText="true" indent="0" shrinkToFit="false"/>
      <protection locked="true" hidden="false"/>
    </xf>
    <xf numFmtId="164" fontId="78" fillId="0" borderId="0" xfId="0" applyFont="true" applyBorder="false" applyAlignment="true" applyProtection="false">
      <alignment horizontal="left" vertical="bottom" textRotation="0" wrapText="false" indent="0" shrinkToFit="false"/>
      <protection locked="true" hidden="false"/>
    </xf>
    <xf numFmtId="164" fontId="20" fillId="0" borderId="0" xfId="0" applyFont="true" applyBorder="true" applyAlignment="true" applyProtection="false">
      <alignment horizontal="center" vertical="center" textRotation="0" wrapText="true" indent="0" shrinkToFit="false"/>
      <protection locked="true" hidden="false"/>
    </xf>
    <xf numFmtId="164" fontId="10" fillId="0" borderId="0" xfId="0" applyFont="true" applyBorder="true" applyAlignment="true" applyProtection="false">
      <alignment horizontal="center" vertical="center" textRotation="0" wrapText="true" indent="0" shrinkToFit="false"/>
      <protection locked="true" hidden="false"/>
    </xf>
    <xf numFmtId="164" fontId="10" fillId="0" borderId="0" xfId="0" applyFont="true" applyBorder="true" applyAlignment="true" applyProtection="false">
      <alignment horizontal="general" vertical="center" textRotation="0" wrapText="true" indent="0" shrinkToFit="false"/>
      <protection locked="true" hidden="false"/>
    </xf>
    <xf numFmtId="164" fontId="21" fillId="0" borderId="0" xfId="0" applyFont="true" applyBorder="false" applyAlignment="true" applyProtection="false">
      <alignment horizontal="center" vertical="bottom" textRotation="0" wrapText="false" indent="0" shrinkToFit="false"/>
      <protection locked="true" hidden="false"/>
    </xf>
    <xf numFmtId="164" fontId="122" fillId="0" borderId="0" xfId="0" applyFont="true" applyBorder="false" applyAlignment="false" applyProtection="false">
      <alignment horizontal="general" vertical="bottom" textRotation="0" wrapText="false" indent="0" shrinkToFit="false"/>
      <protection locked="true" hidden="false"/>
    </xf>
    <xf numFmtId="164" fontId="17" fillId="0" borderId="0" xfId="0" applyFont="true" applyBorder="true" applyAlignment="true" applyProtection="false">
      <alignment horizontal="left" vertical="bottom" textRotation="0" wrapText="false" indent="0" shrinkToFit="false"/>
      <protection locked="true" hidden="false"/>
    </xf>
    <xf numFmtId="164" fontId="17" fillId="19" borderId="0" xfId="0" applyFont="true" applyBorder="true" applyAlignment="true" applyProtection="false">
      <alignment horizontal="center" vertical="bottom" textRotation="0" wrapText="true" indent="0" shrinkToFit="false"/>
      <protection locked="true" hidden="false"/>
    </xf>
    <xf numFmtId="169" fontId="23" fillId="3" borderId="88" xfId="44" applyFont="true" applyBorder="true" applyAlignment="true" applyProtection="true">
      <alignment horizontal="center" vertical="center" textRotation="0" wrapText="false" indent="0" shrinkToFit="false"/>
      <protection locked="true" hidden="false"/>
    </xf>
    <xf numFmtId="164" fontId="86" fillId="0" borderId="0" xfId="0" applyFont="true" applyBorder="true" applyAlignment="true" applyProtection="false">
      <alignment horizontal="left" vertical="center" textRotation="0" wrapText="false" indent="0" shrinkToFit="false"/>
      <protection locked="true" hidden="false"/>
    </xf>
    <xf numFmtId="164" fontId="86" fillId="0" borderId="0" xfId="0" applyFont="true" applyBorder="true" applyAlignment="true" applyProtection="false">
      <alignment horizontal="general" vertical="top" textRotation="0" wrapText="false" indent="0" shrinkToFit="false"/>
      <protection locked="true" hidden="false"/>
    </xf>
    <xf numFmtId="169" fontId="20" fillId="0" borderId="0" xfId="19" applyFont="true" applyBorder="true" applyAlignment="true" applyProtection="true">
      <alignment horizontal="general" vertical="center" textRotation="0" wrapText="false" indent="0" shrinkToFit="false"/>
      <protection locked="true" hidden="false"/>
    </xf>
    <xf numFmtId="169" fontId="20" fillId="0" borderId="0" xfId="19" applyFont="true" applyBorder="true" applyAlignment="true" applyProtection="true">
      <alignment horizontal="general" vertical="bottom" textRotation="0" wrapText="false" indent="0" shrinkToFit="false"/>
      <protection locked="true" hidden="false"/>
    </xf>
    <xf numFmtId="169" fontId="69" fillId="0" borderId="0" xfId="19" applyFont="true" applyBorder="true" applyAlignment="true" applyProtection="true">
      <alignment horizontal="left" vertical="bottom" textRotation="0" wrapText="false" indent="0" shrinkToFit="false"/>
      <protection locked="true" hidden="false"/>
    </xf>
    <xf numFmtId="169" fontId="35" fillId="0" borderId="0" xfId="19" applyFont="true" applyBorder="true" applyAlignment="true" applyProtection="true">
      <alignment horizontal="general" vertical="bottom" textRotation="0" wrapText="false" indent="0" shrinkToFit="false"/>
      <protection locked="true" hidden="false"/>
    </xf>
    <xf numFmtId="164" fontId="17" fillId="0" borderId="145" xfId="0" applyFont="true" applyBorder="true" applyAlignment="true" applyProtection="false">
      <alignment horizontal="right" vertical="bottom" textRotation="0" wrapText="false" indent="0" shrinkToFit="false"/>
      <protection locked="true" hidden="false"/>
    </xf>
    <xf numFmtId="164" fontId="122" fillId="0" borderId="0" xfId="0" applyFont="true" applyBorder="true" applyAlignment="false" applyProtection="false">
      <alignment horizontal="general" vertical="bottom" textRotation="0" wrapText="false" indent="0" shrinkToFit="false"/>
      <protection locked="true" hidden="false"/>
    </xf>
    <xf numFmtId="164" fontId="25" fillId="0" borderId="0" xfId="0" applyFont="true" applyBorder="true" applyAlignment="true" applyProtection="false">
      <alignment horizontal="general" vertical="center" textRotation="0" wrapText="false" indent="0" shrinkToFit="false"/>
      <protection locked="true" hidden="false"/>
    </xf>
    <xf numFmtId="164" fontId="21" fillId="0" borderId="0" xfId="0" applyFont="true" applyBorder="true" applyAlignment="true" applyProtection="false">
      <alignment horizontal="center" vertical="center" textRotation="0" wrapText="true" indent="0" shrinkToFit="false"/>
      <protection locked="true" hidden="false"/>
    </xf>
    <xf numFmtId="164" fontId="79" fillId="0" borderId="0" xfId="0" applyFont="true" applyBorder="false" applyAlignment="true" applyProtection="false">
      <alignment horizontal="right" vertical="bottom" textRotation="0" wrapText="false" indent="0" shrinkToFit="false"/>
      <protection locked="true" hidden="false"/>
    </xf>
    <xf numFmtId="164" fontId="79" fillId="0" borderId="0" xfId="0" applyFont="true" applyBorder="false" applyAlignment="true" applyProtection="false">
      <alignment horizontal="left" vertical="bottom" textRotation="0" wrapText="false" indent="0" shrinkToFit="false"/>
      <protection locked="true" hidden="false"/>
    </xf>
    <xf numFmtId="164" fontId="17" fillId="0" borderId="0" xfId="0" applyFont="true" applyBorder="true" applyAlignment="true" applyProtection="false">
      <alignment horizontal="general" vertical="bottom" textRotation="0" wrapText="false" indent="0" shrinkToFit="false"/>
      <protection locked="true" hidden="false"/>
    </xf>
    <xf numFmtId="164" fontId="0" fillId="18" borderId="0" xfId="43" applyFont="false" applyBorder="true" applyAlignment="true" applyProtection="true">
      <alignment horizontal="center" vertical="top" textRotation="0" wrapText="false" indent="0" shrinkToFit="false"/>
      <protection locked="true" hidden="false"/>
    </xf>
    <xf numFmtId="164" fontId="86" fillId="0" borderId="0" xfId="0" applyFont="true" applyBorder="true" applyAlignment="true" applyProtection="false">
      <alignment horizontal="left" vertical="top" textRotation="0" wrapText="true" indent="0" shrinkToFit="false"/>
      <protection locked="true" hidden="false"/>
    </xf>
    <xf numFmtId="164" fontId="117" fillId="19" borderId="88" xfId="0" applyFont="true" applyBorder="true" applyAlignment="true" applyProtection="false">
      <alignment horizontal="center" vertical="bottom" textRotation="0" wrapText="false" indent="0" shrinkToFit="false"/>
      <protection locked="true" hidden="false"/>
    </xf>
    <xf numFmtId="164" fontId="123" fillId="0" borderId="0" xfId="0" applyFont="true" applyBorder="true" applyAlignment="true" applyProtection="false">
      <alignment horizontal="left" vertical="bottom" textRotation="0" wrapText="false" indent="0" shrinkToFit="false"/>
      <protection locked="true" hidden="false"/>
    </xf>
    <xf numFmtId="164" fontId="17" fillId="0" borderId="145" xfId="0" applyFont="true" applyBorder="true" applyAlignment="true" applyProtection="false">
      <alignment horizontal="left" vertical="bottom" textRotation="0" wrapText="false" indent="0" shrinkToFit="false"/>
      <protection locked="true" hidden="false"/>
    </xf>
    <xf numFmtId="164" fontId="20" fillId="0" borderId="0" xfId="0" applyFont="true" applyBorder="true" applyAlignment="true" applyProtection="false">
      <alignment horizontal="right" vertical="bottom" textRotation="0" wrapText="true" indent="0" shrinkToFit="false"/>
      <protection locked="true" hidden="false"/>
    </xf>
    <xf numFmtId="170" fontId="17" fillId="0" borderId="0" xfId="0" applyFont="true" applyBorder="false" applyAlignment="false" applyProtection="false">
      <alignment horizontal="general" vertical="bottom" textRotation="0" wrapText="false" indent="0" shrinkToFit="false"/>
      <protection locked="true" hidden="false"/>
    </xf>
    <xf numFmtId="164" fontId="109" fillId="19" borderId="128" xfId="49" applyFont="true" applyBorder="true" applyAlignment="true" applyProtection="true">
      <alignment horizontal="center" vertical="center" textRotation="0" wrapText="true" indent="0" shrinkToFit="false"/>
      <protection locked="true" hidden="false"/>
    </xf>
    <xf numFmtId="164" fontId="109" fillId="19" borderId="118" xfId="49" applyFont="true" applyBorder="true" applyAlignment="true" applyProtection="true">
      <alignment horizontal="center" vertical="center" textRotation="0" wrapText="true" indent="0" shrinkToFit="false"/>
      <protection locked="true" hidden="false"/>
    </xf>
    <xf numFmtId="164" fontId="0" fillId="19" borderId="102" xfId="49" applyFont="true" applyBorder="true" applyAlignment="true" applyProtection="true">
      <alignment horizontal="center" vertical="center" textRotation="0" wrapText="true" indent="0" shrinkToFit="false"/>
      <protection locked="true" hidden="false"/>
    </xf>
    <xf numFmtId="164" fontId="0" fillId="19" borderId="111" xfId="49" applyFont="true" applyBorder="true" applyAlignment="true" applyProtection="true">
      <alignment horizontal="center" vertical="center" textRotation="0" wrapText="true" indent="0" shrinkToFit="false"/>
      <protection locked="true" hidden="false"/>
    </xf>
    <xf numFmtId="164" fontId="0" fillId="19" borderId="159" xfId="49" applyFont="true" applyBorder="true" applyAlignment="true" applyProtection="true">
      <alignment horizontal="center" vertical="center" textRotation="0" wrapText="true" indent="0" shrinkToFit="false"/>
      <protection locked="true" hidden="false"/>
    </xf>
    <xf numFmtId="164" fontId="17" fillId="0" borderId="160" xfId="0" applyFont="true" applyBorder="true" applyAlignment="true" applyProtection="false">
      <alignment horizontal="center" vertical="center" textRotation="0" wrapText="true" indent="0" shrinkToFit="false"/>
      <protection locked="true" hidden="false"/>
    </xf>
    <xf numFmtId="164" fontId="17" fillId="0" borderId="110" xfId="0" applyFont="true" applyBorder="true" applyAlignment="true" applyProtection="false">
      <alignment horizontal="center" vertical="center" textRotation="0" wrapText="true" indent="0" shrinkToFit="false"/>
      <protection locked="true" hidden="false"/>
    </xf>
    <xf numFmtId="164" fontId="0" fillId="19" borderId="161" xfId="49" applyFont="true" applyBorder="true" applyAlignment="true" applyProtection="true">
      <alignment horizontal="center" vertical="center" textRotation="0" wrapText="true" indent="0" shrinkToFit="false"/>
      <protection locked="true" hidden="false"/>
    </xf>
    <xf numFmtId="164" fontId="17" fillId="0" borderId="111" xfId="0" applyFont="true" applyBorder="true" applyAlignment="true" applyProtection="false">
      <alignment horizontal="center" vertical="center" textRotation="0" wrapText="true" indent="0" shrinkToFit="false"/>
      <protection locked="true" hidden="false"/>
    </xf>
    <xf numFmtId="164" fontId="116" fillId="0" borderId="0" xfId="0" applyFont="true" applyBorder="true" applyAlignment="true" applyProtection="false">
      <alignment horizontal="left" vertical="top" textRotation="0" wrapText="false" indent="0" shrinkToFit="false"/>
      <protection locked="true" hidden="false"/>
    </xf>
    <xf numFmtId="164" fontId="124" fillId="0" borderId="145" xfId="0" applyFont="true" applyBorder="true" applyAlignment="true" applyProtection="false">
      <alignment horizontal="left" vertical="bottom" textRotation="0" wrapText="true" indent="0" shrinkToFit="false"/>
      <protection locked="true" hidden="false"/>
    </xf>
    <xf numFmtId="164" fontId="125" fillId="0" borderId="0" xfId="0" applyFont="true" applyBorder="true" applyAlignment="true" applyProtection="false">
      <alignment horizontal="left" vertical="top" textRotation="0" wrapText="true" indent="0" shrinkToFit="false"/>
      <protection locked="true" hidden="false"/>
    </xf>
    <xf numFmtId="164" fontId="11" fillId="0" borderId="0" xfId="0" applyFont="true" applyBorder="true" applyAlignment="true" applyProtection="false">
      <alignment horizontal="right" vertical="bottom" textRotation="0" wrapText="true" indent="0" shrinkToFit="false"/>
      <protection locked="true" hidden="false"/>
    </xf>
    <xf numFmtId="164" fontId="125" fillId="0" borderId="0" xfId="0" applyFont="true" applyBorder="true" applyAlignment="true" applyProtection="false">
      <alignment horizontal="left" vertical="bottom" textRotation="0" wrapText="true" indent="0" shrinkToFit="false"/>
      <protection locked="true" hidden="false"/>
    </xf>
    <xf numFmtId="164" fontId="126" fillId="0" borderId="0" xfId="0" applyFont="true" applyBorder="true" applyAlignment="true" applyProtection="false">
      <alignment horizontal="center" vertical="bottom" textRotation="0" wrapText="false" indent="0" shrinkToFit="false"/>
      <protection locked="true" hidden="false"/>
    </xf>
    <xf numFmtId="174" fontId="23" fillId="3" borderId="0" xfId="44" applyFont="true" applyBorder="true" applyAlignment="true" applyProtection="true">
      <alignment horizontal="general" vertical="bottom" textRotation="0" wrapText="false" indent="0" shrinkToFit="false"/>
      <protection locked="true" hidden="false"/>
    </xf>
    <xf numFmtId="174" fontId="23" fillId="3" borderId="144" xfId="44" applyFont="true" applyBorder="true" applyAlignment="true" applyProtection="true">
      <alignment horizontal="center" vertical="center" textRotation="0" wrapText="true" indent="0" shrinkToFit="false"/>
      <protection locked="true" hidden="false"/>
    </xf>
    <xf numFmtId="164" fontId="127" fillId="0" borderId="0" xfId="0" applyFont="true" applyBorder="true" applyAlignment="false" applyProtection="false">
      <alignment horizontal="general" vertical="bottom" textRotation="0" wrapText="false" indent="0" shrinkToFit="false"/>
      <protection locked="true" hidden="false"/>
    </xf>
    <xf numFmtId="164" fontId="103" fillId="0" borderId="0" xfId="0" applyFont="true" applyBorder="false" applyAlignment="true" applyProtection="false">
      <alignment horizontal="general" vertical="bottom" textRotation="0" wrapText="false" indent="0" shrinkToFit="false"/>
      <protection locked="true" hidden="false"/>
    </xf>
    <xf numFmtId="172" fontId="23" fillId="3" borderId="88" xfId="44" applyFont="true" applyBorder="true" applyAlignment="true" applyProtection="true">
      <alignment horizontal="center" vertical="bottom" textRotation="0" wrapText="true" indent="0" shrinkToFit="false"/>
      <protection locked="true" hidden="false"/>
    </xf>
    <xf numFmtId="174" fontId="23" fillId="3" borderId="88" xfId="44" applyFont="true" applyBorder="true" applyAlignment="true" applyProtection="true">
      <alignment horizontal="center" vertical="bottom" textRotation="0" wrapText="true" indent="0" shrinkToFit="false"/>
      <protection locked="true" hidden="false"/>
    </xf>
    <xf numFmtId="164" fontId="86" fillId="0" borderId="0" xfId="0" applyFont="true" applyBorder="false" applyAlignment="true" applyProtection="false">
      <alignment horizontal="general" vertical="top" textRotation="0" wrapText="true" indent="0" shrinkToFit="false"/>
      <protection locked="true" hidden="false"/>
    </xf>
    <xf numFmtId="164" fontId="21" fillId="0" borderId="0" xfId="0" applyFont="true" applyBorder="true" applyAlignment="true" applyProtection="false">
      <alignment horizontal="left" vertical="bottom" textRotation="0" wrapText="false" indent="0" shrinkToFit="false"/>
      <protection locked="true" hidden="false"/>
    </xf>
    <xf numFmtId="169" fontId="23" fillId="3" borderId="88" xfId="19" applyFont="true" applyBorder="true" applyAlignment="true" applyProtection="true">
      <alignment horizontal="center" vertical="bottom" textRotation="0" wrapText="false" indent="0" shrinkToFit="false"/>
      <protection locked="true" hidden="false"/>
    </xf>
    <xf numFmtId="164" fontId="86" fillId="0" borderId="0" xfId="0" applyFont="true" applyBorder="true" applyAlignment="true" applyProtection="false">
      <alignment horizontal="general" vertical="top" textRotation="0" wrapText="true" indent="0" shrinkToFit="false"/>
      <protection locked="true" hidden="false"/>
    </xf>
    <xf numFmtId="164" fontId="20" fillId="0" borderId="0" xfId="0" applyFont="true" applyBorder="false" applyAlignment="true" applyProtection="false">
      <alignment horizontal="left" vertical="center" textRotation="0" wrapText="false" indent="0" shrinkToFit="false"/>
      <protection locked="true" hidden="false"/>
    </xf>
    <xf numFmtId="164" fontId="128" fillId="0" borderId="0" xfId="0" applyFont="true" applyBorder="false" applyAlignment="false" applyProtection="false">
      <alignment horizontal="general" vertical="bottom" textRotation="0" wrapText="false" indent="0" shrinkToFit="false"/>
      <protection locked="true" hidden="false"/>
    </xf>
    <xf numFmtId="164" fontId="27" fillId="0" borderId="0" xfId="0" applyFont="true" applyBorder="false" applyAlignment="true" applyProtection="false">
      <alignment horizontal="general" vertical="center" textRotation="0" wrapText="true" indent="0" shrinkToFit="false"/>
      <protection locked="true" hidden="false"/>
    </xf>
    <xf numFmtId="164" fontId="93" fillId="0" borderId="61" xfId="0" applyFont="true" applyBorder="true" applyAlignment="true" applyProtection="false">
      <alignment horizontal="right" vertical="center" textRotation="0" wrapText="true" indent="0" shrinkToFit="false"/>
      <protection locked="true" hidden="false"/>
    </xf>
    <xf numFmtId="164" fontId="43" fillId="0" borderId="0" xfId="0" applyFont="true" applyBorder="true" applyAlignment="true" applyProtection="false">
      <alignment horizontal="center" vertical="center" textRotation="0" wrapText="true" indent="0" shrinkToFit="false"/>
      <protection locked="true" hidden="false"/>
    </xf>
    <xf numFmtId="164" fontId="129" fillId="0" borderId="0" xfId="0" applyFont="true" applyBorder="true" applyAlignment="true" applyProtection="false">
      <alignment horizontal="general" vertical="center" textRotation="0" wrapText="true" indent="0" shrinkToFit="false"/>
      <protection locked="true" hidden="false"/>
    </xf>
    <xf numFmtId="164" fontId="129" fillId="0" borderId="162" xfId="0" applyFont="true" applyBorder="true" applyAlignment="true" applyProtection="false">
      <alignment horizontal="general" vertical="center" textRotation="0" wrapText="true" indent="0" shrinkToFit="false"/>
      <protection locked="true" hidden="false"/>
    </xf>
    <xf numFmtId="164" fontId="0" fillId="14" borderId="4" xfId="50" applyFont="true" applyBorder="true" applyAlignment="true" applyProtection="true">
      <alignment horizontal="center" vertical="center" textRotation="0" wrapText="true" indent="0" shrinkToFit="false"/>
      <protection locked="true" hidden="false"/>
    </xf>
    <xf numFmtId="164" fontId="129" fillId="0" borderId="3" xfId="0" applyFont="true" applyBorder="true" applyAlignment="true" applyProtection="false">
      <alignment horizontal="center" vertical="center" textRotation="0" wrapText="true" indent="0" shrinkToFit="false"/>
      <protection locked="true" hidden="false"/>
    </xf>
    <xf numFmtId="164" fontId="129" fillId="0" borderId="5" xfId="0" applyFont="true" applyBorder="true" applyAlignment="true" applyProtection="false">
      <alignment horizontal="center" vertical="center" textRotation="0" wrapText="true" indent="0" shrinkToFit="false"/>
      <protection locked="true" hidden="false"/>
    </xf>
    <xf numFmtId="164" fontId="129" fillId="19" borderId="1" xfId="49" applyFont="true" applyBorder="true" applyAlignment="true" applyProtection="true">
      <alignment horizontal="center" vertical="center" textRotation="0" wrapText="true" indent="0" shrinkToFit="false"/>
      <protection locked="true" hidden="false"/>
    </xf>
    <xf numFmtId="164" fontId="129" fillId="0" borderId="1" xfId="0" applyFont="true" applyBorder="true" applyAlignment="true" applyProtection="false">
      <alignment horizontal="center" vertical="center" textRotation="0" wrapText="true" indent="0" shrinkToFit="false"/>
      <protection locked="true" hidden="false"/>
    </xf>
    <xf numFmtId="164" fontId="109" fillId="19" borderId="163" xfId="49" applyFont="true" applyBorder="true" applyAlignment="true" applyProtection="true">
      <alignment horizontal="center" vertical="center" textRotation="0" wrapText="true" indent="0" shrinkToFit="false"/>
      <protection locked="true" hidden="false"/>
    </xf>
    <xf numFmtId="164" fontId="109" fillId="19" borderId="164" xfId="49" applyFont="true" applyBorder="true" applyAlignment="true" applyProtection="true">
      <alignment horizontal="center" vertical="center" textRotation="0" wrapText="true" indent="0" shrinkToFit="false"/>
      <protection locked="true" hidden="false"/>
    </xf>
    <xf numFmtId="164" fontId="109" fillId="19" borderId="165" xfId="49" applyFont="true" applyBorder="true" applyAlignment="true" applyProtection="true">
      <alignment horizontal="center" vertical="center" textRotation="0" wrapText="true" indent="0" shrinkToFit="false"/>
      <protection locked="true" hidden="false"/>
    </xf>
    <xf numFmtId="164" fontId="109" fillId="19" borderId="64" xfId="49" applyFont="true" applyBorder="true" applyAlignment="true" applyProtection="true">
      <alignment horizontal="center" vertical="center" textRotation="0" wrapText="true" indent="0" shrinkToFit="false"/>
      <protection locked="true" hidden="false"/>
    </xf>
    <xf numFmtId="164" fontId="103" fillId="0" borderId="0" xfId="0" applyFont="true" applyBorder="false" applyAlignment="true" applyProtection="false">
      <alignment horizontal="general" vertical="center" textRotation="0" wrapText="true" indent="0" shrinkToFit="false"/>
      <protection locked="true" hidden="false"/>
    </xf>
    <xf numFmtId="164" fontId="79" fillId="19" borderId="91" xfId="49" applyFont="true" applyBorder="true" applyAlignment="true" applyProtection="true">
      <alignment horizontal="center" vertical="center" textRotation="0" wrapText="true" indent="0" shrinkToFit="false"/>
      <protection locked="true" hidden="false"/>
    </xf>
    <xf numFmtId="164" fontId="69" fillId="0" borderId="112" xfId="0" applyFont="true" applyBorder="true" applyAlignment="true" applyProtection="false">
      <alignment horizontal="center" vertical="center" textRotation="0" wrapText="true" indent="0" shrinkToFit="false"/>
      <protection locked="true" hidden="false"/>
    </xf>
    <xf numFmtId="174" fontId="0" fillId="3" borderId="112" xfId="44" applyFont="false" applyBorder="true" applyAlignment="true" applyProtection="true">
      <alignment horizontal="center" vertical="center" textRotation="0" wrapText="true" indent="0" shrinkToFit="false"/>
      <protection locked="true" hidden="false"/>
    </xf>
    <xf numFmtId="164" fontId="17" fillId="14" borderId="112" xfId="0" applyFont="true" applyBorder="true" applyAlignment="true" applyProtection="false">
      <alignment horizontal="center" vertical="center" textRotation="0" wrapText="true" indent="0" shrinkToFit="false"/>
      <protection locked="true" hidden="false"/>
    </xf>
    <xf numFmtId="164" fontId="0" fillId="15" borderId="136" xfId="37" applyFont="false" applyBorder="true" applyAlignment="true" applyProtection="true">
      <alignment horizontal="center" vertical="center" textRotation="0" wrapText="true" indent="0" shrinkToFit="false"/>
      <protection locked="true" hidden="false"/>
    </xf>
    <xf numFmtId="164" fontId="69" fillId="23" borderId="139" xfId="0" applyFont="true" applyBorder="true" applyAlignment="true" applyProtection="false">
      <alignment horizontal="center" vertical="center" textRotation="0" wrapText="true" indent="0" shrinkToFit="false"/>
      <protection locked="true" hidden="false"/>
    </xf>
    <xf numFmtId="164" fontId="69" fillId="23" borderId="19" xfId="0" applyFont="true" applyBorder="true" applyAlignment="true" applyProtection="false">
      <alignment horizontal="center" vertical="center" textRotation="0" wrapText="true" indent="0" shrinkToFit="false"/>
      <protection locked="true" hidden="false"/>
    </xf>
    <xf numFmtId="174" fontId="0" fillId="3" borderId="48" xfId="44" applyFont="false" applyBorder="true" applyAlignment="true" applyProtection="true">
      <alignment horizontal="center" vertical="center" textRotation="0" wrapText="true" indent="0" shrinkToFit="false"/>
      <protection locked="true" hidden="false"/>
    </xf>
    <xf numFmtId="164" fontId="94" fillId="0" borderId="0" xfId="0" applyFont="true" applyBorder="false" applyAlignment="true" applyProtection="false">
      <alignment horizontal="general" vertical="center" textRotation="0" wrapText="true" indent="0" shrinkToFit="false"/>
      <protection locked="true" hidden="false"/>
    </xf>
    <xf numFmtId="164" fontId="69" fillId="0" borderId="6" xfId="0" applyFont="true" applyBorder="true" applyAlignment="true" applyProtection="false">
      <alignment horizontal="center" vertical="center" textRotation="0" wrapText="true" indent="0" shrinkToFit="false"/>
      <protection locked="true" hidden="false"/>
    </xf>
    <xf numFmtId="164" fontId="0" fillId="15" borderId="7" xfId="37" applyFont="false" applyBorder="true" applyAlignment="true" applyProtection="true">
      <alignment horizontal="center" vertical="center" textRotation="0" wrapText="true" indent="0" shrinkToFit="false"/>
      <protection locked="true" hidden="false"/>
    </xf>
    <xf numFmtId="164" fontId="69" fillId="23" borderId="150" xfId="0" applyFont="true" applyBorder="true" applyAlignment="true" applyProtection="false">
      <alignment horizontal="center" vertical="center" textRotation="0" wrapText="true" indent="0" shrinkToFit="false"/>
      <protection locked="true" hidden="false"/>
    </xf>
    <xf numFmtId="164" fontId="69" fillId="23" borderId="0" xfId="0" applyFont="true" applyBorder="true" applyAlignment="true" applyProtection="false">
      <alignment horizontal="center" vertical="center" textRotation="0" wrapText="true" indent="0" shrinkToFit="false"/>
      <protection locked="true" hidden="false"/>
    </xf>
    <xf numFmtId="174" fontId="0" fillId="3" borderId="54" xfId="44" applyFont="false" applyBorder="true" applyAlignment="true" applyProtection="true">
      <alignment horizontal="center" vertical="center" textRotation="0" wrapText="true" indent="0" shrinkToFit="false"/>
      <protection locked="true" hidden="false"/>
    </xf>
    <xf numFmtId="164" fontId="69" fillId="0" borderId="0" xfId="0" applyFont="true" applyBorder="false" applyAlignment="true" applyProtection="false">
      <alignment horizontal="general" vertical="center" textRotation="0" wrapText="true" indent="0" shrinkToFit="false"/>
      <protection locked="true" hidden="false"/>
    </xf>
    <xf numFmtId="172" fontId="0" fillId="3" borderId="6" xfId="44" applyFont="false" applyBorder="true" applyAlignment="true" applyProtection="true">
      <alignment horizontal="center" vertical="center" textRotation="0" wrapText="true" indent="0" shrinkToFit="false"/>
      <protection locked="true" hidden="false"/>
    </xf>
    <xf numFmtId="164" fontId="79" fillId="19" borderId="55" xfId="49" applyFont="true" applyBorder="true" applyAlignment="true" applyProtection="true">
      <alignment horizontal="center" vertical="center" textRotation="0" wrapText="true" indent="0" shrinkToFit="false"/>
      <protection locked="true" hidden="false"/>
    </xf>
    <xf numFmtId="167" fontId="0" fillId="3" borderId="6" xfId="44" applyFont="false" applyBorder="true" applyAlignment="true" applyProtection="true">
      <alignment horizontal="center" vertical="center" textRotation="0" wrapText="true" indent="0" shrinkToFit="false"/>
      <protection locked="true" hidden="false"/>
    </xf>
    <xf numFmtId="164" fontId="69" fillId="23" borderId="156" xfId="0" applyFont="true" applyBorder="true" applyAlignment="true" applyProtection="false">
      <alignment horizontal="center" vertical="center" textRotation="0" wrapText="true" indent="0" shrinkToFit="false"/>
      <protection locked="true" hidden="false"/>
    </xf>
    <xf numFmtId="164" fontId="69" fillId="23" borderId="147" xfId="0" applyFont="true" applyBorder="true" applyAlignment="true" applyProtection="false">
      <alignment horizontal="center" vertical="center" textRotation="0" wrapText="true" indent="0" shrinkToFit="false"/>
      <protection locked="true" hidden="false"/>
    </xf>
    <xf numFmtId="164" fontId="0" fillId="15" borderId="6" xfId="37" applyFont="false" applyBorder="true" applyAlignment="true" applyProtection="true">
      <alignment horizontal="center" vertical="center" textRotation="0" wrapText="true" indent="0" shrinkToFit="false"/>
      <protection locked="true" hidden="false"/>
    </xf>
    <xf numFmtId="164" fontId="17" fillId="14" borderId="123" xfId="0" applyFont="true" applyBorder="true" applyAlignment="true" applyProtection="false">
      <alignment horizontal="center" vertical="center" textRotation="0" wrapText="true" indent="0" shrinkToFit="false"/>
      <protection locked="true" hidden="false"/>
    </xf>
    <xf numFmtId="167" fontId="38" fillId="19" borderId="156" xfId="0" applyFont="true" applyBorder="true" applyAlignment="true" applyProtection="false">
      <alignment horizontal="general" vertical="center" textRotation="0" wrapText="true" indent="0" shrinkToFit="false"/>
      <protection locked="true" hidden="false"/>
    </xf>
    <xf numFmtId="164" fontId="17" fillId="14" borderId="8" xfId="0" applyFont="true" applyBorder="true" applyAlignment="true" applyProtection="false">
      <alignment horizontal="center" vertical="center" textRotation="0" wrapText="true" indent="0" shrinkToFit="false"/>
      <protection locked="true" hidden="false"/>
    </xf>
    <xf numFmtId="167" fontId="38" fillId="19" borderId="7" xfId="0" applyFont="true" applyBorder="true" applyAlignment="true" applyProtection="false">
      <alignment horizontal="general" vertical="center" textRotation="0" wrapText="true" indent="0" shrinkToFit="false"/>
      <protection locked="true" hidden="false"/>
    </xf>
    <xf numFmtId="164" fontId="69" fillId="23" borderId="100" xfId="0" applyFont="true" applyBorder="true" applyAlignment="true" applyProtection="false">
      <alignment horizontal="center" vertical="center" textRotation="0" wrapText="true" indent="0" shrinkToFit="false"/>
      <protection locked="true" hidden="false"/>
    </xf>
    <xf numFmtId="164" fontId="23" fillId="19" borderId="157" xfId="49" applyFont="true" applyBorder="true" applyAlignment="true" applyProtection="true">
      <alignment horizontal="right" vertical="center" textRotation="0" wrapText="true" indent="0" shrinkToFit="false"/>
      <protection locked="true" hidden="false"/>
    </xf>
    <xf numFmtId="174" fontId="23" fillId="3" borderId="125" xfId="44" applyFont="true" applyBorder="true" applyAlignment="true" applyProtection="true">
      <alignment horizontal="center" vertical="center" textRotation="0" wrapText="true" indent="0" shrinkToFit="false"/>
      <protection locked="true" hidden="false"/>
    </xf>
    <xf numFmtId="170" fontId="0" fillId="3" borderId="112" xfId="44" applyFont="false" applyBorder="true" applyAlignment="true" applyProtection="true">
      <alignment horizontal="center" vertical="center" textRotation="0" wrapText="true" indent="0" shrinkToFit="false"/>
      <protection locked="true" hidden="false"/>
    </xf>
    <xf numFmtId="164" fontId="69" fillId="19" borderId="6" xfId="0" applyFont="true" applyBorder="true" applyAlignment="true" applyProtection="false">
      <alignment horizontal="center" vertical="center" textRotation="0" wrapText="true" indent="0" shrinkToFit="false"/>
      <protection locked="true" hidden="false"/>
    </xf>
    <xf numFmtId="164" fontId="0" fillId="15" borderId="9" xfId="37" applyFont="false" applyBorder="true" applyAlignment="true" applyProtection="true">
      <alignment horizontal="center" vertical="center" textRotation="0" wrapText="true" indent="0" shrinkToFit="false"/>
      <protection locked="true" hidden="false"/>
    </xf>
    <xf numFmtId="164" fontId="83" fillId="0" borderId="0" xfId="0" applyFont="true" applyBorder="true" applyAlignment="true" applyProtection="false">
      <alignment horizontal="general" vertical="center" textRotation="0" wrapText="true" indent="0" shrinkToFit="false"/>
      <protection locked="true" hidden="false"/>
    </xf>
    <xf numFmtId="170" fontId="23" fillId="3" borderId="6" xfId="44" applyFont="true" applyBorder="true" applyAlignment="true" applyProtection="true">
      <alignment horizontal="center" vertical="center" textRotation="0" wrapText="false" indent="0" shrinkToFit="false"/>
      <protection locked="true" hidden="false"/>
    </xf>
    <xf numFmtId="164" fontId="123" fillId="0" borderId="0" xfId="0" applyFont="true" applyBorder="false" applyAlignment="false" applyProtection="false">
      <alignment horizontal="general" vertical="bottom" textRotation="0" wrapText="false" indent="0" shrinkToFit="false"/>
      <protection locked="true" hidden="false"/>
    </xf>
    <xf numFmtId="164" fontId="131" fillId="0" borderId="0" xfId="0" applyFont="true" applyBorder="false" applyAlignment="false" applyProtection="false">
      <alignment horizontal="general" vertical="bottom" textRotation="0" wrapText="false" indent="0" shrinkToFit="false"/>
      <protection locked="true" hidden="false"/>
    </xf>
    <xf numFmtId="164" fontId="93" fillId="19" borderId="64" xfId="49" applyFont="true" applyBorder="true" applyAlignment="true" applyProtection="true">
      <alignment horizontal="center" vertical="bottom" textRotation="0" wrapText="true" indent="0" shrinkToFit="false"/>
      <protection locked="true" hidden="false"/>
    </xf>
    <xf numFmtId="164" fontId="122" fillId="0" borderId="0" xfId="0" applyFont="true" applyBorder="true" applyAlignment="true" applyProtection="false">
      <alignment horizontal="general" vertical="center" textRotation="0" wrapText="false" indent="0" shrinkToFit="false"/>
      <protection locked="true" hidden="false"/>
    </xf>
    <xf numFmtId="164" fontId="109" fillId="19" borderId="166" xfId="49" applyFont="true" applyBorder="true" applyAlignment="true" applyProtection="true">
      <alignment horizontal="center" vertical="center" textRotation="0" wrapText="true" indent="0" shrinkToFit="false"/>
      <protection locked="true" hidden="false"/>
    </xf>
    <xf numFmtId="164" fontId="109" fillId="19" borderId="167" xfId="49" applyFont="true" applyBorder="true" applyAlignment="true" applyProtection="true">
      <alignment horizontal="center" vertical="center" textRotation="0" wrapText="true" indent="0" shrinkToFit="false"/>
      <protection locked="true" hidden="false"/>
    </xf>
    <xf numFmtId="164" fontId="20" fillId="19" borderId="14" xfId="0" applyFont="true" applyBorder="true" applyAlignment="true" applyProtection="false">
      <alignment horizontal="general" vertical="bottom" textRotation="0" wrapText="true" indent="0" shrinkToFit="false"/>
      <protection locked="true" hidden="false"/>
    </xf>
    <xf numFmtId="174" fontId="0" fillId="3" borderId="14" xfId="44" applyFont="false" applyBorder="true" applyAlignment="true" applyProtection="true">
      <alignment horizontal="center" vertical="center" textRotation="0" wrapText="true" indent="0" shrinkToFit="false"/>
      <protection locked="true" hidden="false"/>
    </xf>
    <xf numFmtId="174" fontId="107" fillId="0" borderId="0" xfId="0" applyFont="true" applyBorder="false" applyAlignment="true" applyProtection="false">
      <alignment horizontal="left" vertical="bottom" textRotation="0" wrapText="false" indent="0" shrinkToFit="false"/>
      <protection locked="true" hidden="false"/>
    </xf>
    <xf numFmtId="164" fontId="20" fillId="19" borderId="6" xfId="0" applyFont="true" applyBorder="true" applyAlignment="true" applyProtection="false">
      <alignment horizontal="general" vertical="bottom" textRotation="0" wrapText="true" indent="0" shrinkToFit="false"/>
      <protection locked="true" hidden="false"/>
    </xf>
    <xf numFmtId="171" fontId="69" fillId="0" borderId="0" xfId="0" applyFont="true" applyBorder="false" applyAlignment="true" applyProtection="false">
      <alignment horizontal="left" vertical="bottom" textRotation="0" wrapText="false" indent="0" shrinkToFit="false"/>
      <protection locked="true" hidden="false"/>
    </xf>
    <xf numFmtId="164" fontId="23" fillId="3" borderId="88" xfId="44" applyFont="true" applyBorder="true" applyAlignment="true" applyProtection="true">
      <alignment horizontal="center" vertical="center" textRotation="0" wrapText="false" indent="0" shrinkToFit="false"/>
      <protection locked="true" hidden="false"/>
    </xf>
    <xf numFmtId="164" fontId="23" fillId="3" borderId="6" xfId="44" applyFont="true" applyBorder="true" applyAlignment="true" applyProtection="true">
      <alignment horizontal="center" vertical="center" textRotation="0" wrapText="false" indent="0" shrinkToFit="false"/>
      <protection locked="true" hidden="false"/>
    </xf>
    <xf numFmtId="164" fontId="21" fillId="0" borderId="0" xfId="0" applyFont="true" applyBorder="true" applyAlignment="true" applyProtection="false">
      <alignment horizontal="center" vertical="center" textRotation="0" wrapText="false" indent="0" shrinkToFit="false"/>
      <protection locked="true" hidden="false"/>
    </xf>
    <xf numFmtId="164" fontId="82" fillId="0" borderId="0" xfId="0" applyFont="true" applyBorder="true" applyAlignment="true" applyProtection="false">
      <alignment horizontal="left" vertical="bottom" textRotation="0" wrapText="true" indent="0" shrinkToFit="false"/>
      <protection locked="true" hidden="false"/>
    </xf>
    <xf numFmtId="164" fontId="27" fillId="0" borderId="61" xfId="0" applyFont="true" applyBorder="true" applyAlignment="true" applyProtection="false">
      <alignment horizontal="right" vertical="center" textRotation="0" wrapText="false" indent="0" shrinkToFit="false"/>
      <protection locked="true" hidden="false"/>
    </xf>
    <xf numFmtId="164" fontId="93" fillId="19" borderId="64" xfId="49" applyFont="true" applyBorder="true" applyAlignment="true" applyProtection="true">
      <alignment horizontal="center" vertical="bottom" textRotation="0" wrapText="false" indent="0" shrinkToFit="false"/>
      <protection locked="true" hidden="false"/>
    </xf>
    <xf numFmtId="164" fontId="20" fillId="19" borderId="6" xfId="0" applyFont="true" applyBorder="true" applyAlignment="true" applyProtection="false">
      <alignment horizontal="center" vertical="bottom" textRotation="0" wrapText="false" indent="0" shrinkToFit="false"/>
      <protection locked="true" hidden="false"/>
    </xf>
    <xf numFmtId="164" fontId="17" fillId="0" borderId="145" xfId="0" applyFont="true" applyBorder="true" applyAlignment="true" applyProtection="false">
      <alignment horizontal="center" vertical="center" textRotation="0" wrapText="false" indent="0" shrinkToFit="false"/>
      <protection locked="true" hidden="false"/>
    </xf>
    <xf numFmtId="164" fontId="20"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17" fillId="19" borderId="0" xfId="0" applyFont="true" applyBorder="true" applyAlignment="false" applyProtection="false">
      <alignment horizontal="general" vertical="bottom" textRotation="0" wrapText="false" indent="0" shrinkToFit="false"/>
      <protection locked="true" hidden="false"/>
    </xf>
    <xf numFmtId="164" fontId="23" fillId="3" borderId="146" xfId="44" applyFont="true" applyBorder="true" applyAlignment="true" applyProtection="true">
      <alignment horizontal="left" vertical="bottom" textRotation="0" wrapText="false" indent="0" shrinkToFit="false"/>
      <protection locked="true" hidden="false"/>
    </xf>
    <xf numFmtId="164" fontId="23" fillId="3" borderId="168" xfId="44" applyFont="true" applyBorder="true" applyAlignment="true" applyProtection="true">
      <alignment horizontal="general" vertical="bottom" textRotation="0" wrapText="false" indent="0" shrinkToFit="false"/>
      <protection locked="true" hidden="false"/>
    </xf>
    <xf numFmtId="164" fontId="17" fillId="0" borderId="0" xfId="0" applyFont="true" applyBorder="false" applyAlignment="true" applyProtection="false">
      <alignment horizontal="center" vertical="center" textRotation="0" wrapText="true" indent="0" shrinkToFit="false"/>
      <protection locked="true" hidden="false"/>
    </xf>
    <xf numFmtId="164" fontId="123" fillId="0" borderId="0" xfId="0" applyFont="true" applyBorder="true" applyAlignment="false" applyProtection="false">
      <alignment horizontal="general" vertical="bottom" textRotation="0" wrapText="false" indent="0" shrinkToFit="false"/>
      <protection locked="true" hidden="false"/>
    </xf>
    <xf numFmtId="164" fontId="23" fillId="3" borderId="146" xfId="44" applyFont="true" applyBorder="true" applyAlignment="true" applyProtection="true">
      <alignment horizontal="center" vertical="center" textRotation="0" wrapText="false" indent="0" shrinkToFit="false"/>
      <protection locked="true" hidden="false"/>
    </xf>
    <xf numFmtId="174" fontId="0" fillId="3" borderId="0" xfId="44" applyFont="false" applyBorder="true" applyAlignment="true" applyProtection="true">
      <alignment horizontal="center" vertical="center" textRotation="0" wrapText="false" indent="0" shrinkToFit="false"/>
      <protection locked="true" hidden="false"/>
    </xf>
    <xf numFmtId="164" fontId="17" fillId="19" borderId="88" xfId="0" applyFont="true" applyBorder="true" applyAlignment="true" applyProtection="false">
      <alignment horizontal="center" vertical="center" textRotation="0" wrapText="false" indent="0" shrinkToFit="false"/>
      <protection locked="true" hidden="false"/>
    </xf>
    <xf numFmtId="164" fontId="0" fillId="18" borderId="0" xfId="43" applyFont="false" applyBorder="true" applyAlignment="true" applyProtection="true">
      <alignment horizontal="center" vertical="bottom" textRotation="0" wrapText="false" indent="0" shrinkToFit="false"/>
      <protection locked="true" hidden="false"/>
    </xf>
    <xf numFmtId="164" fontId="17" fillId="0" borderId="0" xfId="0" applyFont="true" applyBorder="true" applyAlignment="true" applyProtection="false">
      <alignment horizontal="general" vertical="center" textRotation="0" wrapText="false" indent="0" shrinkToFit="false"/>
      <protection locked="true" hidden="false"/>
    </xf>
    <xf numFmtId="164" fontId="132" fillId="0" borderId="0" xfId="0" applyFont="true" applyBorder="true" applyAlignment="true" applyProtection="false">
      <alignment horizontal="left" vertical="center" textRotation="0" wrapText="false" indent="0" shrinkToFit="false"/>
      <protection locked="true" hidden="false"/>
    </xf>
    <xf numFmtId="164" fontId="132" fillId="0" borderId="0" xfId="0" applyFont="true" applyBorder="true" applyAlignment="true" applyProtection="false">
      <alignment horizontal="general" vertical="center" textRotation="0" wrapText="false" indent="0" shrinkToFit="false"/>
      <protection locked="true" hidden="false"/>
    </xf>
    <xf numFmtId="174" fontId="133" fillId="0" borderId="0" xfId="0" applyFont="true" applyBorder="true" applyAlignment="true" applyProtection="false">
      <alignment horizontal="right" vertical="center" textRotation="0" wrapText="false" indent="0" shrinkToFit="false"/>
      <protection locked="true" hidden="false"/>
    </xf>
    <xf numFmtId="164" fontId="135" fillId="0" borderId="0" xfId="0" applyFont="true" applyBorder="true" applyAlignment="false" applyProtection="false">
      <alignment horizontal="general" vertical="bottom" textRotation="0" wrapText="false" indent="0" shrinkToFit="false"/>
      <protection locked="true" hidden="false"/>
    </xf>
    <xf numFmtId="174" fontId="133" fillId="0" borderId="0" xfId="0" applyFont="true" applyBorder="true" applyAlignment="true" applyProtection="false">
      <alignment horizontal="general" vertical="center" textRotation="0" wrapText="false" indent="0" shrinkToFit="false"/>
      <protection locked="true" hidden="false"/>
    </xf>
    <xf numFmtId="164" fontId="132" fillId="0" borderId="0" xfId="0" applyFont="true" applyBorder="true" applyAlignment="true" applyProtection="false">
      <alignment horizontal="left" vertical="center" textRotation="0" wrapText="true" indent="0" shrinkToFit="false"/>
      <protection locked="true" hidden="false"/>
    </xf>
    <xf numFmtId="164" fontId="136" fillId="0" borderId="0" xfId="0" applyFont="true" applyBorder="true" applyAlignment="false" applyProtection="false">
      <alignment horizontal="general" vertical="bottom" textRotation="0" wrapText="false" indent="0" shrinkToFit="false"/>
      <protection locked="true" hidden="false"/>
    </xf>
    <xf numFmtId="164" fontId="137" fillId="0" borderId="0" xfId="0" applyFont="true" applyBorder="true" applyAlignment="false" applyProtection="false">
      <alignment horizontal="general" vertical="bottom" textRotation="0" wrapText="false" indent="0" shrinkToFit="false"/>
      <protection locked="true" hidden="false"/>
    </xf>
    <xf numFmtId="164" fontId="17" fillId="19" borderId="88" xfId="0" applyFont="true" applyBorder="true" applyAlignment="false" applyProtection="false">
      <alignment horizontal="general" vertical="bottom" textRotation="0" wrapText="false" indent="0" shrinkToFit="false"/>
      <protection locked="true" hidden="false"/>
    </xf>
    <xf numFmtId="164" fontId="86" fillId="0" borderId="0" xfId="0" applyFont="true" applyBorder="true" applyAlignment="true" applyProtection="false">
      <alignment horizontal="left" vertical="bottom" textRotation="0" wrapText="true" indent="0" shrinkToFit="false"/>
      <protection locked="true" hidden="false"/>
    </xf>
    <xf numFmtId="164" fontId="28" fillId="0" borderId="0" xfId="0" applyFont="true" applyBorder="false" applyAlignment="true" applyProtection="false">
      <alignment horizontal="general" vertical="bottom" textRotation="0" wrapText="true" indent="0" shrinkToFit="false"/>
      <protection locked="true" hidden="false"/>
    </xf>
    <xf numFmtId="164" fontId="17" fillId="0" borderId="0" xfId="0" applyFont="true" applyBorder="true" applyAlignment="true" applyProtection="false">
      <alignment horizontal="left" vertical="bottom" textRotation="0" wrapText="true" indent="0" shrinkToFit="false"/>
      <protection locked="true" hidden="false"/>
    </xf>
    <xf numFmtId="164" fontId="20" fillId="0" borderId="145" xfId="0" applyFont="true" applyBorder="true" applyAlignment="true" applyProtection="false">
      <alignment horizontal="left" vertical="bottom" textRotation="0" wrapText="true" indent="0" shrinkToFit="false"/>
      <protection locked="true" hidden="false"/>
    </xf>
    <xf numFmtId="164" fontId="138" fillId="0" borderId="0" xfId="0" applyFont="true" applyBorder="true" applyAlignment="true" applyProtection="false">
      <alignment horizontal="center" vertical="center" textRotation="0" wrapText="false" indent="0" shrinkToFit="false"/>
      <protection locked="true" hidden="false"/>
    </xf>
    <xf numFmtId="164" fontId="82" fillId="0" borderId="0" xfId="0" applyFont="true" applyBorder="true" applyAlignment="true" applyProtection="false">
      <alignment horizontal="left" vertical="top" textRotation="0" wrapText="true" indent="0" shrinkToFit="false"/>
      <protection locked="true" hidden="false"/>
    </xf>
    <xf numFmtId="164" fontId="138" fillId="0" borderId="0" xfId="0" applyFont="true" applyBorder="true" applyAlignment="true" applyProtection="false">
      <alignment horizontal="left" vertical="center" textRotation="0" wrapText="false" indent="0" shrinkToFit="false"/>
      <protection locked="true" hidden="false"/>
    </xf>
    <xf numFmtId="164" fontId="101" fillId="0" borderId="0" xfId="0" applyFont="true" applyBorder="true" applyAlignment="true" applyProtection="false">
      <alignment horizontal="right" vertical="bottom" textRotation="0" wrapText="false" indent="0" shrinkToFit="false"/>
      <protection locked="true" hidden="false"/>
    </xf>
    <xf numFmtId="164" fontId="20" fillId="19" borderId="88" xfId="0" applyFont="true" applyBorder="true" applyAlignment="false" applyProtection="false">
      <alignment horizontal="general" vertical="bottom" textRotation="0" wrapText="false" indent="0" shrinkToFit="false"/>
      <protection locked="true" hidden="false"/>
    </xf>
    <xf numFmtId="164" fontId="23" fillId="3" borderId="88" xfId="44" applyFont="true" applyBorder="true" applyAlignment="true" applyProtection="true">
      <alignment horizontal="center" vertical="bottom" textRotation="0" wrapText="false" indent="0" shrinkToFit="false"/>
      <protection locked="true" hidden="false"/>
    </xf>
    <xf numFmtId="164" fontId="20" fillId="19" borderId="88" xfId="0" applyFont="true" applyBorder="true" applyAlignment="true" applyProtection="false">
      <alignment horizontal="general" vertical="bottom" textRotation="0" wrapText="true" indent="0" shrinkToFit="false"/>
      <protection locked="true" hidden="false"/>
    </xf>
    <xf numFmtId="169" fontId="23" fillId="3" borderId="88" xfId="44" applyFont="true" applyBorder="true" applyAlignment="true" applyProtection="true">
      <alignment horizontal="center" vertical="bottom" textRotation="0" wrapText="false" indent="0" shrinkToFit="false"/>
      <protection locked="true" hidden="false"/>
    </xf>
    <xf numFmtId="164" fontId="17" fillId="0" borderId="0" xfId="0" applyFont="true" applyBorder="false" applyAlignment="true" applyProtection="false">
      <alignment horizontal="general" vertical="top" textRotation="0" wrapText="false" indent="0" shrinkToFit="false"/>
      <protection locked="true" hidden="false"/>
    </xf>
    <xf numFmtId="164" fontId="20" fillId="0" borderId="145" xfId="0" applyFont="true" applyBorder="true" applyAlignment="true" applyProtection="false">
      <alignment horizontal="left" vertical="bottom" textRotation="0" wrapText="false" indent="0" shrinkToFit="false"/>
      <protection locked="true" hidden="false"/>
    </xf>
    <xf numFmtId="164" fontId="17" fillId="0" borderId="150" xfId="0" applyFont="true" applyBorder="true" applyAlignment="true" applyProtection="false">
      <alignment horizontal="general" vertical="bottom" textRotation="0" wrapText="false" indent="0" shrinkToFit="false"/>
      <protection locked="true" hidden="false"/>
    </xf>
    <xf numFmtId="164" fontId="138" fillId="0" borderId="0" xfId="0" applyFont="true" applyBorder="false" applyAlignment="true" applyProtection="false">
      <alignment horizontal="left" vertical="bottom" textRotation="0" wrapText="false" indent="0" shrinkToFit="false"/>
      <protection locked="true" hidden="false"/>
    </xf>
    <xf numFmtId="164" fontId="139" fillId="0" borderId="0" xfId="0" applyFont="true" applyBorder="false" applyAlignment="true" applyProtection="false">
      <alignment horizontal="left" vertical="bottom" textRotation="0" wrapText="false" indent="0" shrinkToFit="false"/>
      <protection locked="true" hidden="false"/>
    </xf>
    <xf numFmtId="164" fontId="17" fillId="0" borderId="169" xfId="0" applyFont="true" applyBorder="true" applyAlignment="true" applyProtection="false">
      <alignment horizontal="general" vertical="center" textRotation="0" wrapText="false" indent="0" shrinkToFit="false"/>
      <protection locked="true" hidden="false"/>
    </xf>
    <xf numFmtId="164" fontId="27" fillId="0" borderId="0" xfId="0" applyFont="true" applyBorder="false" applyAlignment="true" applyProtection="false">
      <alignment horizontal="left" vertical="bottom" textRotation="0" wrapText="false" indent="0" shrinkToFit="false"/>
      <protection locked="true" hidden="false"/>
    </xf>
    <xf numFmtId="164" fontId="0" fillId="18" borderId="0" xfId="43" applyFont="false" applyBorder="true" applyAlignment="true" applyProtection="true">
      <alignment horizontal="left" vertical="bottom" textRotation="0" wrapText="false" indent="0" shrinkToFit="false"/>
      <protection locked="true" hidden="false"/>
    </xf>
    <xf numFmtId="164" fontId="17" fillId="0" borderId="0" xfId="0" applyFont="true" applyBorder="false" applyAlignment="true" applyProtection="false">
      <alignment horizontal="general" vertical="bottom" textRotation="0" wrapText="false" indent="0" shrinkToFit="false"/>
      <protection locked="true" hidden="false"/>
    </xf>
    <xf numFmtId="164" fontId="28" fillId="0" borderId="0" xfId="0" applyFont="true" applyBorder="true" applyAlignment="false" applyProtection="false">
      <alignment horizontal="general" vertical="bottom" textRotation="0" wrapText="false" indent="0" shrinkToFit="false"/>
      <protection locked="true" hidden="false"/>
    </xf>
    <xf numFmtId="164" fontId="20" fillId="19" borderId="170" xfId="49" applyFont="true" applyBorder="true" applyAlignment="true" applyProtection="true">
      <alignment horizontal="center" vertical="bottom" textRotation="0" wrapText="false" indent="0" shrinkToFit="false"/>
      <protection locked="true" hidden="false"/>
    </xf>
    <xf numFmtId="164" fontId="17" fillId="0" borderId="171" xfId="0" applyFont="true" applyBorder="true" applyAlignment="true" applyProtection="false">
      <alignment horizontal="left" vertical="center" textRotation="0" wrapText="false" indent="0" shrinkToFit="false"/>
      <protection locked="true" hidden="false"/>
    </xf>
    <xf numFmtId="164" fontId="20" fillId="19" borderId="172" xfId="0" applyFont="true" applyBorder="true" applyAlignment="true" applyProtection="false">
      <alignment horizontal="center" vertical="center" textRotation="0" wrapText="false" indent="0" shrinkToFit="false"/>
      <protection locked="true" hidden="false"/>
    </xf>
    <xf numFmtId="174" fontId="140" fillId="0" borderId="0" xfId="0" applyFont="true" applyBorder="false" applyAlignment="true" applyProtection="false">
      <alignment horizontal="left" vertical="bottom" textRotation="0" wrapText="false" indent="0" shrinkToFit="false"/>
      <protection locked="true" hidden="false"/>
    </xf>
    <xf numFmtId="164" fontId="17" fillId="0" borderId="119" xfId="0" applyFont="true" applyBorder="true" applyAlignment="true" applyProtection="false">
      <alignment horizontal="left" vertical="center" textRotation="0" wrapText="true" indent="0" shrinkToFit="false"/>
      <protection locked="true" hidden="false"/>
    </xf>
    <xf numFmtId="164" fontId="20" fillId="19" borderId="173" xfId="0" applyFont="true" applyBorder="true" applyAlignment="true" applyProtection="false">
      <alignment horizontal="center" vertical="center" textRotation="0" wrapText="false" indent="0" shrinkToFit="false"/>
      <protection locked="true" hidden="false"/>
    </xf>
    <xf numFmtId="174" fontId="140" fillId="0" borderId="0" xfId="0" applyFont="true" applyBorder="true" applyAlignment="true" applyProtection="false">
      <alignment horizontal="left" vertical="top" textRotation="0" wrapText="false" indent="0" shrinkToFit="false"/>
      <protection locked="true" hidden="false"/>
    </xf>
    <xf numFmtId="164" fontId="25" fillId="0" borderId="0" xfId="0" applyFont="true" applyBorder="false" applyAlignment="true" applyProtection="false">
      <alignment horizontal="center" vertical="center" textRotation="0" wrapText="false" indent="0" shrinkToFit="false"/>
      <protection locked="true" hidden="false"/>
    </xf>
    <xf numFmtId="174" fontId="23" fillId="3" borderId="144" xfId="44" applyFont="true" applyBorder="true" applyAlignment="true" applyProtection="true">
      <alignment horizontal="center" vertical="center" textRotation="0" wrapText="false" indent="0" shrinkToFit="false"/>
      <protection locked="true" hidden="false"/>
    </xf>
    <xf numFmtId="164" fontId="17" fillId="0" borderId="170" xfId="0" applyFont="true" applyBorder="true" applyAlignment="true" applyProtection="false">
      <alignment horizontal="left" vertical="center" textRotation="0" wrapText="false" indent="0" shrinkToFit="false"/>
      <protection locked="true" hidden="false"/>
    </xf>
    <xf numFmtId="164" fontId="20" fillId="19" borderId="174" xfId="0" applyFont="true" applyBorder="true" applyAlignment="true" applyProtection="false">
      <alignment horizontal="center" vertical="center" textRotation="0" wrapText="false" indent="0" shrinkToFit="false"/>
      <protection locked="true" hidden="false"/>
    </xf>
    <xf numFmtId="164" fontId="86" fillId="0" borderId="0" xfId="0" applyFont="true" applyBorder="true" applyAlignment="true" applyProtection="false">
      <alignment horizontal="left" vertical="bottom" textRotation="0" wrapText="false" indent="0" shrinkToFit="false"/>
      <protection locked="true" hidden="false"/>
    </xf>
    <xf numFmtId="164" fontId="69" fillId="0" borderId="0" xfId="0" applyFont="true" applyBorder="true" applyAlignment="true" applyProtection="false">
      <alignment horizontal="left" vertical="center" textRotation="0" wrapText="false" indent="0" shrinkToFit="false"/>
      <protection locked="true" hidden="false"/>
    </xf>
    <xf numFmtId="164" fontId="20" fillId="0" borderId="145" xfId="0" applyFont="true" applyBorder="true" applyAlignment="true" applyProtection="false">
      <alignment horizontal="left" vertical="center" textRotation="0" wrapText="true" indent="0" shrinkToFit="false"/>
      <protection locked="true" hidden="false"/>
    </xf>
    <xf numFmtId="164" fontId="86" fillId="0" borderId="0" xfId="0" applyFont="true" applyBorder="false" applyAlignment="true" applyProtection="false">
      <alignment horizontal="general" vertical="bottom" textRotation="0" wrapText="false" indent="0" shrinkToFit="false"/>
      <protection locked="true" hidden="false"/>
    </xf>
    <xf numFmtId="164" fontId="86" fillId="0" borderId="0" xfId="0" applyFont="true" applyBorder="false" applyAlignment="true" applyProtection="false">
      <alignment horizontal="center" vertical="center" textRotation="0" wrapText="false" indent="0" shrinkToFit="false"/>
      <protection locked="true" hidden="false"/>
    </xf>
    <xf numFmtId="164" fontId="78" fillId="0" borderId="0" xfId="0" applyFont="true" applyBorder="false" applyAlignment="true" applyProtection="false">
      <alignment horizontal="right" vertical="bottom" textRotation="0" wrapText="false" indent="0" shrinkToFit="false"/>
      <protection locked="true" hidden="false"/>
    </xf>
    <xf numFmtId="164" fontId="20" fillId="0" borderId="0" xfId="0" applyFont="true" applyBorder="true" applyAlignment="true" applyProtection="false">
      <alignment horizontal="center" vertical="bottom" textRotation="0" wrapText="true" indent="0" shrinkToFit="false"/>
      <protection locked="true" hidden="false"/>
    </xf>
    <xf numFmtId="164" fontId="103" fillId="0" borderId="0" xfId="0" applyFont="true" applyBorder="true" applyAlignment="false" applyProtection="false">
      <alignment horizontal="general" vertical="bottom" textRotation="0" wrapText="false" indent="0" shrinkToFit="false"/>
      <protection locked="true" hidden="false"/>
    </xf>
    <xf numFmtId="164" fontId="103" fillId="0" borderId="0" xfId="0" applyFont="true" applyBorder="false" applyAlignment="true" applyProtection="false">
      <alignment horizontal="right" vertical="bottom" textRotation="0" wrapText="false" indent="0" shrinkToFit="false"/>
      <protection locked="true" hidden="false"/>
    </xf>
    <xf numFmtId="164" fontId="86"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4" fontId="142" fillId="0" borderId="0" xfId="0" applyFont="true" applyBorder="false" applyAlignment="false" applyProtection="false">
      <alignment horizontal="general" vertical="bottom" textRotation="0" wrapText="false" indent="0" shrinkToFit="false"/>
      <protection locked="true" hidden="false"/>
    </xf>
    <xf numFmtId="164" fontId="17" fillId="0" borderId="142" xfId="0" applyFont="true" applyBorder="true" applyAlignment="true" applyProtection="false">
      <alignment horizontal="right" vertical="bottom" textRotation="0" wrapText="false" indent="0" shrinkToFit="false"/>
      <protection locked="true" hidden="false"/>
    </xf>
    <xf numFmtId="164" fontId="143" fillId="0" borderId="0" xfId="0" applyFont="true" applyBorder="true" applyAlignment="false" applyProtection="false">
      <alignment horizontal="general" vertical="bottom" textRotation="0" wrapText="false" indent="0" shrinkToFit="false"/>
      <protection locked="true" hidden="false"/>
    </xf>
    <xf numFmtId="164" fontId="25" fillId="0" borderId="0" xfId="0" applyFont="true" applyBorder="true" applyAlignment="false" applyProtection="false">
      <alignment horizontal="general" vertical="bottom" textRotation="0" wrapText="false" indent="0" shrinkToFit="false"/>
      <protection locked="true" hidden="false"/>
    </xf>
    <xf numFmtId="164" fontId="103" fillId="0" borderId="0" xfId="0" applyFont="true" applyBorder="true" applyAlignment="true" applyProtection="false">
      <alignment horizontal="right" vertical="bottom" textRotation="0" wrapText="false" indent="0" shrinkToFit="false"/>
      <protection locked="true" hidden="false"/>
    </xf>
    <xf numFmtId="164" fontId="21" fillId="19" borderId="0" xfId="49" applyFont="true" applyBorder="true" applyAlignment="true" applyProtection="true">
      <alignment horizontal="left" vertical="bottom" textRotation="0" wrapText="false" indent="0" shrinkToFit="false"/>
      <protection locked="true" hidden="false"/>
    </xf>
    <xf numFmtId="164" fontId="21" fillId="0" borderId="0" xfId="49" applyFont="true" applyBorder="true" applyAlignment="true" applyProtection="true">
      <alignment horizontal="left" vertical="bottom" textRotation="0" wrapText="false" indent="0" shrinkToFit="false"/>
      <protection locked="true" hidden="false"/>
    </xf>
    <xf numFmtId="164" fontId="17" fillId="0" borderId="0" xfId="0" applyFont="true" applyBorder="true" applyAlignment="true" applyProtection="false">
      <alignment horizontal="left" vertical="center" textRotation="0" wrapText="false" indent="0" shrinkToFit="false"/>
      <protection locked="true" hidden="false"/>
    </xf>
    <xf numFmtId="174" fontId="146" fillId="0" borderId="0" xfId="0" applyFont="true" applyBorder="true" applyAlignment="true" applyProtection="false">
      <alignment horizontal="left" vertical="center" textRotation="0" wrapText="false" indent="0" shrinkToFit="false"/>
      <protection locked="true" hidden="false"/>
    </xf>
    <xf numFmtId="164" fontId="17" fillId="19" borderId="0" xfId="0" applyFont="true" applyBorder="true" applyAlignment="true" applyProtection="false">
      <alignment horizontal="left" vertical="bottom" textRotation="0" wrapText="true" indent="0" shrinkToFit="false"/>
      <protection locked="true" hidden="false"/>
    </xf>
    <xf numFmtId="174" fontId="139" fillId="0" borderId="0" xfId="0" applyFont="true" applyBorder="true" applyAlignment="true" applyProtection="false">
      <alignment horizontal="left" vertical="center" textRotation="0" wrapText="false" indent="0" shrinkToFit="false"/>
      <protection locked="true" hidden="false"/>
    </xf>
    <xf numFmtId="164" fontId="17" fillId="19" borderId="0" xfId="0" applyFont="true" applyBorder="true" applyAlignment="true" applyProtection="false">
      <alignment horizontal="left" vertical="center" textRotation="0" wrapText="false" indent="0" shrinkToFit="false"/>
      <protection locked="true" hidden="false"/>
    </xf>
    <xf numFmtId="164" fontId="17" fillId="0" borderId="0" xfId="0" applyFont="true" applyBorder="true" applyAlignment="true" applyProtection="false">
      <alignment horizontal="right" vertical="center" textRotation="0" wrapText="false" indent="0" shrinkToFit="false"/>
      <protection locked="true" hidden="false"/>
    </xf>
    <xf numFmtId="174" fontId="23" fillId="3" borderId="88" xfId="44" applyFont="true" applyBorder="true" applyAlignment="true" applyProtection="true">
      <alignment horizontal="center" vertical="center" textRotation="0" wrapText="true" indent="0" shrinkToFit="false"/>
      <protection locked="true" hidden="false"/>
    </xf>
    <xf numFmtId="164" fontId="17" fillId="19" borderId="0" xfId="0" applyFont="true" applyBorder="true" applyAlignment="true" applyProtection="false">
      <alignment horizontal="left" vertical="bottom" textRotation="0" wrapText="false" indent="0" shrinkToFit="false"/>
      <protection locked="true" hidden="false"/>
    </xf>
    <xf numFmtId="164" fontId="17" fillId="19" borderId="0" xfId="0" applyFont="true" applyBorder="tru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20" fillId="19" borderId="88" xfId="0" applyFont="true" applyBorder="true" applyAlignment="true" applyProtection="false">
      <alignment horizontal="general" vertical="bottom" textRotation="0" wrapText="false" indent="0" shrinkToFit="false"/>
      <protection locked="true" hidden="false"/>
    </xf>
    <xf numFmtId="164" fontId="18" fillId="20" borderId="17" xfId="51" applyFont="true" applyBorder="true" applyAlignment="true" applyProtection="true">
      <alignment horizontal="center" vertical="bottom" textRotation="0" wrapText="false" indent="0" shrinkToFit="false"/>
      <protection locked="true" hidden="false"/>
    </xf>
    <xf numFmtId="164" fontId="69" fillId="0" borderId="0" xfId="0" applyFont="true" applyBorder="true" applyAlignment="true" applyProtection="false">
      <alignment horizontal="right" vertical="center" textRotation="0" wrapText="false" indent="0" shrinkToFit="false"/>
      <protection locked="true" hidden="false"/>
    </xf>
    <xf numFmtId="164" fontId="23" fillId="19" borderId="175" xfId="49" applyFont="true" applyBorder="true" applyAlignment="true" applyProtection="true">
      <alignment horizontal="center" vertical="center" textRotation="0" wrapText="true" indent="0" shrinkToFit="false"/>
      <protection locked="true" hidden="false"/>
    </xf>
    <xf numFmtId="164" fontId="23" fillId="19" borderId="116" xfId="49" applyFont="true" applyBorder="true" applyAlignment="true" applyProtection="true">
      <alignment horizontal="center" vertical="center" textRotation="0" wrapText="true" indent="0" shrinkToFit="false"/>
      <protection locked="true" hidden="false"/>
    </xf>
    <xf numFmtId="164" fontId="23" fillId="19" borderId="84" xfId="49" applyFont="true" applyBorder="true" applyAlignment="true" applyProtection="true">
      <alignment horizontal="center" vertical="center" textRotation="0" wrapText="true" indent="0" shrinkToFit="false"/>
      <protection locked="true" hidden="false"/>
    </xf>
    <xf numFmtId="164" fontId="23" fillId="19" borderId="85" xfId="49" applyFont="true" applyBorder="true" applyAlignment="true" applyProtection="true">
      <alignment horizontal="center" vertical="center" textRotation="0" wrapText="true" indent="0" shrinkToFit="false"/>
      <protection locked="true" hidden="false"/>
    </xf>
    <xf numFmtId="164" fontId="23" fillId="19" borderId="86" xfId="49" applyFont="true" applyBorder="true" applyAlignment="true" applyProtection="true">
      <alignment horizontal="center" vertical="center" textRotation="0" wrapText="true" indent="0" shrinkToFit="false"/>
      <protection locked="true" hidden="false"/>
    </xf>
    <xf numFmtId="164" fontId="8" fillId="17" borderId="18" xfId="41" applyFont="true" applyBorder="true" applyAlignment="true" applyProtection="true">
      <alignment horizontal="left" vertical="bottom" textRotation="0" wrapText="false" indent="0" shrinkToFit="false"/>
      <protection locked="true" hidden="false"/>
    </xf>
    <xf numFmtId="164" fontId="17" fillId="19" borderId="51" xfId="0" applyFont="true" applyBorder="true" applyAlignment="false" applyProtection="false">
      <alignment horizontal="general" vertical="bottom" textRotation="0" wrapText="false" indent="0" shrinkToFit="false"/>
      <protection locked="true" hidden="false"/>
    </xf>
    <xf numFmtId="164" fontId="17" fillId="19" borderId="79" xfId="0" applyFont="true" applyBorder="true" applyAlignment="false" applyProtection="false">
      <alignment horizontal="general" vertical="bottom" textRotation="0" wrapText="false" indent="0" shrinkToFit="false"/>
      <protection locked="true" hidden="false"/>
    </xf>
    <xf numFmtId="164" fontId="17" fillId="19" borderId="176" xfId="0" applyFont="true" applyBorder="true" applyAlignment="false" applyProtection="false">
      <alignment horizontal="general" vertical="bottom" textRotation="0" wrapText="false" indent="0" shrinkToFit="false"/>
      <protection locked="true" hidden="false"/>
    </xf>
    <xf numFmtId="174" fontId="23" fillId="3" borderId="74" xfId="44" applyFont="true" applyBorder="true" applyAlignment="true" applyProtection="true">
      <alignment horizontal="general" vertical="bottom" textRotation="0" wrapText="false" indent="0" shrinkToFit="false"/>
      <protection locked="true" hidden="false"/>
    </xf>
    <xf numFmtId="164" fontId="52" fillId="17" borderId="117" xfId="41" applyFont="true" applyBorder="true" applyAlignment="true" applyProtection="true">
      <alignment horizontal="left" vertical="top" textRotation="0" wrapText="true" indent="0" shrinkToFit="false"/>
      <protection locked="true" hidden="false"/>
    </xf>
    <xf numFmtId="164" fontId="52" fillId="17" borderId="80" xfId="41" applyFont="true" applyBorder="true" applyAlignment="true" applyProtection="true">
      <alignment horizontal="general" vertical="top" textRotation="0" wrapText="true" indent="0" shrinkToFit="false"/>
      <protection locked="true" hidden="false"/>
    </xf>
    <xf numFmtId="164" fontId="52" fillId="17" borderId="26" xfId="41" applyFont="true" applyBorder="true" applyAlignment="true" applyProtection="true">
      <alignment horizontal="general" vertical="top" textRotation="0" wrapText="true" indent="0" shrinkToFit="false"/>
      <protection locked="true" hidden="false"/>
    </xf>
    <xf numFmtId="164" fontId="52" fillId="17" borderId="37" xfId="41" applyFont="true" applyBorder="true" applyAlignment="true" applyProtection="true">
      <alignment horizontal="general" vertical="top" textRotation="0" wrapText="true" indent="0" shrinkToFit="false"/>
      <protection locked="true" hidden="false"/>
    </xf>
    <xf numFmtId="164" fontId="52" fillId="17" borderId="71" xfId="41" applyFont="true" applyBorder="true" applyAlignment="true" applyProtection="true">
      <alignment horizontal="general" vertical="top" textRotation="0" wrapText="true" indent="0" shrinkToFit="false"/>
      <protection locked="true" hidden="false"/>
    </xf>
    <xf numFmtId="164" fontId="8" fillId="17" borderId="117" xfId="41" applyFont="true" applyBorder="true" applyAlignment="true" applyProtection="true">
      <alignment horizontal="left" vertical="bottom" textRotation="0" wrapText="false" indent="0" shrinkToFit="false"/>
      <protection locked="true" hidden="false"/>
    </xf>
    <xf numFmtId="164" fontId="17" fillId="19" borderId="80" xfId="0" applyFont="true" applyBorder="true" applyAlignment="false" applyProtection="false">
      <alignment horizontal="general" vertical="bottom" textRotation="0" wrapText="false" indent="0" shrinkToFit="false"/>
      <protection locked="true" hidden="false"/>
    </xf>
    <xf numFmtId="164" fontId="17" fillId="19" borderId="26" xfId="0" applyFont="true" applyBorder="true" applyAlignment="false" applyProtection="false">
      <alignment horizontal="general" vertical="bottom" textRotation="0" wrapText="false" indent="0" shrinkToFit="false"/>
      <protection locked="true" hidden="false"/>
    </xf>
    <xf numFmtId="164" fontId="17" fillId="19" borderId="37" xfId="0" applyFont="true" applyBorder="true" applyAlignment="false" applyProtection="false">
      <alignment horizontal="general" vertical="bottom" textRotation="0" wrapText="false" indent="0" shrinkToFit="false"/>
      <protection locked="true" hidden="false"/>
    </xf>
    <xf numFmtId="174" fontId="23" fillId="3" borderId="71" xfId="44" applyFont="true" applyBorder="true" applyAlignment="true" applyProtection="true">
      <alignment horizontal="general" vertical="bottom" textRotation="0" wrapText="false" indent="0" shrinkToFit="false"/>
      <protection locked="true" hidden="false"/>
    </xf>
    <xf numFmtId="164" fontId="52" fillId="17" borderId="80" xfId="41" applyFont="true" applyBorder="true" applyAlignment="true" applyProtection="true">
      <alignment horizontal="left" vertical="top" textRotation="0" wrapText="true" indent="0" shrinkToFit="false"/>
      <protection locked="true" hidden="false"/>
    </xf>
    <xf numFmtId="164" fontId="52" fillId="17" borderId="26" xfId="41" applyFont="true" applyBorder="true" applyAlignment="true" applyProtection="true">
      <alignment horizontal="left" vertical="top" textRotation="0" wrapText="true" indent="0" shrinkToFit="false"/>
      <protection locked="true" hidden="false"/>
    </xf>
    <xf numFmtId="164" fontId="52" fillId="17" borderId="37" xfId="41" applyFont="true" applyBorder="true" applyAlignment="true" applyProtection="true">
      <alignment horizontal="left" vertical="top" textRotation="0" wrapText="true" indent="0" shrinkToFit="false"/>
      <protection locked="true" hidden="false"/>
    </xf>
    <xf numFmtId="164" fontId="52" fillId="17" borderId="71" xfId="41" applyFont="true" applyBorder="true" applyAlignment="true" applyProtection="true">
      <alignment horizontal="left" vertical="top" textRotation="0" wrapText="true" indent="0" shrinkToFit="false"/>
      <protection locked="true" hidden="false"/>
    </xf>
    <xf numFmtId="164" fontId="52" fillId="0" borderId="21" xfId="41" applyFont="true" applyBorder="true" applyAlignment="true" applyProtection="true">
      <alignment horizontal="left" vertical="top" textRotation="0" wrapText="true" indent="0" shrinkToFit="false"/>
      <protection locked="true" hidden="false"/>
    </xf>
    <xf numFmtId="164" fontId="52" fillId="0" borderId="0" xfId="41" applyFont="true" applyBorder="true" applyAlignment="true" applyProtection="true">
      <alignment horizontal="left" vertical="top" textRotation="0" wrapText="true" indent="0" shrinkToFit="false"/>
      <protection locked="true" hidden="false"/>
    </xf>
    <xf numFmtId="164" fontId="52" fillId="0" borderId="80" xfId="41" applyFont="true" applyBorder="true" applyAlignment="true" applyProtection="true">
      <alignment horizontal="left" vertical="top" textRotation="0" wrapText="true" indent="0" shrinkToFit="false"/>
      <protection locked="true" hidden="false"/>
    </xf>
    <xf numFmtId="164" fontId="69" fillId="0" borderId="26" xfId="0" applyFont="true" applyBorder="true" applyAlignment="false" applyProtection="false">
      <alignment horizontal="general" vertical="bottom" textRotation="0" wrapText="false" indent="0" shrinkToFit="false"/>
      <protection locked="true" hidden="false"/>
    </xf>
    <xf numFmtId="164" fontId="69" fillId="0" borderId="37" xfId="0" applyFont="true" applyBorder="true" applyAlignment="true" applyProtection="false">
      <alignment horizontal="right" vertical="center" textRotation="0" wrapText="false" indent="0" shrinkToFit="false"/>
      <protection locked="true" hidden="false"/>
    </xf>
    <xf numFmtId="164" fontId="17" fillId="0" borderId="71" xfId="0" applyFont="true" applyBorder="true" applyAlignment="false" applyProtection="false">
      <alignment horizontal="general" vertical="bottom" textRotation="0" wrapText="false" indent="0" shrinkToFit="false"/>
      <protection locked="true" hidden="false"/>
    </xf>
    <xf numFmtId="164" fontId="69" fillId="0" borderId="21" xfId="0" applyFont="true" applyBorder="true" applyAlignment="false" applyProtection="false">
      <alignment horizontal="general" vertical="bottom" textRotation="0" wrapText="false" indent="0" shrinkToFit="false"/>
      <protection locked="true" hidden="false"/>
    </xf>
    <xf numFmtId="164" fontId="69" fillId="0" borderId="80" xfId="0" applyFont="true" applyBorder="true" applyAlignment="false" applyProtection="false">
      <alignment horizontal="general" vertical="bottom" textRotation="0" wrapText="false" indent="0" shrinkToFit="false"/>
      <protection locked="true" hidden="false"/>
    </xf>
    <xf numFmtId="164" fontId="52" fillId="17" borderId="177" xfId="41" applyFont="true" applyBorder="true" applyAlignment="true" applyProtection="true">
      <alignment horizontal="left" vertical="top" textRotation="0" wrapText="true" indent="0" shrinkToFit="false"/>
      <protection locked="true" hidden="false"/>
    </xf>
    <xf numFmtId="164" fontId="52" fillId="17" borderId="84" xfId="41" applyFont="true" applyBorder="true" applyAlignment="true" applyProtection="true">
      <alignment horizontal="left" vertical="top" textRotation="0" wrapText="true" indent="0" shrinkToFit="false"/>
      <protection locked="true" hidden="false"/>
    </xf>
    <xf numFmtId="164" fontId="52" fillId="17" borderId="85" xfId="41" applyFont="true" applyBorder="true" applyAlignment="true" applyProtection="true">
      <alignment horizontal="left" vertical="top" textRotation="0" wrapText="true" indent="0" shrinkToFit="false"/>
      <protection locked="true" hidden="false"/>
    </xf>
    <xf numFmtId="164" fontId="52" fillId="17" borderId="86" xfId="41" applyFont="true" applyBorder="true" applyAlignment="true" applyProtection="true">
      <alignment horizontal="left" vertical="top" textRotation="0" wrapText="true" indent="0" shrinkToFit="false"/>
      <protection locked="true" hidden="false"/>
    </xf>
    <xf numFmtId="164" fontId="52" fillId="17" borderId="72" xfId="41" applyFont="true" applyBorder="true" applyAlignment="true" applyProtection="true">
      <alignment horizontal="left" vertical="top" textRotation="0" wrapText="true" indent="0" shrinkToFit="false"/>
      <protection locked="true" hidden="false"/>
    </xf>
    <xf numFmtId="164" fontId="69" fillId="0" borderId="23" xfId="0" applyFont="true" applyBorder="true" applyAlignment="false" applyProtection="false">
      <alignment horizontal="general" vertical="bottom" textRotation="0" wrapText="false" indent="0" shrinkToFit="false"/>
      <protection locked="true" hidden="false"/>
    </xf>
    <xf numFmtId="164" fontId="69" fillId="0" borderId="24" xfId="0" applyFont="true" applyBorder="true" applyAlignment="false" applyProtection="false">
      <alignment horizontal="general" vertical="bottom" textRotation="0" wrapText="false" indent="0" shrinkToFit="false"/>
      <protection locked="true" hidden="false"/>
    </xf>
    <xf numFmtId="164" fontId="69" fillId="0" borderId="178" xfId="0" applyFont="true" applyBorder="true" applyAlignment="false" applyProtection="false">
      <alignment horizontal="general" vertical="bottom" textRotation="0" wrapText="false" indent="0" shrinkToFit="false"/>
      <protection locked="true" hidden="false"/>
    </xf>
    <xf numFmtId="164" fontId="69" fillId="0" borderId="179" xfId="0" applyFont="true" applyBorder="true" applyAlignment="false" applyProtection="false">
      <alignment horizontal="general" vertical="bottom" textRotation="0" wrapText="false" indent="0" shrinkToFit="false"/>
      <protection locked="true" hidden="false"/>
    </xf>
    <xf numFmtId="164" fontId="69" fillId="0" borderId="180" xfId="0" applyFont="true" applyBorder="true" applyAlignment="true" applyProtection="false">
      <alignment horizontal="right" vertical="center" textRotation="0" wrapText="false" indent="0" shrinkToFit="false"/>
      <protection locked="true" hidden="false"/>
    </xf>
    <xf numFmtId="164" fontId="17" fillId="0" borderId="75" xfId="0" applyFont="true" applyBorder="true" applyAlignment="false" applyProtection="false">
      <alignment horizontal="general" vertical="bottom" textRotation="0" wrapText="false" indent="0" shrinkToFit="false"/>
      <protection locked="true" hidden="false"/>
    </xf>
    <xf numFmtId="164" fontId="8" fillId="17" borderId="21" xfId="41" applyFont="true" applyBorder="true" applyAlignment="true" applyProtection="true">
      <alignment horizontal="left" vertical="bottom" textRotation="0" wrapText="false" indent="0" shrinkToFit="false"/>
      <protection locked="true" hidden="false"/>
    </xf>
    <xf numFmtId="174" fontId="23" fillId="3" borderId="181" xfId="44" applyFont="true" applyBorder="true" applyAlignment="true" applyProtection="true">
      <alignment horizontal="general" vertical="bottom" textRotation="0" wrapText="false" indent="0" shrinkToFit="false"/>
      <protection locked="true" hidden="false"/>
    </xf>
    <xf numFmtId="174" fontId="23" fillId="3" borderId="122" xfId="44" applyFont="true" applyBorder="true" applyAlignment="true" applyProtection="true">
      <alignment horizontal="general" vertical="bottom" textRotation="0" wrapText="false" indent="0" shrinkToFit="false"/>
      <protection locked="true" hidden="false"/>
    </xf>
    <xf numFmtId="164" fontId="147" fillId="17" borderId="116" xfId="41" applyFont="true" applyBorder="true" applyAlignment="true" applyProtection="true">
      <alignment horizontal="left" vertical="top" textRotation="0" wrapText="true" indent="0" shrinkToFit="false"/>
      <protection locked="true" hidden="false"/>
    </xf>
    <xf numFmtId="164" fontId="52" fillId="17" borderId="51" xfId="41" applyFont="true" applyBorder="true" applyAlignment="true" applyProtection="true">
      <alignment horizontal="left" vertical="top" textRotation="0" wrapText="true" indent="0" shrinkToFit="false"/>
      <protection locked="true" hidden="false"/>
    </xf>
    <xf numFmtId="164" fontId="52" fillId="17" borderId="79" xfId="41" applyFont="true" applyBorder="true" applyAlignment="true" applyProtection="true">
      <alignment horizontal="left" vertical="top" textRotation="0" wrapText="true" indent="0" shrinkToFit="false"/>
      <protection locked="true" hidden="false"/>
    </xf>
    <xf numFmtId="164" fontId="52" fillId="17" borderId="176" xfId="41" applyFont="true" applyBorder="true" applyAlignment="true" applyProtection="true">
      <alignment horizontal="left" vertical="top" textRotation="0" wrapText="true" indent="0" shrinkToFit="false"/>
      <protection locked="true" hidden="false"/>
    </xf>
    <xf numFmtId="164" fontId="52" fillId="17" borderId="74" xfId="41" applyFont="true" applyBorder="true" applyAlignment="true" applyProtection="true">
      <alignment horizontal="left" vertical="top" textRotation="0" wrapText="true" indent="0" shrinkToFit="false"/>
      <protection locked="true" hidden="false"/>
    </xf>
    <xf numFmtId="174" fontId="23" fillId="3" borderId="80" xfId="44" applyFont="true" applyBorder="true" applyAlignment="true" applyProtection="true">
      <alignment horizontal="general" vertical="bottom" textRotation="0" wrapText="false" indent="0" shrinkToFit="false"/>
      <protection locked="true" hidden="false"/>
    </xf>
    <xf numFmtId="164" fontId="147" fillId="17" borderId="177" xfId="41" applyFont="true" applyBorder="true" applyAlignment="true" applyProtection="true">
      <alignment horizontal="left" vertical="top" textRotation="0" wrapText="true" indent="0" shrinkToFit="false"/>
      <protection locked="true" hidden="false"/>
    </xf>
    <xf numFmtId="164" fontId="69" fillId="0" borderId="181" xfId="0" applyFont="true" applyBorder="true" applyAlignment="false" applyProtection="false">
      <alignment horizontal="general" vertical="bottom" textRotation="0" wrapText="false" indent="0" shrinkToFit="false"/>
      <protection locked="true" hidden="false"/>
    </xf>
    <xf numFmtId="164" fontId="69" fillId="0" borderId="38" xfId="0" applyFont="true" applyBorder="true" applyAlignment="false" applyProtection="false">
      <alignment horizontal="general" vertical="bottom" textRotation="0" wrapText="false" indent="0" shrinkToFit="false"/>
      <protection locked="true" hidden="false"/>
    </xf>
    <xf numFmtId="164" fontId="69" fillId="0" borderId="32" xfId="0" applyFont="true" applyBorder="true" applyAlignment="true" applyProtection="false">
      <alignment horizontal="right" vertical="center" textRotation="0" wrapText="false" indent="0" shrinkToFit="false"/>
      <protection locked="true" hidden="false"/>
    </xf>
    <xf numFmtId="164" fontId="17" fillId="0" borderId="122" xfId="0" applyFont="true" applyBorder="true" applyAlignment="false" applyProtection="false">
      <alignment horizontal="general" vertical="bottom" textRotation="0" wrapText="false" indent="0" shrinkToFit="false"/>
      <protection locked="true" hidden="false"/>
    </xf>
    <xf numFmtId="164" fontId="8" fillId="17" borderId="116" xfId="41" applyFont="true" applyBorder="true" applyAlignment="true" applyProtection="true">
      <alignment horizontal="left" vertical="bottom" textRotation="0" wrapText="false" indent="0" shrinkToFit="false"/>
      <protection locked="true" hidden="false"/>
    </xf>
    <xf numFmtId="164" fontId="8" fillId="17" borderId="182" xfId="41" applyFont="true" applyBorder="true" applyAlignment="true" applyProtection="true">
      <alignment horizontal="left" vertical="center" textRotation="0" wrapText="true" indent="0" shrinkToFit="false"/>
      <protection locked="true" hidden="false"/>
    </xf>
    <xf numFmtId="164" fontId="17" fillId="19" borderId="76" xfId="0" applyFont="true" applyBorder="true" applyAlignment="false" applyProtection="false">
      <alignment horizontal="general" vertical="bottom" textRotation="0" wrapText="false" indent="0" shrinkToFit="false"/>
      <protection locked="true" hidden="false"/>
    </xf>
    <xf numFmtId="164" fontId="17" fillId="19" borderId="40" xfId="0" applyFont="true" applyBorder="true" applyAlignment="false" applyProtection="false">
      <alignment horizontal="general" vertical="bottom" textRotation="0" wrapText="false" indent="0" shrinkToFit="false"/>
      <protection locked="true" hidden="false"/>
    </xf>
    <xf numFmtId="164" fontId="17" fillId="19" borderId="34" xfId="0" applyFont="true" applyBorder="true" applyAlignment="false" applyProtection="false">
      <alignment horizontal="general" vertical="bottom" textRotation="0" wrapText="false" indent="0" shrinkToFit="false"/>
      <protection locked="true" hidden="false"/>
    </xf>
    <xf numFmtId="174" fontId="23" fillId="3" borderId="67" xfId="44" applyFont="true" applyBorder="true" applyAlignment="true" applyProtection="true">
      <alignment horizontal="general" vertical="bottom" textRotation="0" wrapText="false" indent="0" shrinkToFit="false"/>
      <protection locked="true" hidden="false"/>
    </xf>
    <xf numFmtId="164" fontId="52" fillId="17" borderId="183" xfId="41" applyFont="true" applyBorder="true" applyAlignment="true" applyProtection="true">
      <alignment horizontal="left" vertical="top" textRotation="0" wrapText="true" indent="0" shrinkToFit="false"/>
      <protection locked="true" hidden="false"/>
    </xf>
    <xf numFmtId="164" fontId="52" fillId="17" borderId="77" xfId="41" applyFont="true" applyBorder="true" applyAlignment="true" applyProtection="true">
      <alignment horizontal="left" vertical="top" textRotation="0" wrapText="true" indent="0" shrinkToFit="false"/>
      <protection locked="true" hidden="false"/>
    </xf>
    <xf numFmtId="164" fontId="52" fillId="17" borderId="36" xfId="41" applyFont="true" applyBorder="true" applyAlignment="true" applyProtection="true">
      <alignment horizontal="left" vertical="top" textRotation="0" wrapText="true" indent="0" shrinkToFit="false"/>
      <protection locked="true" hidden="false"/>
    </xf>
    <xf numFmtId="164" fontId="52" fillId="17" borderId="27" xfId="41" applyFont="true" applyBorder="true" applyAlignment="true" applyProtection="true">
      <alignment horizontal="left" vertical="top" textRotation="0" wrapText="true" indent="0" shrinkToFit="false"/>
      <protection locked="true" hidden="false"/>
    </xf>
    <xf numFmtId="164" fontId="52" fillId="17" borderId="73" xfId="41" applyFont="true" applyBorder="true" applyAlignment="true" applyProtection="true">
      <alignment horizontal="left" vertical="top" textRotation="0" wrapText="true" indent="0" shrinkToFit="false"/>
      <protection locked="true" hidden="false"/>
    </xf>
    <xf numFmtId="164" fontId="8" fillId="17" borderId="116" xfId="41" applyFont="true" applyBorder="true" applyAlignment="true" applyProtection="true">
      <alignment horizontal="left" vertical="center" textRotation="0" wrapText="true" indent="0" shrinkToFit="false"/>
      <protection locked="true" hidden="false"/>
    </xf>
    <xf numFmtId="164" fontId="8" fillId="17" borderId="117" xfId="41" applyFont="true" applyBorder="true" applyAlignment="true" applyProtection="true">
      <alignment horizontal="left" vertical="center" textRotation="0" wrapText="true" indent="0" shrinkToFit="false"/>
      <protection locked="true" hidden="false"/>
    </xf>
    <xf numFmtId="164" fontId="8" fillId="17" borderId="23" xfId="41" applyFont="true" applyBorder="true" applyAlignment="true" applyProtection="true">
      <alignment horizontal="left" vertical="center" textRotation="0" wrapText="true" indent="0" shrinkToFit="false"/>
      <protection locked="true" hidden="false"/>
    </xf>
    <xf numFmtId="174" fontId="23" fillId="3" borderId="68" xfId="44" applyFont="true" applyBorder="true" applyAlignment="true" applyProtection="true">
      <alignment horizontal="general" vertical="bottom" textRotation="0" wrapText="false" indent="0" shrinkToFit="false"/>
      <protection locked="true" hidden="false"/>
    </xf>
    <xf numFmtId="174" fontId="23" fillId="3" borderId="64" xfId="44" applyFont="true" applyBorder="true" applyAlignment="true" applyProtection="true">
      <alignment horizontal="general" vertical="bottom" textRotation="0" wrapText="false" indent="0" shrinkToFit="false"/>
      <protection locked="true" hidden="false"/>
    </xf>
    <xf numFmtId="164" fontId="69" fillId="0" borderId="32" xfId="0" applyFont="true" applyBorder="true" applyAlignment="false" applyProtection="false">
      <alignment horizontal="general" vertical="bottom" textRotation="0" wrapText="false" indent="0" shrinkToFit="false"/>
      <protection locked="true" hidden="false"/>
    </xf>
    <xf numFmtId="164" fontId="8" fillId="17" borderId="182" xfId="41" applyFont="true" applyBorder="true" applyAlignment="true" applyProtection="true">
      <alignment horizontal="left" vertical="center" textRotation="0" wrapText="false" indent="0" shrinkToFit="false"/>
      <protection locked="true" hidden="false"/>
    </xf>
    <xf numFmtId="164" fontId="8" fillId="17" borderId="175" xfId="41" applyFont="true" applyBorder="true" applyAlignment="true" applyProtection="true">
      <alignment horizontal="left" vertical="center" textRotation="0" wrapText="false" indent="0" shrinkToFit="false"/>
      <protection locked="true" hidden="false"/>
    </xf>
    <xf numFmtId="164" fontId="17" fillId="19" borderId="68" xfId="0" applyFont="true" applyBorder="true" applyAlignment="false" applyProtection="false">
      <alignment horizontal="general" vertical="bottom" textRotation="0" wrapText="false" indent="0" shrinkToFit="false"/>
      <protection locked="true" hidden="false"/>
    </xf>
    <xf numFmtId="164" fontId="17" fillId="19" borderId="69" xfId="0" applyFont="true" applyBorder="true" applyAlignment="false" applyProtection="false">
      <alignment horizontal="general" vertical="bottom" textRotation="0" wrapText="false" indent="0" shrinkToFit="false"/>
      <protection locked="true" hidden="false"/>
    </xf>
    <xf numFmtId="164" fontId="17" fillId="19" borderId="184" xfId="0" applyFont="true" applyBorder="true" applyAlignment="false" applyProtection="false">
      <alignment horizontal="general" vertical="bottom" textRotation="0" wrapText="false" indent="0" shrinkToFit="false"/>
      <protection locked="true" hidden="false"/>
    </xf>
    <xf numFmtId="164" fontId="23" fillId="19" borderId="18" xfId="49" applyFont="true" applyBorder="true" applyAlignment="true" applyProtection="true">
      <alignment horizontal="center" vertical="center" textRotation="0" wrapText="true" indent="0" shrinkToFit="false"/>
      <protection locked="true" hidden="false"/>
    </xf>
    <xf numFmtId="164" fontId="23" fillId="19" borderId="65" xfId="49" applyFont="true" applyBorder="true" applyAlignment="true" applyProtection="true">
      <alignment horizontal="center" vertical="center" textRotation="0" wrapText="true" indent="0" shrinkToFit="false"/>
      <protection locked="true" hidden="false"/>
    </xf>
    <xf numFmtId="164" fontId="23" fillId="19" borderId="77" xfId="49" applyFont="true" applyBorder="true" applyAlignment="true" applyProtection="true">
      <alignment horizontal="center" vertical="center" textRotation="0" wrapText="true" indent="0" shrinkToFit="false"/>
      <protection locked="true" hidden="false"/>
    </xf>
    <xf numFmtId="164" fontId="23" fillId="19" borderId="36" xfId="49" applyFont="true" applyBorder="true" applyAlignment="true" applyProtection="true">
      <alignment horizontal="center" vertical="center" textRotation="0" wrapText="true" indent="0" shrinkToFit="false"/>
      <protection locked="true" hidden="false"/>
    </xf>
    <xf numFmtId="164" fontId="23" fillId="19" borderId="27" xfId="49" applyFont="true" applyBorder="true" applyAlignment="true" applyProtection="true">
      <alignment horizontal="center" vertical="center" textRotation="0" wrapText="true" indent="0" shrinkToFit="false"/>
      <protection locked="true" hidden="false"/>
    </xf>
    <xf numFmtId="164" fontId="8" fillId="17" borderId="185" xfId="41" applyFont="true" applyBorder="true" applyAlignment="true" applyProtection="true">
      <alignment horizontal="left" vertical="bottom" textRotation="0" wrapText="true" indent="0" shrinkToFit="false"/>
      <protection locked="true" hidden="false"/>
    </xf>
    <xf numFmtId="164" fontId="8" fillId="17" borderId="182" xfId="41" applyFont="true" applyBorder="true" applyAlignment="true" applyProtection="true">
      <alignment horizontal="left" vertical="bottom" textRotation="0" wrapText="false" indent="0" shrinkToFit="false"/>
      <protection locked="true" hidden="false"/>
    </xf>
    <xf numFmtId="164" fontId="8" fillId="17" borderId="175" xfId="41" applyFont="true" applyBorder="true" applyAlignment="true" applyProtection="true">
      <alignment horizontal="left" vertical="center" textRotation="0" wrapText="true" indent="0" shrinkToFit="false"/>
      <protection locked="true" hidden="false"/>
    </xf>
    <xf numFmtId="164" fontId="8" fillId="0" borderId="21" xfId="41" applyFont="true" applyBorder="true" applyAlignment="true" applyProtection="true">
      <alignment horizontal="left" vertical="center" textRotation="0" wrapText="true" indent="0" shrinkToFit="false"/>
      <protection locked="true" hidden="false"/>
    </xf>
    <xf numFmtId="164" fontId="8" fillId="0" borderId="0" xfId="41" applyFont="true" applyBorder="true" applyAlignment="true" applyProtection="true">
      <alignment horizontal="left" vertical="center" textRotation="0" wrapText="true" indent="0" shrinkToFit="false"/>
      <protection locked="true" hidden="false"/>
    </xf>
    <xf numFmtId="164" fontId="17" fillId="0" borderId="181" xfId="0" applyFont="true" applyBorder="true" applyAlignment="false" applyProtection="false">
      <alignment horizontal="general" vertical="bottom" textRotation="0" wrapText="false" indent="0" shrinkToFit="false"/>
      <protection locked="true" hidden="false"/>
    </xf>
    <xf numFmtId="164" fontId="17" fillId="0" borderId="38" xfId="0" applyFont="true" applyBorder="true" applyAlignment="false" applyProtection="false">
      <alignment horizontal="general" vertical="bottom" textRotation="0" wrapText="false" indent="0" shrinkToFit="false"/>
      <protection locked="true" hidden="false"/>
    </xf>
    <xf numFmtId="164" fontId="17" fillId="0" borderId="32" xfId="0" applyFont="true" applyBorder="true" applyAlignment="false" applyProtection="false">
      <alignment horizontal="general" vertical="bottom" textRotation="0" wrapText="false" indent="0" shrinkToFit="false"/>
      <protection locked="true" hidden="false"/>
    </xf>
    <xf numFmtId="164" fontId="8" fillId="17" borderId="177" xfId="41" applyFont="true" applyBorder="true" applyAlignment="true" applyProtection="true">
      <alignment horizontal="left" vertical="center" textRotation="0" wrapText="true" indent="0" shrinkToFit="false"/>
      <protection locked="true" hidden="false"/>
    </xf>
    <xf numFmtId="164" fontId="17" fillId="19" borderId="84" xfId="0" applyFont="true" applyBorder="true" applyAlignment="false" applyProtection="false">
      <alignment horizontal="general" vertical="bottom" textRotation="0" wrapText="false" indent="0" shrinkToFit="false"/>
      <protection locked="true" hidden="false"/>
    </xf>
    <xf numFmtId="164" fontId="17" fillId="19" borderId="85" xfId="0" applyFont="true" applyBorder="true" applyAlignment="false" applyProtection="false">
      <alignment horizontal="general" vertical="bottom" textRotation="0" wrapText="false" indent="0" shrinkToFit="false"/>
      <protection locked="true" hidden="false"/>
    </xf>
    <xf numFmtId="164" fontId="17" fillId="19" borderId="86" xfId="0" applyFont="true" applyBorder="true" applyAlignment="false" applyProtection="false">
      <alignment horizontal="general" vertical="bottom" textRotation="0" wrapText="false" indent="0" shrinkToFit="false"/>
      <protection locked="true" hidden="false"/>
    </xf>
    <xf numFmtId="174" fontId="23" fillId="3" borderId="72" xfId="44" applyFont="true" applyBorder="true" applyAlignment="true" applyProtection="true">
      <alignment horizontal="general" vertical="bottom" textRotation="0" wrapText="false" indent="0" shrinkToFit="false"/>
      <protection locked="true" hidden="false"/>
    </xf>
    <xf numFmtId="174" fontId="23" fillId="3" borderId="76" xfId="44" applyFont="true" applyBorder="true" applyAlignment="true" applyProtection="true">
      <alignment horizontal="general" vertical="bottom" textRotation="0" wrapText="false" indent="0" shrinkToFit="false"/>
      <protection locked="true" hidden="false"/>
    </xf>
    <xf numFmtId="174" fontId="23" fillId="3" borderId="182" xfId="44" applyFont="true" applyBorder="true" applyAlignment="true" applyProtection="true">
      <alignment horizontal="general" vertical="bottom" textRotation="0" wrapText="false" indent="0" shrinkToFit="false"/>
      <protection locked="true" hidden="false"/>
    </xf>
    <xf numFmtId="164" fontId="103" fillId="0" borderId="0" xfId="0" applyFont="true" applyBorder="false" applyAlignment="true" applyProtection="false">
      <alignment horizontal="left" vertical="bottom" textRotation="0" wrapText="false" indent="0" shrinkToFit="false"/>
      <protection locked="true" hidden="false"/>
    </xf>
    <xf numFmtId="174" fontId="23" fillId="3" borderId="0" xfId="44" applyFont="true" applyBorder="true" applyAlignment="true" applyProtection="true">
      <alignment horizontal="left" vertical="bottom" textRotation="0" wrapText="false" indent="0" shrinkToFit="false"/>
      <protection locked="true" hidden="false"/>
    </xf>
    <xf numFmtId="172" fontId="17" fillId="19" borderId="0" xfId="17" applyFont="true" applyBorder="tru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false">
      <alignment horizontal="left" vertical="bottom" textRotation="0" wrapText="false" indent="0" shrinkToFit="false"/>
      <protection locked="true" hidden="false"/>
    </xf>
    <xf numFmtId="164" fontId="21" fillId="0" borderId="0" xfId="0" applyFont="true" applyBorder="true" applyAlignment="true" applyProtection="false">
      <alignment horizontal="left" vertical="center" textRotation="0" wrapText="true" indent="0" shrinkToFit="false"/>
      <protection locked="true" hidden="false"/>
    </xf>
    <xf numFmtId="169" fontId="23" fillId="3" borderId="88" xfId="44" applyFont="true" applyBorder="true" applyAlignment="true" applyProtection="true">
      <alignment horizontal="general" vertical="bottom" textRotation="0" wrapText="false" indent="0" shrinkToFit="false"/>
      <protection locked="true" hidden="false"/>
    </xf>
    <xf numFmtId="164" fontId="148" fillId="0" borderId="0" xfId="0" applyFont="true" applyBorder="false" applyAlignment="true" applyProtection="false">
      <alignment horizontal="left" vertical="center" textRotation="0" wrapText="false" indent="4" shrinkToFit="false"/>
      <protection locked="true" hidden="false"/>
    </xf>
    <xf numFmtId="164" fontId="21" fillId="0" borderId="0" xfId="0" applyFont="true" applyBorder="true" applyAlignment="true" applyProtection="false">
      <alignment horizontal="general" vertical="center" textRotation="0" wrapText="true" indent="0" shrinkToFit="false"/>
      <protection locked="true" hidden="false"/>
    </xf>
    <xf numFmtId="181" fontId="21" fillId="0" borderId="0" xfId="0" applyFont="true" applyBorder="true" applyAlignment="true" applyProtection="false">
      <alignment horizontal="general" vertical="center" textRotation="0" wrapText="false" indent="0" shrinkToFit="false"/>
      <protection locked="true" hidden="false"/>
    </xf>
    <xf numFmtId="164" fontId="149" fillId="19" borderId="91" xfId="49" applyFont="true" applyBorder="true" applyAlignment="true" applyProtection="true">
      <alignment horizontal="center" vertical="center" textRotation="0" wrapText="true" indent="0" shrinkToFit="false"/>
      <protection locked="true" hidden="false"/>
    </xf>
    <xf numFmtId="164" fontId="149" fillId="19" borderId="112" xfId="49" applyFont="true" applyBorder="true" applyAlignment="true" applyProtection="true">
      <alignment horizontal="center" vertical="center" textRotation="0" wrapText="true" indent="0" shrinkToFit="false"/>
      <protection locked="true" hidden="false"/>
    </xf>
    <xf numFmtId="164" fontId="149" fillId="19" borderId="113" xfId="49" applyFont="true" applyBorder="true" applyAlignment="true" applyProtection="true">
      <alignment horizontal="center" vertical="center" textRotation="0" wrapText="true" indent="0" shrinkToFit="false"/>
      <protection locked="true" hidden="false"/>
    </xf>
    <xf numFmtId="164" fontId="83" fillId="0" borderId="0" xfId="0" applyFont="true" applyBorder="true" applyAlignment="true" applyProtection="false">
      <alignment horizontal="left" vertical="center" textRotation="0" wrapText="true" indent="0" shrinkToFit="false"/>
      <protection locked="true" hidden="false"/>
    </xf>
    <xf numFmtId="164" fontId="27" fillId="14" borderId="104" xfId="0" applyFont="true" applyBorder="true" applyAlignment="true" applyProtection="false">
      <alignment horizontal="center" vertical="center" textRotation="0" wrapText="true" indent="0" shrinkToFit="false"/>
      <protection locked="true" hidden="false"/>
    </xf>
    <xf numFmtId="164" fontId="27" fillId="14" borderId="105" xfId="0" applyFont="true" applyBorder="true" applyAlignment="true" applyProtection="false">
      <alignment horizontal="center" vertical="center" textRotation="0" wrapText="true" indent="0" shrinkToFit="false"/>
      <protection locked="true" hidden="false"/>
    </xf>
    <xf numFmtId="164" fontId="27" fillId="14" borderId="106" xfId="0" applyFont="true" applyBorder="true" applyAlignment="true" applyProtection="false">
      <alignment horizontal="center" vertical="center" textRotation="0" wrapText="true" indent="0" shrinkToFit="false"/>
      <protection locked="true" hidden="false"/>
    </xf>
    <xf numFmtId="164" fontId="20" fillId="19" borderId="18" xfId="49" applyFont="true" applyBorder="true" applyAlignment="true" applyProtection="true">
      <alignment horizontal="general" vertical="bottom" textRotation="0" wrapText="false" indent="0" shrinkToFit="false"/>
      <protection locked="true" hidden="false"/>
    </xf>
    <xf numFmtId="164" fontId="21" fillId="19" borderId="19" xfId="49" applyFont="true" applyBorder="true" applyAlignment="true" applyProtection="true">
      <alignment horizontal="general" vertical="bottom" textRotation="0" wrapText="false" indent="0" shrinkToFit="false"/>
      <protection locked="true" hidden="false"/>
    </xf>
    <xf numFmtId="174" fontId="0" fillId="3" borderId="112" xfId="44" applyFont="false" applyBorder="true" applyAlignment="true" applyProtection="true">
      <alignment horizontal="general" vertical="bottom" textRotation="0" wrapText="false" indent="0" shrinkToFit="false"/>
      <protection locked="true" hidden="false"/>
    </xf>
    <xf numFmtId="169" fontId="0" fillId="3" borderId="112" xfId="44" applyFont="false" applyBorder="true" applyAlignment="true" applyProtection="true">
      <alignment horizontal="general" vertical="bottom" textRotation="0" wrapText="false" indent="0" shrinkToFit="false"/>
      <protection locked="true" hidden="false"/>
    </xf>
    <xf numFmtId="164" fontId="17" fillId="19" borderId="113" xfId="0" applyFont="true" applyBorder="true" applyAlignment="true" applyProtection="false">
      <alignment horizontal="general" vertical="bottom" textRotation="0" wrapText="false" indent="0" shrinkToFit="false"/>
      <protection locked="true" hidden="false"/>
    </xf>
    <xf numFmtId="164" fontId="83" fillId="0" borderId="0" xfId="0" applyFont="true" applyBorder="true" applyAlignment="true" applyProtection="false">
      <alignment horizontal="right" vertical="center" textRotation="0" wrapText="true" indent="0" shrinkToFit="false"/>
      <protection locked="true" hidden="false"/>
    </xf>
    <xf numFmtId="164" fontId="86" fillId="19" borderId="21" xfId="49" applyFont="true" applyBorder="true" applyAlignment="true" applyProtection="true">
      <alignment horizontal="general" vertical="bottom" textRotation="0" wrapText="false" indent="0" shrinkToFit="false"/>
      <protection locked="true" hidden="false"/>
    </xf>
    <xf numFmtId="164" fontId="21" fillId="19" borderId="0" xfId="49" applyFont="true" applyBorder="true" applyAlignment="true" applyProtection="true">
      <alignment horizontal="general" vertical="bottom" textRotation="0" wrapText="false" indent="0" shrinkToFit="false"/>
      <protection locked="true" hidden="false"/>
    </xf>
    <xf numFmtId="164" fontId="17" fillId="19" borderId="6" xfId="0" applyFont="true" applyBorder="true" applyAlignment="false" applyProtection="false">
      <alignment horizontal="general" vertical="bottom" textRotation="0" wrapText="false" indent="0" shrinkToFit="false"/>
      <protection locked="true" hidden="false"/>
    </xf>
    <xf numFmtId="169" fontId="0" fillId="3" borderId="6" xfId="44" applyFont="false" applyBorder="true" applyAlignment="true" applyProtection="true">
      <alignment horizontal="general" vertical="bottom" textRotation="0" wrapText="false" indent="0" shrinkToFit="false"/>
      <protection locked="true" hidden="false"/>
    </xf>
    <xf numFmtId="164" fontId="0" fillId="17" borderId="115" xfId="41" applyFont="false" applyBorder="true" applyAlignment="true" applyProtection="true">
      <alignment horizontal="general" vertical="bottom" textRotation="0" wrapText="false" indent="0" shrinkToFit="false"/>
      <protection locked="true" hidden="false"/>
    </xf>
    <xf numFmtId="164" fontId="0" fillId="17" borderId="186" xfId="41" applyFont="fals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4" fontId="86" fillId="19" borderId="0" xfId="49" applyFont="true" applyBorder="true" applyAlignment="true" applyProtection="true">
      <alignment horizontal="general" vertical="bottom" textRotation="0" wrapText="false" indent="0" shrinkToFit="false"/>
      <protection locked="true" hidden="false"/>
    </xf>
    <xf numFmtId="164" fontId="20" fillId="19" borderId="138" xfId="49" applyFont="true" applyBorder="true" applyAlignment="true" applyProtection="true">
      <alignment horizontal="left" vertical="bottom" textRotation="0" wrapText="true" indent="0" shrinkToFit="false"/>
      <protection locked="true" hidden="false"/>
    </xf>
    <xf numFmtId="174" fontId="0" fillId="3" borderId="140" xfId="44" applyFont="false" applyBorder="true" applyAlignment="true" applyProtection="true">
      <alignment horizontal="general" vertical="bottom" textRotation="0" wrapText="false" indent="0" shrinkToFit="false"/>
      <protection locked="true" hidden="false"/>
    </xf>
    <xf numFmtId="164" fontId="23" fillId="3" borderId="187" xfId="44" applyFont="true" applyBorder="true" applyAlignment="true" applyProtection="true">
      <alignment horizontal="center" vertical="center" textRotation="0" wrapText="true" indent="0" shrinkToFit="false"/>
      <protection locked="true" hidden="false"/>
    </xf>
    <xf numFmtId="169" fontId="23" fillId="3" borderId="188" xfId="44" applyFont="true" applyBorder="true" applyAlignment="true" applyProtection="true">
      <alignment horizontal="center" vertical="center" textRotation="0" wrapText="true" indent="0" shrinkToFit="false"/>
      <protection locked="true" hidden="false"/>
    </xf>
    <xf numFmtId="169" fontId="0" fillId="3" borderId="8" xfId="44" applyFont="false" applyBorder="true" applyAlignment="true" applyProtection="true">
      <alignment horizontal="general" vertical="bottom" textRotation="0" wrapText="false" indent="0" shrinkToFit="false"/>
      <protection locked="true" hidden="false"/>
    </xf>
    <xf numFmtId="164" fontId="0" fillId="17" borderId="106" xfId="41" applyFont="false" applyBorder="true" applyAlignment="true" applyProtection="true">
      <alignment horizontal="center" vertical="bottom" textRotation="0" wrapText="false" indent="0" shrinkToFit="false"/>
      <protection locked="true" hidden="false"/>
    </xf>
    <xf numFmtId="164" fontId="21" fillId="19" borderId="24" xfId="49" applyFont="true" applyBorder="true" applyAlignment="true" applyProtection="true">
      <alignment horizontal="general" vertical="bottom" textRotation="0" wrapText="false" indent="0" shrinkToFit="false"/>
      <protection locked="true" hidden="false"/>
    </xf>
    <xf numFmtId="164" fontId="17" fillId="19" borderId="189" xfId="0" applyFont="true" applyBorder="true" applyAlignment="false" applyProtection="false">
      <alignment horizontal="general" vertical="bottom" textRotation="0" wrapText="false" indent="0" shrinkToFit="false"/>
      <protection locked="true" hidden="false"/>
    </xf>
    <xf numFmtId="169" fontId="0" fillId="3" borderId="105" xfId="44" applyFont="false" applyBorder="true" applyAlignment="true" applyProtection="true">
      <alignment horizontal="general" vertical="bottom" textRotation="0" wrapText="false" indent="0" shrinkToFit="false"/>
      <protection locked="true" hidden="false"/>
    </xf>
    <xf numFmtId="164" fontId="86" fillId="19" borderId="23" xfId="49" applyFont="true" applyBorder="true" applyAlignment="true" applyProtection="true">
      <alignment horizontal="general" vertical="bottom" textRotation="0" wrapText="false" indent="0" shrinkToFit="false"/>
      <protection locked="true" hidden="false"/>
    </xf>
    <xf numFmtId="164" fontId="17" fillId="19" borderId="105" xfId="0" applyFont="true" applyBorder="true" applyAlignment="false" applyProtection="false">
      <alignment horizontal="general" vertical="bottom" textRotation="0" wrapText="false" indent="0" shrinkToFit="false"/>
      <protection locked="true" hidden="false"/>
    </xf>
    <xf numFmtId="164" fontId="23" fillId="3" borderId="190" xfId="44" applyFont="true" applyBorder="true" applyAlignment="true" applyProtection="true">
      <alignment horizontal="center" vertical="center" textRotation="0" wrapText="true" indent="0" shrinkToFit="false"/>
      <protection locked="true" hidden="false"/>
    </xf>
    <xf numFmtId="174" fontId="23" fillId="3" borderId="191" xfId="44" applyFont="true" applyBorder="true" applyAlignment="true" applyProtection="true">
      <alignment horizontal="center" vertical="center" textRotation="0" wrapText="true" indent="0" shrinkToFit="false"/>
      <protection locked="true" hidden="false"/>
    </xf>
    <xf numFmtId="164" fontId="0" fillId="17" borderId="192" xfId="41" applyFont="false" applyBorder="true" applyAlignment="true" applyProtection="true">
      <alignment horizontal="general" vertical="bottom" textRotation="0" wrapText="false" indent="0" shrinkToFit="false"/>
      <protection locked="true" hidden="false"/>
    </xf>
    <xf numFmtId="164" fontId="23" fillId="0" borderId="0" xfId="44" applyFont="true" applyBorder="true" applyAlignment="true" applyProtection="true">
      <alignment horizontal="center" vertical="center" textRotation="0" wrapText="true" indent="0" shrinkToFit="false"/>
      <protection locked="true" hidden="false"/>
    </xf>
    <xf numFmtId="164" fontId="17" fillId="19" borderId="11" xfId="0" applyFont="true" applyBorder="true" applyAlignment="false" applyProtection="false">
      <alignment horizontal="general" vertical="bottom" textRotation="0" wrapText="false" indent="0" shrinkToFit="false"/>
      <protection locked="true" hidden="false"/>
    </xf>
    <xf numFmtId="174" fontId="0" fillId="3" borderId="14" xfId="44" applyFont="false" applyBorder="true" applyAlignment="true" applyProtection="true">
      <alignment horizontal="general" vertical="bottom" textRotation="0" wrapText="false" indent="0" shrinkToFit="false"/>
      <protection locked="true" hidden="false"/>
    </xf>
    <xf numFmtId="169" fontId="21" fillId="19" borderId="88" xfId="19" applyFont="true" applyBorder="true" applyAlignment="true" applyProtection="true">
      <alignment horizontal="center" vertical="center"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28" fillId="0" borderId="0" xfId="0" applyFont="true" applyBorder="true" applyAlignment="true" applyProtection="false">
      <alignment horizontal="left" vertical="center" textRotation="0" wrapText="true" indent="0" shrinkToFit="false"/>
      <protection locked="true" hidden="false"/>
    </xf>
    <xf numFmtId="164" fontId="28" fillId="0" borderId="0" xfId="0" applyFont="true" applyBorder="true" applyAlignment="true" applyProtection="false">
      <alignment horizontal="center" vertical="bottom" textRotation="0" wrapText="false" indent="0" shrinkToFit="false"/>
      <protection locked="true" hidden="false"/>
    </xf>
    <xf numFmtId="183" fontId="27" fillId="0" borderId="0" xfId="0" applyFont="true" applyBorder="true" applyAlignment="true" applyProtection="true">
      <alignment horizontal="center" vertical="bottom" textRotation="0" wrapText="true" indent="0" shrinkToFit="false"/>
      <protection locked="false" hidden="false"/>
    </xf>
    <xf numFmtId="183" fontId="27" fillId="0" borderId="0" xfId="0" applyFont="true" applyBorder="true" applyAlignment="true" applyProtection="true">
      <alignment horizontal="center" vertical="bottom" textRotation="0" wrapText="false" indent="0" shrinkToFit="false"/>
      <protection locked="false" hidden="false"/>
    </xf>
    <xf numFmtId="167" fontId="21" fillId="0" borderId="0" xfId="0" applyFont="true" applyBorder="true" applyAlignment="true" applyProtection="false">
      <alignment horizontal="center" vertical="bottom" textRotation="0" wrapText="false" indent="0" shrinkToFit="false"/>
      <protection locked="true" hidden="false"/>
    </xf>
    <xf numFmtId="169" fontId="23" fillId="3" borderId="146" xfId="44" applyFont="true" applyBorder="true" applyAlignment="true" applyProtection="true">
      <alignment horizontal="right" vertical="bottom" textRotation="0" wrapText="false" indent="0" shrinkToFit="false"/>
      <protection locked="true" hidden="false"/>
    </xf>
    <xf numFmtId="169" fontId="23" fillId="3" borderId="144" xfId="44" applyFont="true" applyBorder="true" applyAlignment="true" applyProtection="true">
      <alignment horizontal="center" vertical="bottom" textRotation="0" wrapText="false" indent="0" shrinkToFit="false"/>
      <protection locked="true" hidden="false"/>
    </xf>
    <xf numFmtId="183" fontId="21" fillId="19" borderId="88" xfId="0" applyFont="true" applyBorder="true" applyAlignment="true" applyProtection="false">
      <alignment horizontal="right" vertical="center" textRotation="0" wrapText="false" indent="0" shrinkToFit="false"/>
      <protection locked="true" hidden="false"/>
    </xf>
    <xf numFmtId="164" fontId="20" fillId="0" borderId="193" xfId="0" applyFont="true" applyBorder="true" applyAlignment="true" applyProtection="false">
      <alignment horizontal="left" vertical="center" textRotation="0" wrapText="true" indent="0" shrinkToFit="false"/>
      <protection locked="true" hidden="false"/>
    </xf>
    <xf numFmtId="170" fontId="23" fillId="3" borderId="88" xfId="44" applyFont="true" applyBorder="true" applyAlignment="true" applyProtection="true">
      <alignment horizontal="left" vertical="bottom" textRotation="0" wrapText="false" indent="0" shrinkToFit="false"/>
      <protection locked="true" hidden="false"/>
    </xf>
    <xf numFmtId="164" fontId="21" fillId="19" borderId="88" xfId="19" applyFont="true" applyBorder="true" applyAlignment="true" applyProtection="true">
      <alignment horizontal="center" vertical="center" textRotation="0" wrapText="false" indent="0" shrinkToFit="false"/>
      <protection locked="true" hidden="false"/>
    </xf>
    <xf numFmtId="164" fontId="27" fillId="0" borderId="0" xfId="0" applyFont="true" applyBorder="true" applyAlignment="true" applyProtection="false">
      <alignment horizontal="right" vertical="center" textRotation="0" wrapText="false" indent="0" shrinkToFit="false"/>
      <protection locked="true" hidden="false"/>
    </xf>
    <xf numFmtId="164" fontId="103" fillId="0" borderId="0" xfId="0" applyFont="true" applyBorder="true" applyAlignment="true" applyProtection="false">
      <alignment horizontal="left" vertical="bottom" textRotation="0" wrapText="false" indent="0" shrinkToFit="false"/>
      <protection locked="true" hidden="false"/>
    </xf>
    <xf numFmtId="164" fontId="86" fillId="0" borderId="0" xfId="0" applyFont="true" applyBorder="true" applyAlignment="false" applyProtection="false">
      <alignment horizontal="general" vertical="bottom" textRotation="0" wrapText="false" indent="0" shrinkToFit="false"/>
      <protection locked="true" hidden="false"/>
    </xf>
    <xf numFmtId="164" fontId="150" fillId="0" borderId="0" xfId="0" applyFont="true" applyBorder="true" applyAlignment="false" applyProtection="false">
      <alignment horizontal="general" vertical="bottom" textRotation="0" wrapText="false" indent="0" shrinkToFit="false"/>
      <protection locked="true" hidden="false"/>
    </xf>
    <xf numFmtId="164" fontId="17" fillId="0" borderId="0" xfId="0" applyFont="true" applyBorder="true" applyAlignment="true" applyProtection="false">
      <alignment horizontal="center" vertical="bottom" textRotation="0" wrapText="true" indent="0" shrinkToFit="false"/>
      <protection locked="true" hidden="false"/>
    </xf>
    <xf numFmtId="164" fontId="21" fillId="0" borderId="0" xfId="0" applyFont="true" applyBorder="false" applyAlignment="true" applyProtection="false">
      <alignment horizontal="center" vertical="bottom" textRotation="0" wrapText="true" indent="0" shrinkToFit="false"/>
      <protection locked="true" hidden="false"/>
    </xf>
    <xf numFmtId="164" fontId="151" fillId="0" borderId="0" xfId="0" applyFont="true" applyBorder="true" applyAlignment="false" applyProtection="false">
      <alignment horizontal="general" vertical="bottom" textRotation="0" wrapText="false" indent="0" shrinkToFit="false"/>
      <protection locked="true" hidden="false"/>
    </xf>
    <xf numFmtId="164" fontId="101" fillId="0" borderId="0" xfId="0" applyFont="true" applyBorder="true" applyAlignment="false" applyProtection="false">
      <alignment horizontal="general" vertical="bottom" textRotation="0" wrapText="false" indent="0" shrinkToFit="false"/>
      <protection locked="true" hidden="false"/>
    </xf>
    <xf numFmtId="174" fontId="23" fillId="3" borderId="88" xfId="44" applyFont="true" applyBorder="true" applyAlignment="true" applyProtection="true">
      <alignment horizontal="left" vertical="bottom" textRotation="0" wrapText="false" indent="0" shrinkToFit="false"/>
      <protection locked="true" hidden="false"/>
    </xf>
    <xf numFmtId="164" fontId="153"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23"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23" fillId="0" borderId="0" xfId="0" applyFont="true" applyBorder="true" applyAlignment="true" applyProtection="false">
      <alignment horizontal="center" vertical="bottom" textRotation="0" wrapText="false" indent="0" shrinkToFit="false"/>
      <protection locked="true" hidden="false"/>
    </xf>
    <xf numFmtId="164" fontId="0" fillId="19" borderId="26" xfId="52" applyFont="true" applyBorder="true" applyAlignment="true" applyProtection="true">
      <alignment horizontal="left" vertical="center" textRotation="0" wrapText="false" indent="0" shrinkToFit="false"/>
      <protection locked="true" hidden="false"/>
    </xf>
    <xf numFmtId="164" fontId="0" fillId="15" borderId="26" xfId="37" applyFont="true" applyBorder="true" applyAlignment="true" applyProtection="true">
      <alignment horizontal="left" vertical="center" textRotation="0" wrapText="true" indent="0" shrinkToFit="false"/>
      <protection locked="true" hidden="false"/>
    </xf>
    <xf numFmtId="164" fontId="0" fillId="14" borderId="14" xfId="46" applyFont="true" applyBorder="true" applyAlignment="true" applyProtection="true">
      <alignment horizontal="left" vertical="center" textRotation="0" wrapText="false" indent="0" shrinkToFit="false"/>
      <protection locked="true" hidden="false"/>
    </xf>
    <xf numFmtId="164" fontId="0" fillId="11" borderId="11" xfId="0" applyFont="true" applyBorder="true" applyAlignment="true" applyProtection="false">
      <alignment horizontal="left" vertical="center" textRotation="0" wrapText="false" indent="0" shrinkToFit="false"/>
      <protection locked="true" hidden="false"/>
    </xf>
    <xf numFmtId="164" fontId="0" fillId="19" borderId="26" xfId="49" applyFont="true" applyBorder="true" applyAlignment="true" applyProtection="true">
      <alignment horizontal="left" vertical="center" textRotation="0" wrapText="false" indent="0" shrinkToFit="false"/>
      <protection locked="true" hidden="false"/>
    </xf>
    <xf numFmtId="164" fontId="154" fillId="15" borderId="0" xfId="0" applyFont="true" applyBorder="true" applyAlignment="true" applyProtection="false">
      <alignment horizontal="left" vertical="center" textRotation="0" wrapText="true" indent="0" shrinkToFit="false"/>
      <protection locked="true" hidden="false"/>
    </xf>
    <xf numFmtId="164" fontId="154" fillId="0" borderId="0" xfId="0" applyFont="true" applyBorder="false" applyAlignment="true" applyProtection="false">
      <alignment horizontal="left" vertical="center" textRotation="0" wrapText="true" indent="0" shrinkToFit="false"/>
      <protection locked="true" hidden="false"/>
    </xf>
    <xf numFmtId="164" fontId="155" fillId="0" borderId="0" xfId="0" applyFont="true" applyBorder="false" applyAlignment="true" applyProtection="false">
      <alignment horizontal="general" vertical="center" textRotation="0" wrapText="false" indent="0" shrinkToFit="false"/>
      <protection locked="true" hidden="false"/>
    </xf>
    <xf numFmtId="164" fontId="23" fillId="19" borderId="9" xfId="49" applyFont="true" applyBorder="true" applyAlignment="true" applyProtection="true">
      <alignment horizontal="left" vertical="center" textRotation="0" wrapText="true" indent="0" shrinkToFit="false"/>
      <protection locked="true" hidden="false"/>
    </xf>
    <xf numFmtId="164" fontId="23" fillId="19" borderId="10" xfId="49" applyFont="true" applyBorder="true" applyAlignment="true" applyProtection="true">
      <alignment horizontal="center" vertical="center" textRotation="0" wrapText="true" indent="0" shrinkToFit="false"/>
      <protection locked="true" hidden="false"/>
    </xf>
    <xf numFmtId="164" fontId="23" fillId="19" borderId="11" xfId="49" applyFont="true" applyBorder="true" applyAlignment="true" applyProtection="true">
      <alignment horizontal="center" vertical="center" textRotation="0" wrapText="true" indent="0" shrinkToFit="false"/>
      <protection locked="true" hidden="false"/>
    </xf>
    <xf numFmtId="164" fontId="0" fillId="26" borderId="6" xfId="0" applyFont="true" applyBorder="true" applyAlignment="true" applyProtection="false">
      <alignment horizontal="center" vertical="center" textRotation="0" wrapText="true" indent="0" shrinkToFit="false"/>
      <protection locked="true" hidden="false"/>
    </xf>
    <xf numFmtId="164" fontId="0" fillId="0" borderId="6" xfId="0" applyFont="true" applyBorder="true" applyAlignment="true" applyProtection="false">
      <alignment horizontal="left" vertical="center" textRotation="0" wrapText="true" indent="0" shrinkToFit="false"/>
      <protection locked="true" hidden="false"/>
    </xf>
    <xf numFmtId="164" fontId="0" fillId="14" borderId="14" xfId="46" applyFont="true" applyBorder="true" applyAlignment="true" applyProtection="true">
      <alignment horizontal="center" vertical="center" textRotation="0" wrapText="true" indent="0" shrinkToFit="false"/>
      <protection locked="true" hidden="false"/>
    </xf>
    <xf numFmtId="164" fontId="0" fillId="14" borderId="6" xfId="46" applyFont="true" applyBorder="true" applyAlignment="true" applyProtection="true">
      <alignment horizontal="center" vertical="center" textRotation="0" wrapText="true" indent="0" shrinkToFit="false"/>
      <protection locked="true" hidden="false"/>
    </xf>
    <xf numFmtId="164" fontId="0" fillId="14" borderId="8" xfId="46" applyFont="true" applyBorder="true" applyAlignment="true" applyProtection="true">
      <alignment horizontal="center" vertical="center" textRotation="0" wrapText="true" indent="0" shrinkToFit="false"/>
      <protection locked="true" hidden="false"/>
    </xf>
    <xf numFmtId="164" fontId="0" fillId="26" borderId="6" xfId="0" applyFont="true" applyBorder="true" applyAlignment="true" applyProtection="false">
      <alignment horizontal="general" vertical="center" textRotation="0" wrapText="false" indent="0" shrinkToFit="false"/>
      <protection locked="true" hidden="false"/>
    </xf>
    <xf numFmtId="164" fontId="0" fillId="0" borderId="6" xfId="0" applyFont="true" applyBorder="true" applyAlignment="true" applyProtection="false">
      <alignment horizontal="general" vertical="bottom" textRotation="0" wrapText="true" indent="0" shrinkToFit="false"/>
      <protection locked="true" hidden="false"/>
    </xf>
    <xf numFmtId="174" fontId="0" fillId="19" borderId="6" xfId="45" applyFont="true" applyBorder="true" applyAlignment="true" applyProtection="true">
      <alignment horizontal="center" vertical="center" textRotation="0" wrapText="false" indent="0" shrinkToFit="false"/>
      <protection locked="false" hidden="false"/>
    </xf>
    <xf numFmtId="164" fontId="0" fillId="15" borderId="6" xfId="37" applyFont="false" applyBorder="true" applyAlignment="true" applyProtection="true">
      <alignment horizontal="right" vertical="bottom" textRotation="0" wrapText="false" indent="0" shrinkToFit="false"/>
      <protection locked="false" hidden="false"/>
    </xf>
    <xf numFmtId="164" fontId="0" fillId="26" borderId="6" xfId="0" applyFont="true" applyBorder="true" applyAlignment="false" applyProtection="false">
      <alignment horizontal="general" vertical="bottom" textRotation="0" wrapText="false" indent="0" shrinkToFit="false"/>
      <protection locked="true" hidden="false"/>
    </xf>
    <xf numFmtId="164" fontId="0" fillId="19" borderId="6" xfId="45" applyFont="false" applyBorder="true" applyAlignment="true" applyProtection="true">
      <alignment horizontal="center" vertical="center" textRotation="0" wrapText="false" indent="0" shrinkToFit="false"/>
      <protection locked="false" hidden="false"/>
    </xf>
    <xf numFmtId="164" fontId="0" fillId="0" borderId="6" xfId="0" applyFont="true" applyBorder="true" applyAlignment="true" applyProtection="true">
      <alignment horizontal="general" vertical="bottom" textRotation="0" wrapText="true" indent="0" shrinkToFit="false"/>
      <protection locked="false" hidden="false"/>
    </xf>
    <xf numFmtId="164" fontId="0" fillId="0" borderId="0" xfId="0" applyFont="true" applyBorder="true" applyAlignment="true" applyProtection="false">
      <alignment horizontal="center" vertical="center" textRotation="0" wrapText="false" indent="0" shrinkToFit="false"/>
      <protection locked="true" hidden="false"/>
    </xf>
    <xf numFmtId="164" fontId="156" fillId="0" borderId="0" xfId="0" applyFont="true" applyBorder="true" applyAlignment="true" applyProtection="false">
      <alignment horizontal="center" vertical="center" textRotation="0" wrapText="false" indent="0" shrinkToFit="false"/>
      <protection locked="true" hidden="false"/>
    </xf>
    <xf numFmtId="164" fontId="23" fillId="0" borderId="14" xfId="0" applyFont="true" applyBorder="true" applyAlignment="true" applyProtection="false">
      <alignment horizontal="center" vertical="center" textRotation="0" wrapText="true" indent="0" shrinkToFit="false"/>
      <protection locked="true" hidden="false"/>
    </xf>
    <xf numFmtId="164" fontId="23" fillId="19" borderId="6" xfId="49" applyFont="true" applyBorder="true" applyAlignment="true" applyProtection="true">
      <alignment horizontal="center" vertical="center" textRotation="0" wrapText="false" indent="0" shrinkToFit="false"/>
      <protection locked="true" hidden="false"/>
    </xf>
    <xf numFmtId="164" fontId="23" fillId="14" borderId="6" xfId="46" applyFont="true" applyBorder="true" applyAlignment="true" applyProtection="true">
      <alignment horizontal="center" vertical="center" textRotation="0" wrapText="false" indent="0" shrinkToFit="false"/>
      <protection locked="true" hidden="false"/>
    </xf>
    <xf numFmtId="164" fontId="23" fillId="0" borderId="6" xfId="49" applyFont="true" applyBorder="true" applyAlignment="true" applyProtection="true">
      <alignment horizontal="center" vertical="center" textRotation="0" wrapText="false" indent="0" shrinkToFit="false"/>
      <protection locked="true" hidden="false"/>
    </xf>
    <xf numFmtId="164" fontId="0" fillId="15" borderId="6" xfId="37" applyFont="false" applyBorder="true" applyAlignment="true" applyProtection="true">
      <alignment horizontal="center" vertical="center" textRotation="0" wrapText="false" indent="0" shrinkToFit="false"/>
      <protection locked="true" hidden="false"/>
    </xf>
    <xf numFmtId="164" fontId="23" fillId="0" borderId="100" xfId="0" applyFont="true" applyBorder="true" applyAlignment="true" applyProtection="false">
      <alignment horizontal="center" vertical="center" textRotation="0" wrapText="false" indent="0" shrinkToFit="false"/>
      <protection locked="true" hidden="false"/>
    </xf>
    <xf numFmtId="164" fontId="0" fillId="0" borderId="8"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true" applyAlignment="true" applyProtection="false">
      <alignment horizontal="center" vertical="center" textRotation="0" wrapText="true" indent="0" shrinkToFit="false"/>
      <protection locked="true" hidden="false"/>
    </xf>
    <xf numFmtId="164" fontId="23" fillId="0" borderId="0" xfId="0" applyFont="true" applyBorder="false" applyAlignment="true" applyProtection="false">
      <alignment horizontal="left" vertical="center" textRotation="0" wrapText="false" indent="0" shrinkToFit="false"/>
      <protection locked="true" hidden="false"/>
    </xf>
    <xf numFmtId="164" fontId="156"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23" fillId="19" borderId="7" xfId="49" applyFont="true" applyBorder="true" applyAlignment="true" applyProtection="true">
      <alignment horizontal="general" vertical="center" textRotation="0" wrapText="true" indent="0" shrinkToFit="false"/>
      <protection locked="true" hidden="false"/>
    </xf>
    <xf numFmtId="164" fontId="157" fillId="26" borderId="6" xfId="0" applyFont="true" applyBorder="true" applyAlignment="true" applyProtection="false">
      <alignment horizontal="center" vertical="center" textRotation="0" wrapText="true" indent="0" shrinkToFit="false"/>
      <protection locked="true" hidden="false"/>
    </xf>
    <xf numFmtId="164" fontId="0" fillId="0" borderId="6" xfId="0" applyFont="true" applyBorder="true" applyAlignment="true" applyProtection="false">
      <alignment horizontal="general" vertical="center" textRotation="0" wrapText="true" indent="0" shrinkToFit="false"/>
      <protection locked="true" hidden="false"/>
    </xf>
    <xf numFmtId="164" fontId="23" fillId="14" borderId="6" xfId="46" applyFont="true" applyBorder="true" applyAlignment="true" applyProtection="true">
      <alignment horizontal="left" vertical="center" textRotation="0" wrapText="true" indent="0" shrinkToFit="false"/>
      <protection locked="true" hidden="false"/>
    </xf>
    <xf numFmtId="164" fontId="23" fillId="14" borderId="8" xfId="46" applyFont="true" applyBorder="true" applyAlignment="true" applyProtection="true">
      <alignment horizontal="center" vertical="center" textRotation="0" wrapText="true" indent="0" shrinkToFit="false"/>
      <protection locked="true" hidden="false"/>
    </xf>
    <xf numFmtId="164" fontId="0" fillId="3" borderId="6" xfId="44" applyFont="false" applyBorder="true" applyAlignment="true" applyProtection="true">
      <alignment horizontal="center" vertical="center" textRotation="0" wrapText="true" indent="0" shrinkToFit="false"/>
      <protection locked="false" hidden="false"/>
    </xf>
    <xf numFmtId="167" fontId="0" fillId="3" borderId="6" xfId="44" applyFont="false" applyBorder="true" applyAlignment="true" applyProtection="true">
      <alignment horizontal="center" vertical="center" textRotation="0" wrapText="false" indent="0" shrinkToFit="false"/>
      <protection locked="true" hidden="false"/>
    </xf>
    <xf numFmtId="164" fontId="0" fillId="24" borderId="6" xfId="0" applyFont="true" applyBorder="true" applyAlignment="true" applyProtection="false">
      <alignment horizontal="general" vertical="bottom" textRotation="0" wrapText="true" indent="0" shrinkToFit="false"/>
      <protection locked="true" hidden="false"/>
    </xf>
    <xf numFmtId="164" fontId="0" fillId="24" borderId="6" xfId="0" applyFont="true" applyBorder="true" applyAlignment="true" applyProtection="true">
      <alignment horizontal="center" vertical="center" textRotation="0" wrapText="true" indent="0" shrinkToFit="false"/>
      <protection locked="false" hidden="false"/>
    </xf>
    <xf numFmtId="164" fontId="0" fillId="24" borderId="6" xfId="0" applyFont="true" applyBorder="true" applyAlignment="true" applyProtection="true">
      <alignment horizontal="right" vertical="bottom" textRotation="0" wrapText="false" indent="0" shrinkToFit="false"/>
      <protection locked="false" hidden="false"/>
    </xf>
    <xf numFmtId="167" fontId="0" fillId="24" borderId="6" xfId="0" applyFont="true" applyBorder="true" applyAlignment="true" applyProtection="false">
      <alignment horizontal="center" vertical="center" textRotation="0" wrapText="false" indent="0" shrinkToFit="false"/>
      <protection locked="true" hidden="false"/>
    </xf>
    <xf numFmtId="164" fontId="0" fillId="24" borderId="6"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4" fontId="0" fillId="24" borderId="0" xfId="0" applyFont="true" applyBorder="false" applyAlignment="false" applyProtection="false">
      <alignment horizontal="general" vertical="bottom" textRotation="0" wrapText="false" indent="0" shrinkToFit="false"/>
      <protection locked="true" hidden="false"/>
    </xf>
    <xf numFmtId="164" fontId="0" fillId="14" borderId="6" xfId="46" applyFont="true" applyBorder="true" applyAlignment="true" applyProtection="true">
      <alignment horizontal="center" vertical="center" textRotation="0" wrapText="false" indent="0" shrinkToFit="false"/>
      <protection locked="true" hidden="false"/>
    </xf>
    <xf numFmtId="164" fontId="23" fillId="15" borderId="0" xfId="0" applyFont="true" applyBorder="true" applyAlignment="true" applyProtection="false">
      <alignment horizontal="general" vertical="center" textRotation="0" wrapText="false" indent="0" shrinkToFit="false"/>
      <protection locked="true" hidden="false"/>
    </xf>
    <xf numFmtId="164" fontId="156" fillId="0" borderId="0" xfId="0" applyFont="true" applyBorder="false" applyAlignment="true" applyProtection="false">
      <alignment horizontal="general" vertical="center" textRotation="0" wrapText="false" indent="0" shrinkToFit="false"/>
      <protection locked="true" hidden="false"/>
    </xf>
    <xf numFmtId="164" fontId="23" fillId="19" borderId="6" xfId="49" applyFont="true" applyBorder="true" applyAlignment="true" applyProtection="true">
      <alignment horizontal="general" vertical="center" textRotation="0" wrapText="false" indent="0" shrinkToFit="false"/>
      <protection locked="true" hidden="false"/>
    </xf>
    <xf numFmtId="172" fontId="0" fillId="3" borderId="14" xfId="44" applyFont="false" applyBorder="true" applyAlignment="true" applyProtection="true">
      <alignment horizontal="center" vertical="center" textRotation="0" wrapText="true" indent="0" shrinkToFit="false"/>
      <protection locked="false" hidden="false"/>
    </xf>
    <xf numFmtId="174" fontId="0" fillId="3" borderId="6" xfId="44" applyFont="false" applyBorder="true" applyAlignment="true" applyProtection="true">
      <alignment horizontal="center" vertical="center" textRotation="0" wrapText="false" indent="0" shrinkToFit="false"/>
      <protection locked="false" hidden="false"/>
    </xf>
    <xf numFmtId="172" fontId="0" fillId="3" borderId="6" xfId="44" applyFont="false" applyBorder="true" applyAlignment="true" applyProtection="true">
      <alignment horizontal="center" vertical="center" textRotation="0" wrapText="false" indent="0" shrinkToFit="false"/>
      <protection locked="false" hidden="false"/>
    </xf>
    <xf numFmtId="164" fontId="23" fillId="19" borderId="0" xfId="49" applyFont="true" applyBorder="true" applyAlignment="true" applyProtection="true">
      <alignment horizontal="general" vertical="center" textRotation="0" wrapText="true" indent="0" shrinkToFit="false"/>
      <protection locked="true" hidden="false"/>
    </xf>
    <xf numFmtId="172" fontId="0" fillId="15" borderId="6" xfId="37" applyFont="false" applyBorder="true" applyAlignment="true" applyProtection="true">
      <alignment horizontal="right" vertical="center" textRotation="0" wrapText="false" indent="0" shrinkToFit="false"/>
      <protection locked="false" hidden="false"/>
    </xf>
    <xf numFmtId="167" fontId="0" fillId="3" borderId="6" xfId="44" applyFont="false" applyBorder="true" applyAlignment="true" applyProtection="true">
      <alignment horizontal="center" vertical="center" textRotation="0" wrapText="false" indent="0" shrinkToFit="false"/>
      <protection locked="false" hidden="false"/>
    </xf>
    <xf numFmtId="164" fontId="23" fillId="19" borderId="6" xfId="49" applyFont="true" applyBorder="true" applyAlignment="true" applyProtection="true">
      <alignment horizontal="general" vertical="center" textRotation="0" wrapText="true" indent="0" shrinkToFit="false"/>
      <protection locked="true" hidden="false"/>
    </xf>
    <xf numFmtId="164" fontId="0" fillId="14" borderId="6" xfId="46" applyFont="true" applyBorder="true" applyAlignment="true" applyProtection="true">
      <alignment horizontal="general" vertical="center" textRotation="0" wrapText="true" indent="0" shrinkToFit="false"/>
      <protection locked="true" hidden="false"/>
    </xf>
    <xf numFmtId="164" fontId="0" fillId="17" borderId="6" xfId="0" applyFont="true" applyBorder="true" applyAlignment="true" applyProtection="false">
      <alignment horizontal="center" vertical="center" textRotation="0" wrapText="true" indent="0" shrinkToFit="false"/>
      <protection locked="true" hidden="false"/>
    </xf>
    <xf numFmtId="164" fontId="0" fillId="17" borderId="6" xfId="0" applyFont="true" applyBorder="true" applyAlignment="true" applyProtection="false">
      <alignment horizontal="center" vertical="center" textRotation="0" wrapText="false" indent="0" shrinkToFit="false"/>
      <protection locked="true" hidden="false"/>
    </xf>
    <xf numFmtId="164" fontId="0" fillId="17" borderId="6" xfId="0" applyFont="true" applyBorder="true" applyAlignment="true" applyProtection="false">
      <alignment horizontal="center" vertical="bottom" textRotation="0" wrapText="false" indent="0" shrinkToFit="false"/>
      <protection locked="true" hidden="false"/>
    </xf>
    <xf numFmtId="169" fontId="0" fillId="17" borderId="6"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true" applyProtection="false">
      <alignment horizontal="center" vertical="bottom" textRotation="0" wrapText="false" indent="0" shrinkToFit="false"/>
      <protection locked="true" hidden="false"/>
    </xf>
    <xf numFmtId="164" fontId="0" fillId="26" borderId="0" xfId="0" applyFont="true" applyBorder="true" applyAlignment="false" applyProtection="false">
      <alignment horizontal="general" vertical="bottom" textRotation="0" wrapText="false" indent="0" shrinkToFit="false"/>
      <protection locked="true" hidden="false"/>
    </xf>
    <xf numFmtId="164" fontId="23" fillId="0" borderId="6" xfId="0" applyFont="true" applyBorder="true" applyAlignment="true" applyProtection="false">
      <alignment horizontal="center" vertical="center" textRotation="0" wrapText="false" indent="0" shrinkToFit="false"/>
      <protection locked="true" hidden="false"/>
    </xf>
    <xf numFmtId="174" fontId="23" fillId="19" borderId="194" xfId="49" applyFont="true" applyBorder="true" applyAlignment="true" applyProtection="true">
      <alignment horizontal="left" vertical="center" textRotation="0" wrapText="true" indent="0" shrinkToFit="false"/>
      <protection locked="true" hidden="false"/>
    </xf>
    <xf numFmtId="174" fontId="23" fillId="19" borderId="14" xfId="49" applyFont="true" applyBorder="true" applyAlignment="true" applyProtection="true">
      <alignment horizontal="left" vertical="center" textRotation="0" wrapText="true" indent="0" shrinkToFit="false"/>
      <protection locked="true" hidden="false"/>
    </xf>
    <xf numFmtId="164" fontId="23" fillId="19" borderId="26" xfId="49" applyFont="true" applyBorder="true" applyAlignment="true" applyProtection="true">
      <alignment horizontal="right" vertical="center" textRotation="0" wrapText="false" indent="0" shrinkToFit="false"/>
      <protection locked="true" hidden="false"/>
    </xf>
    <xf numFmtId="164" fontId="23" fillId="14" borderId="8" xfId="46" applyFont="true" applyBorder="true" applyAlignment="true" applyProtection="true">
      <alignment horizontal="center" vertical="center" textRotation="0" wrapText="false" indent="0" shrinkToFit="false"/>
      <protection locked="true" hidden="false"/>
    </xf>
    <xf numFmtId="164" fontId="23" fillId="0" borderId="0" xfId="0" applyFont="true" applyBorder="true" applyAlignment="true" applyProtection="false">
      <alignment horizontal="right" vertical="center" textRotation="0" wrapText="false" indent="0" shrinkToFit="false"/>
      <protection locked="true" hidden="false"/>
    </xf>
    <xf numFmtId="164" fontId="23" fillId="0" borderId="195" xfId="0" applyFont="true" applyBorder="true" applyAlignment="true" applyProtection="false">
      <alignment horizontal="center" vertical="center" textRotation="0" wrapText="false" indent="0" shrinkToFit="false"/>
      <protection locked="true" hidden="false"/>
    </xf>
    <xf numFmtId="164" fontId="23" fillId="0" borderId="0" xfId="0" applyFont="true" applyBorder="false" applyAlignment="true" applyProtection="false">
      <alignment horizontal="right" vertical="center" textRotation="0" wrapText="false" indent="0" shrinkToFit="false"/>
      <protection locked="true" hidden="false"/>
    </xf>
    <xf numFmtId="164" fontId="23" fillId="14" borderId="6" xfId="46" applyFont="true" applyBorder="true" applyAlignment="true" applyProtection="true">
      <alignment horizontal="general" vertical="center" textRotation="0" wrapText="false" indent="0" shrinkToFit="false"/>
      <protection locked="true" hidden="false"/>
    </xf>
    <xf numFmtId="164" fontId="23" fillId="14" borderId="6" xfId="46" applyFont="true" applyBorder="true" applyAlignment="true" applyProtection="true">
      <alignment horizontal="general" vertical="center" textRotation="0" wrapText="true" indent="0" shrinkToFit="false"/>
      <protection locked="true" hidden="false"/>
    </xf>
    <xf numFmtId="164" fontId="0" fillId="15" borderId="6" xfId="37" applyFont="false" applyBorder="true" applyAlignment="true" applyProtection="true">
      <alignment horizontal="right" vertical="bottom" textRotation="0" wrapText="false" indent="0" shrinkToFit="false"/>
      <protection locked="true" hidden="false"/>
    </xf>
    <xf numFmtId="164" fontId="0" fillId="0" borderId="6" xfId="0" applyFont="true" applyBorder="true" applyAlignment="true" applyProtection="false">
      <alignment horizontal="right" vertical="bottom" textRotation="0" wrapText="true" indent="0" shrinkToFit="false"/>
      <protection locked="true" hidden="false"/>
    </xf>
    <xf numFmtId="172" fontId="0" fillId="3" borderId="6" xfId="44" applyFont="false" applyBorder="true" applyAlignment="true" applyProtection="true">
      <alignment horizontal="center" vertical="center" textRotation="0" wrapText="true" indent="0" shrinkToFit="false"/>
      <protection locked="false" hidden="false"/>
    </xf>
    <xf numFmtId="164" fontId="0" fillId="19" borderId="6" xfId="45" applyFont="false" applyBorder="true" applyAlignment="true" applyProtection="true">
      <alignment horizontal="right" vertical="bottom" textRotation="0" wrapText="false" indent="0" shrinkToFit="false"/>
      <protection locked="true" hidden="false"/>
    </xf>
    <xf numFmtId="164" fontId="0" fillId="24" borderId="6" xfId="45" applyFont="false" applyBorder="true" applyAlignment="true" applyProtection="true">
      <alignment horizontal="right" vertical="bottom" textRotation="0" wrapText="false" indent="0" shrinkToFit="false"/>
      <protection locked="true" hidden="false"/>
    </xf>
    <xf numFmtId="164" fontId="0" fillId="24" borderId="6" xfId="37" applyFont="false" applyBorder="true" applyAlignment="true" applyProtection="true">
      <alignment horizontal="right" vertical="bottom" textRotation="0" wrapText="false" indent="0" shrinkToFit="false"/>
      <protection locked="true" hidden="false"/>
    </xf>
    <xf numFmtId="164" fontId="23" fillId="19" borderId="196" xfId="49" applyFont="true" applyBorder="true" applyAlignment="true" applyProtection="true">
      <alignment horizontal="general" vertical="bottom" textRotation="0" wrapText="false" indent="0" shrinkToFit="false"/>
      <protection locked="true" hidden="false"/>
    </xf>
    <xf numFmtId="164" fontId="23" fillId="14" borderId="196" xfId="46"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false">
      <alignment horizontal="general" vertical="bottom" textRotation="0" wrapText="false" indent="0" shrinkToFit="false"/>
      <protection locked="true" hidden="false"/>
    </xf>
    <xf numFmtId="164" fontId="0" fillId="25" borderId="0" xfId="0" applyFont="true" applyBorder="false" applyAlignment="false" applyProtection="false">
      <alignment horizontal="general" vertical="bottom" textRotation="0" wrapText="false" indent="0" shrinkToFit="false"/>
      <protection locked="true" hidden="false"/>
    </xf>
    <xf numFmtId="164" fontId="52" fillId="0" borderId="6" xfId="0" applyFont="true" applyBorder="true" applyAlignment="true" applyProtection="false">
      <alignment horizontal="general" vertical="bottom" textRotation="0" wrapText="false" indent="0" shrinkToFit="false"/>
      <protection locked="true" hidden="false"/>
    </xf>
    <xf numFmtId="172" fontId="0" fillId="0" borderId="6" xfId="0" applyFont="true" applyBorder="true" applyAlignment="true" applyProtection="true">
      <alignment horizontal="center" vertical="center" textRotation="0" wrapText="true" indent="0" shrinkToFit="false"/>
      <protection locked="false" hidden="false"/>
    </xf>
    <xf numFmtId="164" fontId="0" fillId="0" borderId="6" xfId="0" applyFont="true" applyBorder="true" applyAlignment="true" applyProtection="false">
      <alignment horizontal="right" vertical="bottom" textRotation="0" wrapText="false" indent="0" shrinkToFit="false"/>
      <protection locked="true" hidden="false"/>
    </xf>
    <xf numFmtId="164" fontId="0" fillId="0" borderId="6"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left" vertical="center" textRotation="0" wrapText="true" indent="0" shrinkToFit="false"/>
      <protection locked="true" hidden="false"/>
    </xf>
    <xf numFmtId="164" fontId="5" fillId="19" borderId="91" xfId="49" applyFont="true" applyBorder="true" applyAlignment="true" applyProtection="true">
      <alignment horizontal="general" vertical="center" textRotation="0" wrapText="true" indent="0" shrinkToFit="false"/>
      <protection locked="true" hidden="false"/>
    </xf>
    <xf numFmtId="164" fontId="23" fillId="19" borderId="112" xfId="49" applyFont="true" applyBorder="true" applyAlignment="true" applyProtection="true">
      <alignment horizontal="center" vertical="center" textRotation="0" wrapText="true" indent="0" shrinkToFit="false"/>
      <protection locked="true" hidden="false"/>
    </xf>
    <xf numFmtId="164" fontId="23" fillId="19" borderId="112" xfId="49" applyFont="true" applyBorder="true" applyAlignment="true" applyProtection="true">
      <alignment horizontal="center" vertical="center" textRotation="0" wrapText="false" indent="0" shrinkToFit="false"/>
      <protection locked="true" hidden="false"/>
    </xf>
    <xf numFmtId="164" fontId="23" fillId="19" borderId="113" xfId="49" applyFont="true" applyBorder="true" applyAlignment="true" applyProtection="true">
      <alignment horizontal="center" vertical="center" textRotation="0" wrapText="false" indent="0" shrinkToFit="false"/>
      <protection locked="true" hidden="false"/>
    </xf>
    <xf numFmtId="164" fontId="0" fillId="14" borderId="55" xfId="46" applyFont="true" applyBorder="true" applyAlignment="true" applyProtection="true">
      <alignment horizontal="center" vertical="center" textRotation="0" wrapText="true" indent="0" shrinkToFit="false"/>
      <protection locked="true" hidden="false"/>
    </xf>
    <xf numFmtId="164" fontId="23" fillId="14" borderId="6" xfId="46" applyFont="true" applyBorder="true" applyAlignment="true" applyProtection="true">
      <alignment horizontal="center" vertical="center" textRotation="0" wrapText="true" indent="0" shrinkToFit="false"/>
      <protection locked="true" hidden="false"/>
    </xf>
    <xf numFmtId="164" fontId="158" fillId="14" borderId="6" xfId="46" applyFont="true" applyBorder="true" applyAlignment="true" applyProtection="true">
      <alignment horizontal="center" vertical="center" textRotation="0" wrapText="true" indent="0" shrinkToFit="false"/>
      <protection locked="true" hidden="false"/>
    </xf>
    <xf numFmtId="164" fontId="23" fillId="14" borderId="56" xfId="46" applyFont="true" applyBorder="true" applyAlignment="true" applyProtection="true">
      <alignment horizontal="center" vertical="center" textRotation="0" wrapText="false" indent="0" shrinkToFit="false"/>
      <protection locked="true" hidden="false"/>
    </xf>
    <xf numFmtId="164" fontId="52" fillId="0" borderId="55" xfId="0" applyFont="true" applyBorder="true" applyAlignment="false" applyProtection="false">
      <alignment horizontal="general" vertical="bottom" textRotation="0" wrapText="false" indent="0" shrinkToFit="false"/>
      <protection locked="true" hidden="false"/>
    </xf>
    <xf numFmtId="174" fontId="0" fillId="3" borderId="56" xfId="44" applyFont="false" applyBorder="true" applyAlignment="true" applyProtection="true">
      <alignment horizontal="center" vertical="center" textRotation="0" wrapText="false" indent="0" shrinkToFit="false"/>
      <protection locked="true" hidden="false"/>
    </xf>
    <xf numFmtId="164" fontId="52" fillId="0" borderId="55"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false" applyAlignment="false" applyProtection="true">
      <alignment horizontal="general" vertical="bottom" textRotation="0" wrapText="false" indent="0" shrinkToFit="false"/>
      <protection locked="false" hidden="false"/>
    </xf>
    <xf numFmtId="164" fontId="0" fillId="0" borderId="0" xfId="0" applyFont="false" applyBorder="false" applyAlignment="false" applyProtection="true">
      <alignment horizontal="general" vertical="bottom" textRotation="0" wrapText="false" indent="0" shrinkToFit="false"/>
      <protection locked="false" hidden="false"/>
    </xf>
    <xf numFmtId="164" fontId="159" fillId="0" borderId="55" xfId="0" applyFont="true" applyBorder="true" applyAlignment="false" applyProtection="false">
      <alignment horizontal="general" vertical="bottom" textRotation="0" wrapText="false" indent="0" shrinkToFit="false"/>
      <protection locked="true" hidden="false"/>
    </xf>
    <xf numFmtId="164" fontId="159" fillId="0" borderId="114" xfId="0" applyFont="true" applyBorder="true" applyAlignment="false" applyProtection="false">
      <alignment horizontal="general" vertical="bottom" textRotation="0" wrapText="false" indent="0" shrinkToFit="false"/>
      <protection locked="true" hidden="false"/>
    </xf>
    <xf numFmtId="164" fontId="159" fillId="0" borderId="26" xfId="0" applyFont="true" applyBorder="true" applyAlignment="false" applyProtection="false">
      <alignment horizontal="general" vertical="bottom" textRotation="0" wrapText="false" indent="0" shrinkToFit="false"/>
      <protection locked="true" hidden="false"/>
    </xf>
    <xf numFmtId="174" fontId="0" fillId="3" borderId="8" xfId="44" applyFont="false" applyBorder="true" applyAlignment="true" applyProtection="true">
      <alignment horizontal="center" vertical="center" textRotation="0" wrapText="true" indent="0" shrinkToFit="false"/>
      <protection locked="false" hidden="false"/>
    </xf>
    <xf numFmtId="164" fontId="159" fillId="0" borderId="131" xfId="0" applyFont="true" applyBorder="true" applyAlignment="false" applyProtection="false">
      <alignment horizontal="general" vertical="bottom" textRotation="0" wrapText="false" indent="0" shrinkToFit="false"/>
      <protection locked="true" hidden="false"/>
    </xf>
    <xf numFmtId="164" fontId="52" fillId="0" borderId="104" xfId="0" applyFont="true" applyBorder="true" applyAlignment="false" applyProtection="false">
      <alignment horizontal="general" vertical="bottom" textRotation="0" wrapText="false" indent="0" shrinkToFit="false"/>
      <protection locked="true" hidden="false"/>
    </xf>
    <xf numFmtId="174" fontId="0" fillId="3" borderId="105" xfId="44" applyFont="false" applyBorder="true" applyAlignment="true" applyProtection="true">
      <alignment horizontal="center" vertical="center" textRotation="0" wrapText="true" indent="0" shrinkToFit="false"/>
      <protection locked="false" hidden="false"/>
    </xf>
    <xf numFmtId="174" fontId="0" fillId="3" borderId="105" xfId="44" applyFont="false" applyBorder="true" applyAlignment="true" applyProtection="true">
      <alignment horizontal="center" vertical="center" textRotation="0" wrapText="false" indent="0" shrinkToFit="false"/>
      <protection locked="true" hidden="false"/>
    </xf>
    <xf numFmtId="164" fontId="0" fillId="19" borderId="105" xfId="45" applyFont="false" applyBorder="true" applyAlignment="true" applyProtection="true">
      <alignment horizontal="right" vertical="bottom" textRotation="0" wrapText="false" indent="0" shrinkToFit="false"/>
      <protection locked="true" hidden="false"/>
    </xf>
    <xf numFmtId="174" fontId="0" fillId="3" borderId="106" xfId="44" applyFont="false" applyBorder="true" applyAlignment="true" applyProtection="true">
      <alignment horizontal="center" vertical="center" textRotation="0" wrapText="false" indent="0" shrinkToFit="false"/>
      <protection locked="true" hidden="false"/>
    </xf>
    <xf numFmtId="164" fontId="154" fillId="0" borderId="0" xfId="0" applyFont="true" applyBorder="true" applyAlignment="true" applyProtection="false">
      <alignment horizontal="left" vertical="center" textRotation="0" wrapText="true" indent="0" shrinkToFit="false"/>
      <protection locked="true" hidden="false"/>
    </xf>
    <xf numFmtId="164" fontId="160" fillId="19" borderId="6" xfId="49" applyFont="true" applyBorder="true" applyAlignment="true" applyProtection="true">
      <alignment horizontal="left" vertical="center" textRotation="0" wrapText="true" indent="0" shrinkToFit="false"/>
      <protection locked="true" hidden="false"/>
    </xf>
    <xf numFmtId="164" fontId="0" fillId="0" borderId="6" xfId="0" applyFont="true" applyBorder="true" applyAlignment="true" applyProtection="false">
      <alignment horizontal="left" vertical="top" textRotation="0" wrapText="true" indent="0" shrinkToFit="false"/>
      <protection locked="true" hidden="false"/>
    </xf>
    <xf numFmtId="167" fontId="0" fillId="15" borderId="6" xfId="37" applyFont="false" applyBorder="true" applyAlignment="true" applyProtection="true">
      <alignment horizontal="right" vertical="center" textRotation="0" wrapText="false" indent="0" shrinkToFit="false"/>
      <protection locked="true" hidden="false"/>
    </xf>
    <xf numFmtId="164" fontId="155" fillId="0" borderId="0" xfId="0" applyFont="true" applyBorder="true" applyAlignment="true" applyProtection="false">
      <alignment horizontal="left" vertical="top" textRotation="0" wrapText="true" indent="0" shrinkToFit="false"/>
      <protection locked="true" hidden="false"/>
    </xf>
    <xf numFmtId="164" fontId="118" fillId="0" borderId="0" xfId="0" applyFont="true" applyBorder="true" applyAlignment="true" applyProtection="false">
      <alignment horizontal="center" vertical="bottom" textRotation="0" wrapText="false" indent="0" shrinkToFit="false"/>
      <protection locked="true" hidden="false"/>
    </xf>
    <xf numFmtId="164" fontId="0" fillId="0" borderId="0" xfId="0" applyFont="true" applyBorder="true" applyAlignment="true" applyProtection="false">
      <alignment horizontal="left" vertical="top" textRotation="0" wrapText="false" indent="0" shrinkToFit="false"/>
      <protection locked="true" hidden="false"/>
    </xf>
    <xf numFmtId="164" fontId="118" fillId="0" borderId="0" xfId="0" applyFont="true" applyBorder="false" applyAlignment="true" applyProtection="false">
      <alignment horizontal="center" vertical="bottom" textRotation="0" wrapText="false" indent="0" shrinkToFit="false"/>
      <protection locked="true" hidden="false"/>
    </xf>
    <xf numFmtId="164" fontId="23" fillId="19" borderId="100" xfId="49" applyFont="true" applyBorder="true" applyAlignment="true" applyProtection="true">
      <alignment horizontal="center" vertical="center" textRotation="0" wrapText="true" indent="0" shrinkToFit="false"/>
      <protection locked="true" hidden="false"/>
    </xf>
    <xf numFmtId="164" fontId="52" fillId="23" borderId="129" xfId="0" applyFont="true" applyBorder="true" applyAlignment="false" applyProtection="true">
      <alignment horizontal="general" vertical="bottom" textRotation="0" wrapText="false" indent="0" shrinkToFit="false"/>
      <protection locked="false" hidden="false"/>
    </xf>
    <xf numFmtId="174" fontId="0" fillId="3" borderId="6" xfId="44" applyFont="false" applyBorder="true" applyAlignment="true" applyProtection="true">
      <alignment horizontal="center" vertical="top" textRotation="0" wrapText="true" indent="0" shrinkToFit="false"/>
      <protection locked="false" hidden="false"/>
    </xf>
    <xf numFmtId="167" fontId="0" fillId="15" borderId="6" xfId="37" applyFont="false" applyBorder="true" applyAlignment="true" applyProtection="true">
      <alignment horizontal="right" vertical="top" textRotation="0" wrapText="true" indent="0" shrinkToFit="false"/>
      <protection locked="true" hidden="false"/>
    </xf>
    <xf numFmtId="167" fontId="0" fillId="3" borderId="6" xfId="44" applyFont="false" applyBorder="true" applyAlignment="true" applyProtection="true">
      <alignment horizontal="center" vertical="top" textRotation="0" wrapText="true" indent="0" shrinkToFit="false"/>
      <protection locked="true" hidden="false"/>
    </xf>
    <xf numFmtId="167" fontId="0" fillId="19" borderId="6" xfId="45" applyFont="false" applyBorder="true" applyAlignment="true" applyProtection="true">
      <alignment horizontal="right" vertical="top" textRotation="0" wrapText="true" indent="0" shrinkToFit="false"/>
      <protection locked="true" hidden="false"/>
    </xf>
    <xf numFmtId="167" fontId="0" fillId="15" borderId="6" xfId="37" applyFont="false" applyBorder="true" applyAlignment="true" applyProtection="true">
      <alignment horizontal="right" vertical="top" textRotation="0" wrapText="true" indent="0" shrinkToFit="false"/>
      <protection locked="false" hidden="false"/>
    </xf>
    <xf numFmtId="164" fontId="52" fillId="23" borderId="6" xfId="0" applyFont="true" applyBorder="true" applyAlignment="false" applyProtection="true">
      <alignment horizontal="general" vertical="bottom" textRotation="0" wrapText="false" indent="0" shrinkToFit="false"/>
      <protection locked="false" hidden="false"/>
    </xf>
    <xf numFmtId="164" fontId="23" fillId="0" borderId="0" xfId="0" applyFont="true" applyBorder="true" applyAlignment="true" applyProtection="false">
      <alignment horizontal="left" vertical="top" textRotation="0" wrapText="true" indent="0" shrinkToFit="false"/>
      <protection locked="true" hidden="false"/>
    </xf>
    <xf numFmtId="164" fontId="0" fillId="0" borderId="0" xfId="0" applyFont="true" applyBorder="true" applyAlignment="true" applyProtection="false">
      <alignment horizontal="left" vertical="top" textRotation="0" wrapText="true" indent="0" shrinkToFit="false"/>
      <protection locked="true" hidden="false"/>
    </xf>
    <xf numFmtId="164" fontId="0" fillId="0" borderId="0" xfId="0" applyFont="true" applyBorder="true" applyAlignment="true" applyProtection="false">
      <alignment horizontal="center" vertical="top" textRotation="0" wrapText="true" indent="0" shrinkToFit="false"/>
      <protection locked="true" hidden="false"/>
    </xf>
    <xf numFmtId="164" fontId="23" fillId="0" borderId="6" xfId="0" applyFont="true" applyBorder="true" applyAlignment="true" applyProtection="false">
      <alignment horizontal="general" vertical="center" textRotation="0" wrapText="true" indent="0" shrinkToFit="false"/>
      <protection locked="true" hidden="false"/>
    </xf>
    <xf numFmtId="170" fontId="23" fillId="14" borderId="6" xfId="46" applyFont="true" applyBorder="true" applyAlignment="true" applyProtection="true">
      <alignment horizontal="center" vertical="center" textRotation="0" wrapText="true" indent="0" shrinkToFit="false"/>
      <protection locked="true" hidden="false"/>
    </xf>
    <xf numFmtId="164" fontId="0" fillId="19" borderId="6" xfId="45" applyFont="false" applyBorder="true" applyAlignment="true" applyProtection="true">
      <alignment horizontal="center" vertical="center" textRotation="0" wrapText="true" indent="0" shrinkToFit="false"/>
      <protection locked="false" hidden="false"/>
    </xf>
    <xf numFmtId="167" fontId="0" fillId="15" borderId="6" xfId="37" applyFont="false" applyBorder="true" applyAlignment="true" applyProtection="true">
      <alignment horizontal="general" vertical="bottom" textRotation="0" wrapText="false" indent="0" shrinkToFit="false"/>
      <protection locked="true" hidden="false"/>
    </xf>
    <xf numFmtId="167" fontId="0" fillId="3" borderId="6" xfId="44" applyFont="false" applyBorder="tru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general" vertical="center" textRotation="0" wrapText="false" indent="0" shrinkToFit="false"/>
      <protection locked="fals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24" borderId="0" xfId="0" applyFont="true" applyBorder="false" applyAlignment="true" applyProtection="false">
      <alignment horizontal="general" vertical="center" textRotation="0" wrapText="false" indent="0" shrinkToFit="false"/>
      <protection locked="true" hidden="false"/>
    </xf>
    <xf numFmtId="167" fontId="0" fillId="3" borderId="6" xfId="44" applyFont="false" applyBorder="true" applyAlignment="true" applyProtection="true">
      <alignment horizontal="center" vertical="bottom" textRotation="0" wrapText="false" indent="0" shrinkToFit="false"/>
      <protection locked="false" hidden="false"/>
    </xf>
    <xf numFmtId="164" fontId="23" fillId="0" borderId="0" xfId="0" applyFont="true" applyBorder="true" applyAlignment="true" applyProtection="false">
      <alignment horizontal="center" vertical="center" textRotation="0" wrapText="false" indent="0" shrinkToFit="false"/>
      <protection locked="true" hidden="false"/>
    </xf>
    <xf numFmtId="172" fontId="23" fillId="0" borderId="0" xfId="0" applyFont="true" applyBorder="true" applyAlignment="true" applyProtection="false">
      <alignment horizontal="center" vertical="center" textRotation="0" wrapText="false" indent="0" shrinkToFit="false"/>
      <protection locked="true" hidden="false"/>
    </xf>
    <xf numFmtId="164" fontId="161" fillId="0" borderId="0" xfId="0" applyFont="true" applyBorder="false" applyAlignment="true" applyProtection="false">
      <alignment horizontal="general" vertical="center" textRotation="0" wrapText="false" indent="0" shrinkToFit="false"/>
      <protection locked="true" hidden="false"/>
    </xf>
    <xf numFmtId="164" fontId="161" fillId="0" borderId="0" xfId="0" applyFont="true" applyBorder="false" applyAlignment="false" applyProtection="false">
      <alignment horizontal="general" vertical="bottom" textRotation="0" wrapText="false" indent="0" shrinkToFit="false"/>
      <protection locked="true" hidden="false"/>
    </xf>
    <xf numFmtId="164" fontId="23" fillId="14" borderId="6" xfId="46" applyFont="true" applyBorder="true" applyAlignment="true" applyProtection="true">
      <alignment horizontal="center" vertical="bottom" textRotation="0" wrapText="false" indent="0" shrinkToFit="false"/>
      <protection locked="true" hidden="false"/>
    </xf>
    <xf numFmtId="170" fontId="0" fillId="15" borderId="6" xfId="37" applyFont="false" applyBorder="true" applyAlignment="true" applyProtection="true">
      <alignment horizontal="right" vertical="top" textRotation="0" wrapText="true" indent="0" shrinkToFit="false"/>
      <protection locked="true" hidden="false"/>
    </xf>
    <xf numFmtId="164" fontId="0" fillId="0" borderId="6" xfId="0" applyFont="true" applyBorder="true" applyAlignment="true" applyProtection="true">
      <alignment horizontal="left" vertical="top" textRotation="0" wrapText="true" indent="0" shrinkToFit="false"/>
      <protection locked="false" hidden="false"/>
    </xf>
    <xf numFmtId="164" fontId="0" fillId="0" borderId="6" xfId="0" applyFont="true" applyBorder="true" applyAlignment="true" applyProtection="true">
      <alignment horizontal="center" vertical="top" textRotation="0" wrapText="true" indent="0" shrinkToFit="false"/>
      <protection locked="false" hidden="false"/>
    </xf>
    <xf numFmtId="170" fontId="0" fillId="0" borderId="6" xfId="0" applyFont="true" applyBorder="true" applyAlignment="true" applyProtection="false">
      <alignment horizontal="right" vertical="top" textRotation="0" wrapText="true" indent="0" shrinkToFit="false"/>
      <protection locked="true" hidden="false"/>
    </xf>
    <xf numFmtId="167" fontId="0" fillId="0" borderId="6" xfId="0" applyFont="true" applyBorder="true" applyAlignment="true" applyProtection="false">
      <alignment horizontal="center" vertical="center" textRotation="0" wrapText="false" indent="0" shrinkToFit="false"/>
      <protection locked="true" hidden="false"/>
    </xf>
    <xf numFmtId="170" fontId="0" fillId="15" borderId="6" xfId="37" applyFont="false" applyBorder="true" applyAlignment="true" applyProtection="true">
      <alignment horizontal="right" vertical="top" textRotation="0" wrapText="true" indent="0" shrinkToFit="false"/>
      <protection locked="false" hidden="false"/>
    </xf>
    <xf numFmtId="164" fontId="162"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true" applyAlignment="true" applyProtection="false">
      <alignment horizontal="general" vertical="center" textRotation="0" wrapText="false" indent="0" shrinkToFit="false"/>
      <protection locked="true" hidden="false"/>
    </xf>
    <xf numFmtId="164" fontId="0" fillId="19" borderId="6" xfId="45" applyFont="false" applyBorder="true" applyAlignment="true" applyProtection="true">
      <alignment horizontal="center" vertical="bottom" textRotation="0" wrapText="false" indent="0" shrinkToFit="false"/>
      <protection locked="false" hidden="false"/>
    </xf>
    <xf numFmtId="179" fontId="0" fillId="15" borderId="6" xfId="37" applyFont="false" applyBorder="true" applyAlignment="true" applyProtection="true">
      <alignment horizontal="right" vertical="bottom" textRotation="0" wrapText="false" indent="0" shrinkToFit="false"/>
      <protection locked="true" hidden="false"/>
    </xf>
    <xf numFmtId="167" fontId="0" fillId="15" borderId="6" xfId="37" applyFont="false" applyBorder="true" applyAlignment="true" applyProtection="true">
      <alignment horizontal="right" vertical="bottom" textRotation="0" wrapText="false" indent="0" shrinkToFit="false"/>
      <protection locked="true" hidden="false"/>
    </xf>
    <xf numFmtId="164" fontId="0" fillId="0" borderId="6" xfId="0" applyFont="true" applyBorder="true" applyAlignment="false" applyProtection="true">
      <alignment horizontal="general" vertical="bottom" textRotation="0" wrapText="false" indent="0" shrinkToFit="false"/>
      <protection locked="false" hidden="false"/>
    </xf>
    <xf numFmtId="164" fontId="0" fillId="19" borderId="11" xfId="45" applyFont="false" applyBorder="true" applyAlignment="true" applyProtection="true">
      <alignment horizontal="center" vertical="bottom" textRotation="0" wrapText="false" indent="0" shrinkToFit="false"/>
      <protection locked="false" hidden="false"/>
    </xf>
    <xf numFmtId="174" fontId="0" fillId="3" borderId="1" xfId="44" applyFont="false" applyBorder="true" applyAlignment="true" applyProtection="true">
      <alignment horizontal="general" vertical="center" textRotation="0" wrapText="false" indent="0" shrinkToFit="false"/>
      <protection locked="true" hidden="false"/>
    </xf>
    <xf numFmtId="164" fontId="23" fillId="19" borderId="8" xfId="49" applyFont="true" applyBorder="true" applyAlignment="true" applyProtection="true">
      <alignment horizontal="center" vertical="center" textRotation="0" wrapText="false" indent="0" shrinkToFit="false"/>
      <protection locked="true" hidden="false"/>
    </xf>
    <xf numFmtId="164" fontId="23" fillId="0" borderId="0" xfId="0" applyFont="true" applyBorder="true" applyAlignment="true" applyProtection="false">
      <alignment horizontal="general" vertical="center" textRotation="0" wrapText="false" indent="0" shrinkToFit="false"/>
      <protection locked="true" hidden="false"/>
    </xf>
    <xf numFmtId="164" fontId="5" fillId="19" borderId="185" xfId="49" applyFont="true" applyBorder="true" applyAlignment="true" applyProtection="true">
      <alignment horizontal="general" vertical="center" textRotation="0" wrapText="true" indent="0" shrinkToFit="false"/>
      <protection locked="true" hidden="false"/>
    </xf>
    <xf numFmtId="164" fontId="23" fillId="19" borderId="197" xfId="49" applyFont="true" applyBorder="true" applyAlignment="true" applyProtection="true">
      <alignment horizontal="center" vertical="center" textRotation="0" wrapText="true" indent="0" shrinkToFit="false"/>
      <protection locked="true" hidden="false"/>
    </xf>
    <xf numFmtId="164" fontId="0" fillId="0" borderId="55" xfId="0" applyFont="true" applyBorder="true" applyAlignment="false" applyProtection="false">
      <alignment horizontal="general" vertical="bottom" textRotation="0" wrapText="false" indent="0" shrinkToFit="false"/>
      <protection locked="true" hidden="false"/>
    </xf>
    <xf numFmtId="164" fontId="0" fillId="0" borderId="55" xfId="0" applyFont="true" applyBorder="true" applyAlignment="true" applyProtection="false">
      <alignment horizontal="general" vertical="bottom" textRotation="0" wrapText="false" indent="0" shrinkToFit="false"/>
      <protection locked="true" hidden="false"/>
    </xf>
    <xf numFmtId="164" fontId="24" fillId="0" borderId="55" xfId="0" applyFont="true" applyBorder="true" applyAlignment="false" applyProtection="false">
      <alignment horizontal="general" vertical="bottom" textRotation="0" wrapText="false" indent="0" shrinkToFit="false"/>
      <protection locked="true" hidden="false"/>
    </xf>
    <xf numFmtId="164" fontId="0" fillId="0" borderId="114" xfId="0" applyFont="true" applyBorder="true" applyAlignment="true" applyProtection="false">
      <alignment horizontal="general" vertical="bottom" textRotation="0" wrapText="false" indent="0" shrinkToFit="false"/>
      <protection locked="true" hidden="false"/>
    </xf>
    <xf numFmtId="164" fontId="0" fillId="0" borderId="104" xfId="0" applyFont="true" applyBorder="true" applyAlignment="false" applyProtection="false">
      <alignment horizontal="general" vertical="bottom" textRotation="0" wrapText="false" indent="0" shrinkToFit="false"/>
      <protection locked="true" hidden="false"/>
    </xf>
    <xf numFmtId="164" fontId="0" fillId="19" borderId="105" xfId="45" applyFont="false" applyBorder="true" applyAlignment="true" applyProtection="true">
      <alignment horizontal="center" vertical="bottom" textRotation="0" wrapText="false" indent="0" shrinkToFit="false"/>
      <protection locked="false" hidden="false"/>
    </xf>
    <xf numFmtId="164" fontId="23" fillId="19" borderId="110" xfId="49" applyFont="true" applyBorder="true" applyAlignment="true" applyProtection="true">
      <alignment horizontal="center" vertical="center" textRotation="0" wrapText="true" indent="0" shrinkToFit="false"/>
      <protection locked="true" hidden="false"/>
    </xf>
    <xf numFmtId="164" fontId="23" fillId="14" borderId="96" xfId="46" applyFont="true" applyBorder="true" applyAlignment="true" applyProtection="true">
      <alignment horizontal="center" vertical="center" textRotation="0" wrapText="true" indent="0" shrinkToFit="false"/>
      <protection locked="true" hidden="false"/>
    </xf>
    <xf numFmtId="164" fontId="23" fillId="14" borderId="98" xfId="46" applyFont="true" applyBorder="true" applyAlignment="true" applyProtection="true">
      <alignment horizontal="center" vertical="center" textRotation="0" wrapText="true" indent="0" shrinkToFit="false"/>
      <protection locked="true" hidden="false"/>
    </xf>
    <xf numFmtId="170" fontId="0" fillId="3" borderId="102" xfId="44" applyFont="false" applyBorder="true" applyAlignment="true" applyProtection="true">
      <alignment horizontal="center" vertical="center" textRotation="0" wrapText="true" indent="0" shrinkToFit="false"/>
      <protection locked="false" hidden="false"/>
    </xf>
    <xf numFmtId="164" fontId="0" fillId="15" borderId="108" xfId="37" applyFont="false" applyBorder="true" applyAlignment="true" applyProtection="true">
      <alignment horizontal="right" vertical="bottom" textRotation="0" wrapText="false" indent="0" shrinkToFit="false"/>
      <protection locked="true" hidden="false"/>
    </xf>
    <xf numFmtId="174" fontId="0" fillId="3" borderId="111" xfId="44" applyFont="false" applyBorder="true" applyAlignment="true" applyProtection="true">
      <alignment horizontal="center" vertical="center" textRotation="0" wrapText="false" indent="0" shrinkToFit="false"/>
      <protection locked="true" hidden="false"/>
    </xf>
    <xf numFmtId="164" fontId="23" fillId="14" borderId="119" xfId="46" applyFont="true" applyBorder="true" applyAlignment="true" applyProtection="true">
      <alignment horizontal="center" vertical="center" textRotation="0" wrapText="true" indent="0" shrinkToFit="false"/>
      <protection locked="true" hidden="false"/>
    </xf>
    <xf numFmtId="174" fontId="0" fillId="3" borderId="102" xfId="44" applyFont="false" applyBorder="true" applyAlignment="true" applyProtection="true">
      <alignment horizontal="center" vertical="center" textRotation="0" wrapText="true" indent="0" shrinkToFit="false"/>
      <protection locked="false" hidden="false"/>
    </xf>
    <xf numFmtId="164" fontId="23" fillId="14" borderId="130" xfId="46" applyFont="true" applyBorder="true" applyAlignment="true" applyProtection="true">
      <alignment horizontal="center" vertical="center" textRotation="0" wrapText="true" indent="0" shrinkToFit="false"/>
      <protection locked="true" hidden="false"/>
    </xf>
    <xf numFmtId="170" fontId="0" fillId="15" borderId="108" xfId="37" applyFont="false" applyBorder="true" applyAlignment="true" applyProtection="true">
      <alignment horizontal="right" vertical="bottom" textRotation="0" wrapText="false" indent="0" shrinkToFit="false"/>
      <protection locked="true" hidden="false"/>
    </xf>
    <xf numFmtId="164" fontId="23" fillId="19" borderId="6" xfId="49" applyFont="true" applyBorder="true" applyAlignment="true" applyProtection="true">
      <alignment horizontal="general" vertical="bottom" textRotation="0" wrapText="true" indent="0" shrinkToFit="false"/>
      <protection locked="true" hidden="false"/>
    </xf>
    <xf numFmtId="164" fontId="154" fillId="13" borderId="0" xfId="0" applyFont="true" applyBorder="true" applyAlignment="true" applyProtection="false">
      <alignment horizontal="left" vertical="center" textRotation="0" wrapText="true" indent="0" shrinkToFit="false"/>
      <protection locked="true" hidden="false"/>
    </xf>
    <xf numFmtId="164" fontId="154" fillId="0" borderId="0" xfId="0" applyFont="true" applyBorder="false" applyAlignment="true" applyProtection="false">
      <alignment horizontal="left" vertical="center" textRotation="0" wrapText="false" indent="0" shrinkToFit="false"/>
      <protection locked="true" hidden="false"/>
    </xf>
    <xf numFmtId="172" fontId="23" fillId="3" borderId="11" xfId="44" applyFont="true" applyBorder="true" applyAlignment="true" applyProtection="true">
      <alignment horizontal="center" vertical="center" textRotation="0" wrapText="true" indent="0" shrinkToFit="false"/>
      <protection locked="true" hidden="false"/>
    </xf>
    <xf numFmtId="164" fontId="8" fillId="15" borderId="7" xfId="0" applyFont="true" applyBorder="true" applyAlignment="true" applyProtection="false">
      <alignment horizontal="left" vertical="center" textRotation="0" wrapText="false" indent="0" shrinkToFit="false"/>
      <protection locked="true" hidden="false"/>
    </xf>
    <xf numFmtId="164" fontId="8" fillId="15" borderId="100" xfId="0" applyFont="true" applyBorder="true" applyAlignment="true" applyProtection="false">
      <alignment horizontal="left" vertical="center" textRotation="0" wrapText="true" indent="0" shrinkToFit="false"/>
      <protection locked="true" hidden="false"/>
    </xf>
    <xf numFmtId="164" fontId="8" fillId="15" borderId="8" xfId="0" applyFont="true" applyBorder="true" applyAlignment="true" applyProtection="false">
      <alignment horizontal="left" vertical="center" textRotation="0" wrapText="true" indent="0" shrinkToFit="false"/>
      <protection locked="true" hidden="false"/>
    </xf>
    <xf numFmtId="172" fontId="23" fillId="3" borderId="6" xfId="44" applyFont="true" applyBorder="true" applyAlignment="true" applyProtection="true">
      <alignment horizontal="center" vertical="center" textRotation="0" wrapText="true" indent="0" shrinkToFit="false"/>
      <protection locked="true" hidden="false"/>
    </xf>
    <xf numFmtId="172" fontId="8" fillId="0" borderId="0" xfId="0" applyFont="true" applyBorder="false" applyAlignment="true" applyProtection="false">
      <alignment horizontal="left" vertical="center" textRotation="0" wrapText="true" indent="0" shrinkToFit="false"/>
      <protection locked="true" hidden="false"/>
    </xf>
    <xf numFmtId="164" fontId="8" fillId="0" borderId="0" xfId="0" applyFont="true" applyBorder="false" applyAlignment="true" applyProtection="false">
      <alignment horizontal="left" vertical="center" textRotation="0" wrapText="true" indent="0" shrinkToFit="false"/>
      <protection locked="true" hidden="false"/>
    </xf>
    <xf numFmtId="172" fontId="23" fillId="3" borderId="14" xfId="44" applyFont="true" applyBorder="true" applyAlignment="true" applyProtection="true">
      <alignment horizontal="center" vertical="center" textRotation="0" wrapText="true" indent="0" shrinkToFit="false"/>
      <protection locked="true" hidden="false"/>
    </xf>
    <xf numFmtId="164" fontId="8" fillId="0" borderId="0" xfId="0" applyFont="true" applyBorder="false" applyAlignment="true" applyProtection="false">
      <alignment horizontal="general" vertical="center" textRotation="0" wrapText="false" indent="0" shrinkToFit="false"/>
      <protection locked="true" hidden="false"/>
    </xf>
    <xf numFmtId="164" fontId="8" fillId="0" borderId="0" xfId="0" applyFont="true" applyBorder="true" applyAlignment="true" applyProtection="false">
      <alignment horizontal="left" vertical="center" textRotation="0" wrapText="false" indent="0" shrinkToFit="false"/>
      <protection locked="true" hidden="false"/>
    </xf>
    <xf numFmtId="164" fontId="8" fillId="0" borderId="0" xfId="0" applyFont="true" applyBorder="true" applyAlignment="true" applyProtection="false">
      <alignment horizontal="left" vertical="center" textRotation="0" wrapText="true" indent="0" shrinkToFit="false"/>
      <protection locked="true" hidden="false"/>
    </xf>
    <xf numFmtId="164" fontId="8" fillId="0" borderId="6" xfId="0" applyFont="true" applyBorder="true" applyAlignment="true" applyProtection="false">
      <alignment horizontal="center" vertical="center" textRotation="0" wrapText="true" indent="0" shrinkToFit="false"/>
      <protection locked="true" hidden="false"/>
    </xf>
    <xf numFmtId="164" fontId="8" fillId="0" borderId="0" xfId="0" applyFont="true" applyBorder="true" applyAlignment="true" applyProtection="false">
      <alignment horizontal="center" vertical="center" textRotation="0" wrapText="true" indent="0" shrinkToFit="false"/>
      <protection locked="true" hidden="false"/>
    </xf>
    <xf numFmtId="164" fontId="8" fillId="0" borderId="195" xfId="0" applyFont="true" applyBorder="true" applyAlignment="true" applyProtection="false">
      <alignment horizontal="left" vertical="center" textRotation="0" wrapText="true" indent="0" shrinkToFit="false"/>
      <protection locked="true" hidden="false"/>
    </xf>
    <xf numFmtId="164" fontId="23" fillId="0" borderId="0" xfId="0" applyFont="true" applyBorder="false" applyAlignment="true" applyProtection="false">
      <alignment horizontal="left" vertical="center" textRotation="0" wrapText="true" indent="0" shrinkToFit="false"/>
      <protection locked="true" hidden="false"/>
    </xf>
    <xf numFmtId="164" fontId="163" fillId="15" borderId="100" xfId="0" applyFont="true" applyBorder="true" applyAlignment="true" applyProtection="false">
      <alignment horizontal="left" vertical="center" textRotation="0" wrapText="false" indent="0" shrinkToFit="false"/>
      <protection locked="true" hidden="false"/>
    </xf>
    <xf numFmtId="164" fontId="163" fillId="15" borderId="8" xfId="0" applyFont="true" applyBorder="true" applyAlignment="true" applyProtection="false">
      <alignment horizontal="left" vertical="center" textRotation="0" wrapText="false" indent="0" shrinkToFit="false"/>
      <protection locked="true" hidden="false"/>
    </xf>
    <xf numFmtId="172" fontId="23" fillId="3" borderId="6" xfId="44" applyFont="true" applyBorder="true" applyAlignment="true" applyProtection="true">
      <alignment horizontal="center" vertical="center" textRotation="0" wrapText="false" indent="0" shrinkToFit="false"/>
      <protection locked="true" hidden="false"/>
    </xf>
    <xf numFmtId="164" fontId="163" fillId="0" borderId="0" xfId="0" applyFont="true" applyBorder="false" applyAlignment="true" applyProtection="false">
      <alignment horizontal="left" vertical="center" textRotation="0" wrapText="false" indent="0" shrinkToFit="false"/>
      <protection locked="true" hidden="false"/>
    </xf>
    <xf numFmtId="164" fontId="163" fillId="0" borderId="0" xfId="0" applyFont="true" applyBorder="false" applyAlignment="true" applyProtection="false">
      <alignment horizontal="general" vertical="center" textRotation="0" wrapText="false" indent="0" shrinkToFit="false"/>
      <protection locked="true" hidden="false"/>
    </xf>
    <xf numFmtId="172" fontId="23" fillId="3" borderId="11" xfId="44" applyFont="true" applyBorder="true" applyAlignment="true" applyProtection="true">
      <alignment horizontal="center" vertical="center" textRotation="0" wrapText="false" indent="0" shrinkToFit="false"/>
      <protection locked="true" hidden="false"/>
    </xf>
    <xf numFmtId="164" fontId="23" fillId="0" borderId="100" xfId="0" applyFont="true" applyBorder="true" applyAlignment="true" applyProtection="false">
      <alignment horizontal="general" vertical="center" textRotation="0" wrapText="false" indent="0" shrinkToFit="false"/>
      <protection locked="true" hidden="false"/>
    </xf>
    <xf numFmtId="164" fontId="8" fillId="0" borderId="6" xfId="0" applyFont="true" applyBorder="true" applyAlignment="true" applyProtection="false">
      <alignment horizontal="right" vertical="center" textRotation="0" wrapText="true" indent="0" shrinkToFit="false"/>
      <protection locked="true" hidden="false"/>
    </xf>
    <xf numFmtId="164" fontId="8" fillId="0" borderId="6" xfId="0" applyFont="true" applyBorder="true" applyAlignment="true" applyProtection="false">
      <alignment horizontal="left" vertical="center" textRotation="0" wrapText="true" indent="0" shrinkToFit="false"/>
      <protection locked="true" hidden="false"/>
    </xf>
    <xf numFmtId="164" fontId="8" fillId="0" borderId="195" xfId="0" applyFont="true" applyBorder="true" applyAlignment="true" applyProtection="false">
      <alignment horizontal="center" vertical="center" textRotation="0" wrapText="true" indent="0" shrinkToFit="false"/>
      <protection locked="true" hidden="false"/>
    </xf>
    <xf numFmtId="172" fontId="8" fillId="0" borderId="195" xfId="0" applyFont="true" applyBorder="true" applyAlignment="true" applyProtection="false">
      <alignment horizontal="center" vertical="center" textRotation="0" wrapText="false" indent="0" shrinkToFit="false"/>
      <protection locked="true" hidden="false"/>
    </xf>
    <xf numFmtId="172" fontId="8" fillId="0" borderId="0" xfId="0" applyFont="true" applyBorder="true" applyAlignment="true" applyProtection="false">
      <alignment horizontal="left" vertical="center" textRotation="0" wrapText="true" indent="0" shrinkToFit="false"/>
      <protection locked="true" hidden="false"/>
    </xf>
    <xf numFmtId="164" fontId="23" fillId="14" borderId="12" xfId="46" applyFont="true" applyBorder="true" applyAlignment="true" applyProtection="true">
      <alignment horizontal="center" vertical="center" textRotation="0" wrapText="false" indent="0" shrinkToFit="false"/>
      <protection locked="true" hidden="false"/>
    </xf>
    <xf numFmtId="164" fontId="164" fillId="0" borderId="0" xfId="0" applyFont="true" applyBorder="false" applyAlignment="true" applyProtection="false">
      <alignment horizontal="general" vertical="center" textRotation="0" wrapText="false" indent="0" shrinkToFit="false"/>
      <protection locked="true" hidden="false"/>
    </xf>
    <xf numFmtId="164" fontId="8" fillId="19" borderId="170" xfId="49" applyFont="true" applyBorder="true" applyAlignment="true" applyProtection="true">
      <alignment horizontal="center" vertical="center" textRotation="0" wrapText="false" indent="0" shrinkToFit="false"/>
      <protection locked="true" hidden="false"/>
    </xf>
    <xf numFmtId="172" fontId="23" fillId="3" borderId="26" xfId="44" applyFont="true" applyBorder="true" applyAlignment="true" applyProtection="true">
      <alignment horizontal="center" vertical="center" textRotation="0" wrapText="true" indent="0" shrinkToFit="false"/>
      <protection locked="true" hidden="false"/>
    </xf>
    <xf numFmtId="164" fontId="77" fillId="0" borderId="170" xfId="0" applyFont="true" applyBorder="true" applyAlignment="false" applyProtection="false">
      <alignment horizontal="general" vertical="bottom" textRotation="0" wrapText="false" indent="0" shrinkToFit="false"/>
      <protection locked="true" hidden="false"/>
    </xf>
    <xf numFmtId="164" fontId="77" fillId="0" borderId="198" xfId="0" applyFont="true" applyBorder="true" applyAlignment="false" applyProtection="false">
      <alignment horizontal="general" vertical="bottom" textRotation="0" wrapText="false" indent="0" shrinkToFit="false"/>
      <protection locked="true" hidden="false"/>
    </xf>
    <xf numFmtId="164" fontId="78" fillId="0" borderId="198" xfId="0" applyFont="true" applyBorder="true" applyAlignment="false" applyProtection="false">
      <alignment horizontal="general" vertical="bottom" textRotation="0" wrapText="false" indent="0" shrinkToFit="false"/>
      <protection locked="true" hidden="false"/>
    </xf>
    <xf numFmtId="164" fontId="79" fillId="0" borderId="198" xfId="0" applyFont="true" applyBorder="true" applyAlignment="false" applyProtection="false">
      <alignment horizontal="general" vertical="bottom" textRotation="0" wrapText="false" indent="0" shrinkToFit="false"/>
      <protection locked="true" hidden="false"/>
    </xf>
    <xf numFmtId="164" fontId="69" fillId="0" borderId="198" xfId="0" applyFont="true" applyBorder="true" applyAlignment="false" applyProtection="false">
      <alignment horizontal="general" vertical="bottom" textRotation="0" wrapText="false" indent="0" shrinkToFit="false"/>
      <protection locked="true" hidden="false"/>
    </xf>
    <xf numFmtId="164" fontId="69" fillId="0" borderId="3" xfId="0" applyFont="true" applyBorder="true" applyAlignment="false" applyProtection="false">
      <alignment horizontal="general" vertical="bottom" textRotation="0" wrapText="false" indent="0" shrinkToFit="false"/>
      <protection locked="true" hidden="false"/>
    </xf>
    <xf numFmtId="164" fontId="70" fillId="0" borderId="0" xfId="0" applyFont="true" applyBorder="false" applyAlignment="false" applyProtection="false">
      <alignment horizontal="general" vertical="bottom" textRotation="0" wrapText="false" indent="0" shrinkToFit="false"/>
      <protection locked="true" hidden="false"/>
    </xf>
    <xf numFmtId="164" fontId="166" fillId="0" borderId="0" xfId="0" applyFont="true" applyBorder="false" applyAlignment="false" applyProtection="false">
      <alignment horizontal="general" vertical="bottom" textRotation="0" wrapText="false" indent="0" shrinkToFit="false"/>
      <protection locked="true" hidden="false"/>
    </xf>
    <xf numFmtId="164" fontId="79" fillId="0" borderId="1" xfId="0" applyFont="true" applyBorder="true" applyAlignment="true" applyProtection="false">
      <alignment horizontal="center" vertical="center" textRotation="0" wrapText="true" indent="0" shrinkToFit="false"/>
      <protection locked="true" hidden="false"/>
    </xf>
    <xf numFmtId="164" fontId="79" fillId="0" borderId="3" xfId="0" applyFont="true" applyBorder="true" applyAlignment="true" applyProtection="false">
      <alignment horizontal="center" vertical="center" textRotation="0" wrapText="true" indent="0" shrinkToFit="false"/>
      <protection locked="true" hidden="false"/>
    </xf>
    <xf numFmtId="164" fontId="79" fillId="0" borderId="4" xfId="0" applyFont="true" applyBorder="true" applyAlignment="true" applyProtection="false">
      <alignment horizontal="general" vertical="center" textRotation="0" wrapText="true" indent="0" shrinkToFit="false"/>
      <protection locked="true" hidden="false"/>
    </xf>
    <xf numFmtId="164" fontId="79" fillId="0" borderId="5" xfId="0" applyFont="true" applyBorder="true" applyAlignment="true" applyProtection="false">
      <alignment horizontal="general" vertical="center" textRotation="0" wrapText="tru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69" fillId="0" borderId="4" xfId="0" applyFont="true" applyBorder="true" applyAlignment="true" applyProtection="false">
      <alignment horizontal="general" vertical="center" textRotation="0" wrapText="true" indent="0" shrinkToFit="false"/>
      <protection locked="true" hidden="false"/>
    </xf>
    <xf numFmtId="164" fontId="167" fillId="0" borderId="5" xfId="0" applyFont="true" applyBorder="true" applyAlignment="true" applyProtection="false">
      <alignment horizontal="center" vertical="center" textRotation="0" wrapText="true" indent="0" shrinkToFit="false"/>
      <protection locked="true" hidden="false"/>
    </xf>
    <xf numFmtId="164" fontId="83" fillId="0" borderId="5" xfId="0" applyFont="true" applyBorder="true" applyAlignment="true" applyProtection="false">
      <alignment horizontal="center" vertical="center" textRotation="0" wrapText="true" indent="0" shrinkToFit="false"/>
      <protection locked="true" hidden="false"/>
    </xf>
    <xf numFmtId="164" fontId="79" fillId="0" borderId="5" xfId="0" applyFont="true" applyBorder="true" applyAlignment="true" applyProtection="false">
      <alignment horizontal="center" vertical="center" textRotation="0" wrapText="true" indent="0" shrinkToFit="false"/>
      <protection locked="true" hidden="false"/>
    </xf>
    <xf numFmtId="164" fontId="69" fillId="0" borderId="0" xfId="0" applyFont="true" applyBorder="true" applyAlignment="true" applyProtection="false">
      <alignment horizontal="general" vertical="center" textRotation="0" wrapText="true" indent="0" shrinkToFit="false"/>
      <protection locked="true" hidden="false"/>
    </xf>
    <xf numFmtId="164" fontId="79" fillId="0" borderId="0" xfId="0" applyFont="true" applyBorder="true" applyAlignment="true" applyProtection="false">
      <alignment horizontal="center" vertical="center" textRotation="0" wrapText="true" indent="0" shrinkToFit="false"/>
      <protection locked="true" hidden="false"/>
    </xf>
    <xf numFmtId="164" fontId="168" fillId="0" borderId="0" xfId="0" applyFont="true" applyBorder="false" applyAlignment="true" applyProtection="false">
      <alignment horizontal="general" vertical="bottom" textRotation="0" wrapText="false" indent="0" shrinkToFit="false"/>
      <protection locked="true" hidden="false"/>
    </xf>
    <xf numFmtId="164" fontId="70" fillId="0" borderId="0" xfId="0" applyFont="true" applyBorder="false" applyAlignment="true" applyProtection="false">
      <alignment horizontal="general" vertical="bottom" textRotation="0" wrapText="false" indent="0" shrinkToFit="false"/>
      <protection locked="true" hidden="false"/>
    </xf>
    <xf numFmtId="164" fontId="0" fillId="17" borderId="6" xfId="0" applyFont="false" applyBorder="true" applyAlignment="true" applyProtection="false">
      <alignment horizontal="center" vertical="center" textRotation="0" wrapText="false" indent="0" shrinkToFit="false"/>
      <protection locked="true" hidden="false"/>
    </xf>
    <xf numFmtId="169" fontId="0" fillId="17" borderId="6" xfId="0" applyFont="false" applyBorder="true" applyAlignment="true" applyProtection="false">
      <alignment horizontal="left" vertical="bottom" textRotation="0" wrapText="false" indent="0" shrinkToFit="false"/>
      <protection locked="true" hidden="false"/>
    </xf>
    <xf numFmtId="164" fontId="0" fillId="0" borderId="6" xfId="0" applyFont="false" applyBorder="true" applyAlignment="true" applyProtection="false">
      <alignment horizontal="center" vertical="bottom" textRotation="0" wrapText="false" indent="0" shrinkToFit="false"/>
      <protection locked="true" hidden="false"/>
    </xf>
    <xf numFmtId="164" fontId="0" fillId="17" borderId="6" xfId="0" applyFont="false" applyBorder="true" applyAlignment="true" applyProtection="false">
      <alignment horizontal="center" vertical="bottom" textRotation="0" wrapText="false" indent="0" shrinkToFit="false"/>
      <protection locked="true" hidden="false"/>
    </xf>
    <xf numFmtId="164" fontId="23" fillId="0" borderId="6" xfId="0" applyFont="true" applyBorder="true" applyAlignment="false" applyProtection="false">
      <alignment horizontal="general" vertical="bottom" textRotation="0" wrapText="false" indent="0" shrinkToFit="false"/>
      <protection locked="true" hidden="false"/>
    </xf>
    <xf numFmtId="164" fontId="23" fillId="0" borderId="6" xfId="0" applyFont="true" applyBorder="true" applyAlignment="true" applyProtection="false">
      <alignment horizontal="left" vertical="bottom" textRotation="0" wrapText="false" indent="0" shrinkToFit="false"/>
      <protection locked="true" hidden="false"/>
    </xf>
    <xf numFmtId="164" fontId="0" fillId="0" borderId="6" xfId="0" applyFont="true" applyBorder="true" applyAlignment="true" applyProtection="false">
      <alignment horizontal="left" vertical="bottom" textRotation="0" wrapText="false" indent="0" shrinkToFit="false"/>
      <protection locked="true" hidden="false"/>
    </xf>
    <xf numFmtId="164" fontId="118" fillId="0" borderId="6" xfId="0" applyFont="true" applyBorder="true" applyAlignment="true" applyProtection="false">
      <alignment horizontal="left" vertical="bottom" textRotation="0" wrapText="false" indent="0" shrinkToFit="false"/>
      <protection locked="true" hidden="false"/>
    </xf>
    <xf numFmtId="169" fontId="0" fillId="0" borderId="0" xfId="0" applyFont="false" applyBorder="true" applyAlignment="true" applyProtection="false">
      <alignment horizontal="left" vertical="bottom" textRotation="0" wrapText="fals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4" fontId="169" fillId="23" borderId="199" xfId="0" applyFont="true" applyBorder="true" applyAlignment="true" applyProtection="false">
      <alignment horizontal="center" vertical="center" textRotation="0" wrapText="true" indent="0" shrinkToFit="false"/>
      <protection locked="true" hidden="false"/>
    </xf>
    <xf numFmtId="164" fontId="128" fillId="0" borderId="156" xfId="0" applyFont="true" applyBorder="true" applyAlignment="true" applyProtection="false">
      <alignment horizontal="center" vertical="center" textRotation="0" wrapText="false" indent="0" shrinkToFit="false"/>
      <protection locked="true" hidden="false"/>
    </xf>
    <xf numFmtId="164" fontId="169" fillId="23" borderId="0" xfId="0" applyFont="true" applyBorder="true" applyAlignment="true" applyProtection="false">
      <alignment horizontal="center" vertical="center" textRotation="0" wrapText="true" indent="0" shrinkToFit="false"/>
      <protection locked="true" hidden="false"/>
    </xf>
    <xf numFmtId="164" fontId="17" fillId="0" borderId="156" xfId="0" applyFont="true" applyBorder="true" applyAlignment="true" applyProtection="false">
      <alignment horizontal="general" vertical="center" textRotation="0" wrapText="false" indent="0" shrinkToFit="false"/>
      <protection locked="true" hidden="false"/>
    </xf>
    <xf numFmtId="164" fontId="17" fillId="0" borderId="7" xfId="0" applyFont="true" applyBorder="true" applyAlignment="true" applyProtection="false">
      <alignment horizontal="center" vertical="center" textRotation="0" wrapText="false" indent="0" shrinkToFit="false"/>
      <protection locked="true" hidden="false"/>
    </xf>
    <xf numFmtId="164" fontId="17" fillId="0" borderId="156" xfId="0" applyFont="true" applyBorder="true" applyAlignment="true" applyProtection="false">
      <alignment horizontal="center" vertical="center" textRotation="0" wrapText="false" indent="0" shrinkToFit="false"/>
      <protection locked="true" hidden="false"/>
    </xf>
    <xf numFmtId="164" fontId="17" fillId="0" borderId="123" xfId="0" applyFont="true" applyBorder="true" applyAlignment="true" applyProtection="false">
      <alignment horizontal="center" vertical="center" textRotation="0" wrapText="false" indent="0" shrinkToFit="false"/>
      <protection locked="true" hidden="false"/>
    </xf>
    <xf numFmtId="164" fontId="17" fillId="0" borderId="6" xfId="0" applyFont="true" applyBorder="true" applyAlignment="true" applyProtection="false">
      <alignment horizontal="center" vertical="center" textRotation="0" wrapText="false" indent="0" shrinkToFit="false"/>
      <protection locked="true" hidden="false"/>
    </xf>
    <xf numFmtId="164" fontId="0" fillId="0" borderId="14" xfId="0" applyFont="true" applyBorder="true" applyAlignment="true" applyProtection="false">
      <alignment horizontal="center" vertical="center" textRotation="0" wrapText="false" indent="0" shrinkToFit="false"/>
      <protection locked="true" hidden="false"/>
    </xf>
    <xf numFmtId="164" fontId="0" fillId="0" borderId="6" xfId="0" applyFont="false" applyBorder="true" applyAlignment="true" applyProtection="false">
      <alignment horizontal="center" vertical="center" textRotation="0" wrapText="false" indent="0" shrinkToFit="false"/>
      <protection locked="true" hidden="false"/>
    </xf>
    <xf numFmtId="164" fontId="0" fillId="0" borderId="7" xfId="0" applyFont="false" applyBorder="true" applyAlignment="false" applyProtection="false">
      <alignment horizontal="general" vertical="bottom" textRotation="0" wrapText="false" indent="0" shrinkToFit="false"/>
      <protection locked="true" hidden="false"/>
    </xf>
    <xf numFmtId="164" fontId="0" fillId="0" borderId="8" xfId="0" applyFont="false" applyBorder="true" applyAlignment="true" applyProtection="false">
      <alignment horizontal="general" vertical="center" textRotation="0" wrapText="false" indent="0" shrinkToFit="false"/>
      <protection locked="true" hidden="false"/>
    </xf>
    <xf numFmtId="164" fontId="17" fillId="0" borderId="7" xfId="0" applyFont="true" applyBorder="true" applyAlignment="true" applyProtection="false">
      <alignment horizontal="general" vertical="bottom" textRotation="0" wrapText="false" indent="0" shrinkToFit="false"/>
      <protection locked="true" hidden="false"/>
    </xf>
    <xf numFmtId="164" fontId="0" fillId="0" borderId="9" xfId="0" applyFont="false" applyBorder="true" applyAlignment="false" applyProtection="false">
      <alignment horizontal="general" vertical="bottom" textRotation="0" wrapText="false" indent="0" shrinkToFit="false"/>
      <protection locked="true" hidden="false"/>
    </xf>
    <xf numFmtId="164" fontId="0" fillId="0" borderId="10" xfId="0" applyFont="false" applyBorder="true" applyAlignment="false" applyProtection="false">
      <alignment horizontal="general" vertical="bottom" textRotation="0" wrapText="false" indent="0" shrinkToFit="false"/>
      <protection locked="true" hidden="false"/>
    </xf>
    <xf numFmtId="164" fontId="0" fillId="0" borderId="150" xfId="0" applyFont="false" applyBorder="true" applyAlignment="false" applyProtection="false">
      <alignment horizontal="general" vertical="bottom" textRotation="0" wrapText="false" indent="0" shrinkToFit="false"/>
      <protection locked="true" hidden="false"/>
    </xf>
    <xf numFmtId="164" fontId="0" fillId="0" borderId="61" xfId="0" applyFont="false" applyBorder="true" applyAlignment="false" applyProtection="false">
      <alignment horizontal="general" vertical="bottom" textRotation="0" wrapText="false" indent="0" shrinkToFit="false"/>
      <protection locked="true" hidden="false"/>
    </xf>
    <xf numFmtId="164" fontId="128" fillId="0" borderId="156" xfId="0" applyFont="true" applyBorder="true" applyAlignment="true" applyProtection="false">
      <alignment horizontal="center" vertical="bottom" textRotation="0" wrapText="false" indent="0" shrinkToFit="false"/>
      <protection locked="true" hidden="false"/>
    </xf>
    <xf numFmtId="164" fontId="27" fillId="0" borderId="7" xfId="0" applyFont="true" applyBorder="true" applyAlignment="true" applyProtection="false">
      <alignment horizontal="general" vertical="bottom" textRotation="0" wrapText="false" indent="0" shrinkToFit="false"/>
      <protection locked="true" hidden="false"/>
    </xf>
    <xf numFmtId="164" fontId="27" fillId="0" borderId="100" xfId="0" applyFont="true" applyBorder="true" applyAlignment="true" applyProtection="false">
      <alignment horizontal="general" vertical="bottom" textRotation="0" wrapText="true" indent="0" shrinkToFit="false"/>
      <protection locked="true" hidden="false"/>
    </xf>
    <xf numFmtId="164" fontId="170" fillId="0" borderId="1" xfId="0" applyFont="true" applyBorder="true" applyAlignment="true" applyProtection="false">
      <alignment horizontal="general" vertical="center" textRotation="0" wrapText="true" indent="0" shrinkToFit="false"/>
      <protection locked="true" hidden="false"/>
    </xf>
    <xf numFmtId="164" fontId="170" fillId="0" borderId="3" xfId="0" applyFont="true" applyBorder="true" applyAlignment="true" applyProtection="false">
      <alignment horizontal="general" vertical="center" textRotation="0" wrapText="true" indent="0" shrinkToFit="false"/>
      <protection locked="true" hidden="false"/>
    </xf>
    <xf numFmtId="164" fontId="170" fillId="0" borderId="4" xfId="0" applyFont="true" applyBorder="true" applyAlignment="true" applyProtection="false">
      <alignment horizontal="general" vertical="center" textRotation="0" wrapText="true" indent="0" shrinkToFit="false"/>
      <protection locked="true" hidden="false"/>
    </xf>
    <xf numFmtId="164" fontId="170" fillId="0" borderId="5" xfId="0" applyFont="true" applyBorder="true" applyAlignment="true" applyProtection="false">
      <alignment horizontal="general" vertical="center" textRotation="0" wrapText="true" indent="0" shrinkToFit="false"/>
      <protection locked="true" hidden="false"/>
    </xf>
    <xf numFmtId="164" fontId="43" fillId="0" borderId="4" xfId="0" applyFont="true" applyBorder="true" applyAlignment="true" applyProtection="false">
      <alignment horizontal="general" vertical="center" textRotation="0" wrapText="true" indent="0" shrinkToFit="false"/>
      <protection locked="true" hidden="false"/>
    </xf>
    <xf numFmtId="164" fontId="43" fillId="0" borderId="5" xfId="0" applyFont="true" applyBorder="true" applyAlignment="true" applyProtection="false">
      <alignment horizontal="general" vertical="center" textRotation="0" wrapText="true" indent="0" shrinkToFit="false"/>
      <protection locked="true" hidden="false"/>
    </xf>
    <xf numFmtId="164" fontId="160" fillId="0" borderId="200" xfId="0" applyFont="true" applyBorder="true" applyAlignment="true" applyProtection="false">
      <alignment horizontal="center" vertical="center" textRotation="0" wrapText="false" indent="0" shrinkToFit="false"/>
      <protection locked="true" hidden="false"/>
    </xf>
    <xf numFmtId="164" fontId="160" fillId="23" borderId="200" xfId="0" applyFont="true" applyBorder="true" applyAlignment="true" applyProtection="false">
      <alignment horizontal="center" vertical="center" textRotation="0" wrapText="false" indent="0" shrinkToFit="false"/>
      <protection locked="true" hidden="false"/>
    </xf>
    <xf numFmtId="164" fontId="160" fillId="23" borderId="200" xfId="0" applyFont="true" applyBorder="true" applyAlignment="true" applyProtection="false">
      <alignment horizontal="center" vertical="center" textRotation="0" wrapText="true" indent="0" shrinkToFit="false"/>
      <protection locked="true" hidden="false"/>
    </xf>
    <xf numFmtId="164" fontId="171" fillId="0" borderId="0" xfId="0" applyFont="true" applyBorder="false" applyAlignment="false" applyProtection="false">
      <alignment horizontal="general" vertical="bottom" textRotation="0" wrapText="false" indent="0" shrinkToFit="false"/>
      <protection locked="true" hidden="false"/>
    </xf>
    <xf numFmtId="164" fontId="24" fillId="0" borderId="200" xfId="0" applyFont="true" applyBorder="true" applyAlignment="true" applyProtection="false">
      <alignment horizontal="general" vertical="center" textRotation="0" wrapText="false" indent="0" shrinkToFit="false"/>
      <protection locked="true" hidden="false"/>
    </xf>
    <xf numFmtId="168" fontId="24" fillId="0" borderId="200" xfId="0" applyFont="true" applyBorder="true" applyAlignment="true" applyProtection="false">
      <alignment horizontal="right" vertical="center" textRotation="0" wrapText="false" indent="0" shrinkToFit="false"/>
      <protection locked="true" hidden="false"/>
    </xf>
    <xf numFmtId="164" fontId="37" fillId="0" borderId="0" xfId="0" applyFont="true" applyBorder="false" applyAlignment="true" applyProtection="false">
      <alignment horizontal="general" vertical="bottom" textRotation="0" wrapText="false" indent="0" shrinkToFit="false"/>
      <protection locked="true" hidden="false"/>
    </xf>
    <xf numFmtId="164" fontId="169" fillId="23" borderId="201" xfId="0" applyFont="true" applyBorder="true" applyAlignment="true" applyProtection="false">
      <alignment horizontal="center" vertical="center" textRotation="0" wrapText="true" indent="0" shrinkToFit="false"/>
      <protection locked="true" hidden="false"/>
    </xf>
    <xf numFmtId="164" fontId="172" fillId="23" borderId="202" xfId="0" applyFont="true" applyBorder="true" applyAlignment="true" applyProtection="false">
      <alignment horizontal="center" vertical="center" textRotation="0" wrapText="true" indent="0" shrinkToFit="false"/>
      <protection locked="true" hidden="false"/>
    </xf>
    <xf numFmtId="164" fontId="24" fillId="0" borderId="200" xfId="0" applyFont="true" applyBorder="true" applyAlignment="true" applyProtection="false">
      <alignment horizontal="right" vertical="center" textRotation="0" wrapText="false" indent="0" shrinkToFit="false"/>
      <protection locked="true" hidden="false"/>
    </xf>
    <xf numFmtId="164" fontId="24" fillId="0" borderId="6" xfId="0" applyFont="true" applyBorder="true" applyAlignment="false" applyProtection="false">
      <alignment horizontal="general" vertical="bottom" textRotation="0" wrapText="false" indent="0" shrinkToFit="false"/>
      <protection locked="true" hidden="false"/>
    </xf>
    <xf numFmtId="164" fontId="173" fillId="0" borderId="6" xfId="0" applyFont="true" applyBorder="true" applyAlignment="true" applyProtection="false">
      <alignment horizontal="center" vertical="center" textRotation="0" wrapText="true" indent="0" shrinkToFit="false"/>
      <protection locked="true" hidden="false"/>
    </xf>
    <xf numFmtId="164" fontId="24" fillId="0" borderId="6" xfId="0" applyFont="true" applyBorder="true" applyAlignment="true" applyProtection="false">
      <alignment horizontal="general" vertical="center" textRotation="0" wrapText="true" indent="0" shrinkToFit="false"/>
      <protection locked="true" hidden="false"/>
    </xf>
    <xf numFmtId="164" fontId="24" fillId="0" borderId="6" xfId="0" applyFont="true" applyBorder="true" applyAlignment="true" applyProtection="false">
      <alignment horizontal="center" vertical="center" textRotation="0" wrapText="true" indent="0" shrinkToFit="false"/>
      <protection locked="true" hidden="false"/>
    </xf>
    <xf numFmtId="164" fontId="24" fillId="24" borderId="203" xfId="0" applyFont="true" applyBorder="true" applyAlignment="true" applyProtection="false">
      <alignment horizontal="general" vertical="center" textRotation="0" wrapText="false" indent="0" shrinkToFit="false"/>
      <protection locked="true" hidden="false"/>
    </xf>
    <xf numFmtId="164" fontId="172" fillId="23" borderId="199" xfId="0" applyFont="true" applyBorder="true" applyAlignment="true" applyProtection="false">
      <alignment horizontal="center" vertical="center" textRotation="0" wrapText="true" indent="0" shrinkToFit="false"/>
      <protection locked="true" hidden="false"/>
    </xf>
    <xf numFmtId="164" fontId="169" fillId="23" borderId="204" xfId="0" applyFont="true" applyBorder="true" applyAlignment="true" applyProtection="false">
      <alignment horizontal="center" vertical="center" textRotation="0" wrapText="true" indent="0" shrinkToFit="false"/>
      <protection locked="true" hidden="false"/>
    </xf>
    <xf numFmtId="164" fontId="172" fillId="23" borderId="205" xfId="0" applyFont="true" applyBorder="true" applyAlignment="true" applyProtection="false">
      <alignment horizontal="center" vertical="center" textRotation="0" wrapText="true" indent="0" shrinkToFit="false"/>
      <protection locked="true" hidden="false"/>
    </xf>
    <xf numFmtId="164" fontId="169" fillId="23" borderId="200" xfId="0" applyFont="true" applyBorder="true" applyAlignment="true" applyProtection="false">
      <alignment horizontal="center" vertical="center" textRotation="0" wrapText="true" indent="0" shrinkToFit="false"/>
      <protection locked="true" hidden="false"/>
    </xf>
    <xf numFmtId="164" fontId="172" fillId="23" borderId="200" xfId="0" applyFont="true" applyBorder="true" applyAlignment="true" applyProtection="false">
      <alignment horizontal="center" vertical="center" textRotation="0" wrapText="true" indent="0" shrinkToFit="false"/>
      <protection locked="true" hidden="false"/>
    </xf>
    <xf numFmtId="164" fontId="24" fillId="0" borderId="0" xfId="0" applyFont="true" applyBorder="true" applyAlignment="true" applyProtection="false">
      <alignment horizontal="general" vertical="center" textRotation="0" wrapText="false" indent="0" shrinkToFit="false"/>
      <protection locked="true" hidden="false"/>
    </xf>
    <xf numFmtId="164" fontId="0" fillId="0" borderId="200" xfId="0" applyFont="false" applyBorder="true" applyAlignment="false" applyProtection="false">
      <alignment horizontal="general" vertical="bottom" textRotation="0" wrapText="false" indent="0" shrinkToFit="false"/>
      <protection locked="true" hidden="false"/>
    </xf>
    <xf numFmtId="164" fontId="24" fillId="0" borderId="0" xfId="0" applyFont="true" applyBorder="false" applyAlignment="true" applyProtection="false">
      <alignment horizontal="general" vertical="center" textRotation="0" wrapText="false" indent="0" shrinkToFit="false"/>
      <protection locked="true" hidden="false"/>
    </xf>
    <xf numFmtId="164" fontId="24" fillId="0" borderId="0" xfId="0" applyFont="true" applyBorder="true" applyAlignment="true" applyProtection="false">
      <alignment horizontal="right" vertical="center" textRotation="0" wrapText="false" indent="0" shrinkToFit="false"/>
      <protection locked="true" hidden="false"/>
    </xf>
    <xf numFmtId="164" fontId="172" fillId="23" borderId="0" xfId="0" applyFont="true" applyBorder="true" applyAlignment="true" applyProtection="false">
      <alignment horizontal="center" vertical="center" textRotation="0" wrapText="true" indent="0" shrinkToFit="false"/>
      <protection locked="true" hidden="false"/>
    </xf>
    <xf numFmtId="164" fontId="23" fillId="0" borderId="206" xfId="0" applyFont="true" applyBorder="true" applyAlignment="true" applyProtection="false">
      <alignment horizontal="left" vertical="center" textRotation="0" wrapText="true" indent="0" shrinkToFit="false"/>
      <protection locked="true" hidden="false"/>
    </xf>
    <xf numFmtId="164" fontId="23" fillId="19" borderId="206" xfId="0" applyFont="true" applyBorder="true" applyAlignment="true" applyProtection="false">
      <alignment horizontal="center" vertical="center" textRotation="0" wrapText="true" indent="0" shrinkToFit="false"/>
      <protection locked="true" hidden="false"/>
    </xf>
    <xf numFmtId="164" fontId="23" fillId="19" borderId="207" xfId="0" applyFont="true" applyBorder="true" applyAlignment="true" applyProtection="false">
      <alignment horizontal="center" vertical="center" textRotation="0" wrapText="true" indent="0" shrinkToFit="false"/>
      <protection locked="true" hidden="false"/>
    </xf>
    <xf numFmtId="164" fontId="0" fillId="0" borderId="208" xfId="0" applyFont="true" applyBorder="true" applyAlignment="true" applyProtection="false">
      <alignment horizontal="left" vertical="center" textRotation="0" wrapText="true" indent="0" shrinkToFit="false"/>
      <protection locked="true" hidden="false"/>
    </xf>
    <xf numFmtId="164" fontId="0" fillId="14" borderId="208" xfId="0" applyFont="true" applyBorder="true" applyAlignment="true" applyProtection="false">
      <alignment horizontal="center" vertical="center" textRotation="0" wrapText="true" indent="0" shrinkToFit="false"/>
      <protection locked="true" hidden="false"/>
    </xf>
    <xf numFmtId="164" fontId="0" fillId="0" borderId="6" xfId="0" applyFont="true" applyBorder="true" applyAlignment="true" applyProtection="false">
      <alignment horizontal="center" vertical="center" textRotation="0" wrapText="true" indent="0" shrinkToFit="false"/>
      <protection locked="true" hidden="false"/>
    </xf>
    <xf numFmtId="164" fontId="175" fillId="0" borderId="208" xfId="0" applyFont="true" applyBorder="true" applyAlignment="true" applyProtection="false">
      <alignment horizontal="general" vertical="bottom" textRotation="0" wrapText="true" indent="0" shrinkToFit="false"/>
      <protection locked="true" hidden="false"/>
    </xf>
    <xf numFmtId="164" fontId="175" fillId="19" borderId="208" xfId="0" applyFont="true" applyBorder="true" applyAlignment="false" applyProtection="true">
      <alignment horizontal="general" vertical="bottom" textRotation="0" wrapText="false" indent="0" shrinkToFit="false"/>
      <protection locked="false" hidden="false"/>
    </xf>
    <xf numFmtId="166" fontId="0" fillId="0" borderId="6" xfId="0" applyFont="true" applyBorder="true" applyAlignment="true" applyProtection="false">
      <alignment horizontal="center" vertical="center" textRotation="0" wrapText="true" indent="0" shrinkToFit="false"/>
      <protection locked="true" hidden="false"/>
    </xf>
    <xf numFmtId="164" fontId="0" fillId="24" borderId="12" xfId="0" applyFont="true" applyBorder="true" applyAlignment="false" applyProtection="false">
      <alignment horizontal="general" vertical="bottom" textRotation="0" wrapText="false" indent="0" shrinkToFit="false"/>
      <protection locked="true" hidden="false"/>
    </xf>
    <xf numFmtId="164" fontId="175" fillId="0" borderId="208" xfId="0" applyFont="true" applyBorder="true" applyAlignment="true" applyProtection="true">
      <alignment horizontal="general" vertical="bottom" textRotation="0" wrapText="true" indent="0" shrinkToFit="false"/>
      <protection locked="false" hidden="false"/>
    </xf>
    <xf numFmtId="164" fontId="35" fillId="0" borderId="0" xfId="0" applyFont="true" applyBorder="true" applyAlignment="true" applyProtection="false">
      <alignment horizontal="center" vertical="center" textRotation="0" wrapText="false" indent="0" shrinkToFit="false"/>
      <protection locked="true" hidden="false"/>
    </xf>
    <xf numFmtId="164" fontId="37" fillId="0" borderId="0" xfId="0" applyFont="true" applyBorder="false" applyAlignment="false" applyProtection="false">
      <alignment horizontal="general" vertical="bottom" textRotation="0" wrapText="false" indent="0" shrinkToFit="false"/>
      <protection locked="true" hidden="false"/>
    </xf>
    <xf numFmtId="164" fontId="0" fillId="23" borderId="0" xfId="0" applyFont="false" applyBorder="true" applyAlignment="false" applyProtection="false">
      <alignment horizontal="general" vertical="bottom" textRotation="0" wrapText="false" indent="0" shrinkToFit="false"/>
      <protection locked="true" hidden="false"/>
    </xf>
    <xf numFmtId="164" fontId="0" fillId="24" borderId="0" xfId="0" applyFont="fals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true" applyProtection="false">
      <alignment horizontal="general" vertical="center" textRotation="0" wrapText="false" indent="0" shrinkToFit="false"/>
      <protection locked="true" hidden="false"/>
    </xf>
    <xf numFmtId="164" fontId="176" fillId="27" borderId="209" xfId="0" applyFont="true" applyBorder="true" applyAlignment="true" applyProtection="false">
      <alignment horizontal="left" vertical="center" textRotation="0" wrapText="false" indent="0" shrinkToFit="false"/>
      <protection locked="true" hidden="false"/>
    </xf>
    <xf numFmtId="164" fontId="176" fillId="27" borderId="210" xfId="0" applyFont="true" applyBorder="true" applyAlignment="true" applyProtection="false">
      <alignment horizontal="left" vertical="center" textRotation="0" wrapText="false" indent="0" shrinkToFit="false"/>
      <protection locked="true" hidden="false"/>
    </xf>
    <xf numFmtId="164" fontId="177" fillId="27" borderId="211" xfId="0" applyFont="true" applyBorder="true" applyAlignment="true" applyProtection="false">
      <alignment horizontal="left" vertical="center" textRotation="0" wrapText="false" indent="0" shrinkToFit="false"/>
      <protection locked="true" hidden="false"/>
    </xf>
    <xf numFmtId="164" fontId="11" fillId="0" borderId="1" xfId="0" applyFont="true" applyBorder="true" applyAlignment="true" applyProtection="false">
      <alignment horizontal="general" vertical="center" textRotation="0" wrapText="true" indent="0" shrinkToFit="false"/>
      <protection locked="true" hidden="false"/>
    </xf>
    <xf numFmtId="164" fontId="11" fillId="0" borderId="3" xfId="0" applyFont="true" applyBorder="true" applyAlignment="true" applyProtection="false">
      <alignment horizontal="general" vertical="center" textRotation="0" wrapText="true" indent="0" shrinkToFit="false"/>
      <protection locked="true" hidden="false"/>
    </xf>
    <xf numFmtId="164" fontId="178" fillId="28" borderId="212" xfId="0" applyFont="true" applyBorder="true" applyAlignment="true" applyProtection="false">
      <alignment horizontal="left" vertical="center" textRotation="0" wrapText="false" indent="0" shrinkToFit="false"/>
      <protection locked="true" hidden="false"/>
    </xf>
    <xf numFmtId="164" fontId="129" fillId="29" borderId="213" xfId="0" applyFont="true" applyBorder="true" applyAlignment="true" applyProtection="false">
      <alignment horizontal="left" vertical="center" textRotation="0" wrapText="false" indent="0" shrinkToFit="false"/>
      <protection locked="true" hidden="false"/>
    </xf>
    <xf numFmtId="164" fontId="129" fillId="0" borderId="213" xfId="0" applyFont="true" applyBorder="true" applyAlignment="true" applyProtection="false">
      <alignment horizontal="left" vertical="center" textRotation="0" wrapText="false" indent="0" shrinkToFit="false"/>
      <protection locked="true" hidden="false"/>
    </xf>
    <xf numFmtId="164" fontId="178" fillId="28" borderId="214" xfId="0" applyFont="true" applyBorder="true" applyAlignment="true" applyProtection="false">
      <alignment horizontal="left" vertical="center" textRotation="0" wrapText="false" indent="0" shrinkToFit="false"/>
      <protection locked="true" hidden="false"/>
    </xf>
    <xf numFmtId="164" fontId="178" fillId="28" borderId="215" xfId="0" applyFont="true" applyBorder="true" applyAlignment="true" applyProtection="false">
      <alignment horizontal="left" vertical="center" textRotation="0" wrapText="false" indent="0" shrinkToFit="false"/>
      <protection locked="true" hidden="false"/>
    </xf>
    <xf numFmtId="164" fontId="179" fillId="0" borderId="0" xfId="0" applyFont="true" applyBorder="false" applyAlignment="false" applyProtection="false">
      <alignment horizontal="general" vertical="bottom" textRotation="0" wrapText="false" indent="0" shrinkToFit="false"/>
      <protection locked="true" hidden="false"/>
    </xf>
    <xf numFmtId="164" fontId="160" fillId="23" borderId="0" xfId="0" applyFont="true" applyBorder="true" applyAlignment="true" applyProtection="false">
      <alignment horizontal="center" vertical="center" textRotation="0" wrapText="true" indent="0" shrinkToFit="false"/>
      <protection locked="true" hidden="false"/>
    </xf>
    <xf numFmtId="164" fontId="54" fillId="0" borderId="0" xfId="0" applyFont="true" applyBorder="false" applyAlignment="false" applyProtection="false">
      <alignment horizontal="general" vertical="bottom" textRotation="0" wrapText="false" indent="0" shrinkToFit="false"/>
      <protection locked="true" hidden="false"/>
    </xf>
    <xf numFmtId="164" fontId="154" fillId="0" borderId="0" xfId="0" applyFont="true" applyBorder="false" applyAlignment="true" applyProtection="false">
      <alignment horizontal="general" vertical="bottom" textRotation="0" wrapText="false" indent="0" shrinkToFit="false"/>
      <protection locked="true" hidden="false"/>
    </xf>
    <xf numFmtId="164" fontId="153" fillId="0" borderId="0" xfId="0" applyFont="true" applyBorder="false" applyAlignment="true" applyProtection="false">
      <alignment horizontal="general" vertical="bottom" textRotation="0" wrapText="false" indent="0" shrinkToFit="false"/>
      <protection locked="true" hidden="false"/>
    </xf>
    <xf numFmtId="164" fontId="0" fillId="0" borderId="7" xfId="0" applyFont="true" applyBorder="true" applyAlignment="true" applyProtection="false">
      <alignment horizontal="left" vertical="bottom" textRotation="0" wrapText="false" indent="0" shrinkToFit="false"/>
      <protection locked="true" hidden="false"/>
    </xf>
    <xf numFmtId="164" fontId="0" fillId="0" borderId="8" xfId="0" applyFont="true" applyBorder="true" applyAlignment="true" applyProtection="false">
      <alignment horizontal="left" vertical="bottom" textRotation="0" wrapText="false" indent="0" shrinkToFit="false"/>
      <protection locked="true" hidden="false"/>
    </xf>
    <xf numFmtId="170" fontId="0" fillId="0" borderId="6" xfId="0" applyFont="false" applyBorder="true" applyAlignment="true" applyProtection="false">
      <alignment horizontal="center" vertical="bottom" textRotation="0" wrapText="false" indent="0" shrinkToFit="false"/>
      <protection locked="true" hidden="false"/>
    </xf>
    <xf numFmtId="172" fontId="0" fillId="0" borderId="6" xfId="0" applyFont="false" applyBorder="true" applyAlignment="true" applyProtection="false">
      <alignment horizontal="center" vertical="bottom" textRotation="0" wrapText="false" indent="0" shrinkToFit="false"/>
      <protection locked="true" hidden="false"/>
    </xf>
    <xf numFmtId="164" fontId="0" fillId="0" borderId="7" xfId="0" applyFont="true" applyBorder="true" applyAlignment="false" applyProtection="false">
      <alignment horizontal="general" vertical="bottom" textRotation="0" wrapText="false" indent="0" shrinkToFit="false"/>
      <protection locked="true" hidden="false"/>
    </xf>
    <xf numFmtId="164" fontId="0" fillId="0" borderId="8" xfId="0" applyFont="true" applyBorder="true" applyAlignment="false" applyProtection="false">
      <alignment horizontal="general" vertical="bottom" textRotation="0" wrapText="false" indent="0" shrinkToFit="false"/>
      <protection locked="true" hidden="false"/>
    </xf>
    <xf numFmtId="166" fontId="0" fillId="0" borderId="7" xfId="0" applyFont="true" applyBorder="true" applyAlignment="true" applyProtection="false">
      <alignment horizontal="left" vertical="center" textRotation="0" wrapText="false" indent="0" shrinkToFit="false"/>
      <protection locked="true" hidden="false"/>
    </xf>
    <xf numFmtId="164" fontId="0" fillId="0" borderId="8" xfId="0" applyFont="true" applyBorder="true" applyAlignment="true" applyProtection="false">
      <alignment horizontal="left" vertical="center" textRotation="0" wrapText="false" indent="0" shrinkToFit="false"/>
      <protection locked="true" hidden="false"/>
    </xf>
    <xf numFmtId="170" fontId="0" fillId="0" borderId="6" xfId="0" applyFont="true" applyBorder="true" applyAlignment="true" applyProtection="true">
      <alignment horizontal="center" vertical="center" textRotation="0" wrapText="false" indent="0" shrinkToFit="false"/>
      <protection locked="false" hidden="false"/>
    </xf>
    <xf numFmtId="166" fontId="0" fillId="0" borderId="7" xfId="0" applyFont="true" applyBorder="true" applyAlignment="false" applyProtection="false">
      <alignment horizontal="general" vertical="bottom" textRotation="0" wrapText="false" indent="0" shrinkToFit="false"/>
      <protection locked="true" hidden="false"/>
    </xf>
    <xf numFmtId="166" fontId="0" fillId="0" borderId="7" xfId="0" applyFont="true" applyBorder="true" applyAlignment="true" applyProtection="false">
      <alignment horizontal="left" vertical="bottom" textRotation="0" wrapText="false" indent="0" shrinkToFit="false"/>
      <protection locked="true" hidden="false"/>
    </xf>
    <xf numFmtId="164" fontId="0" fillId="0" borderId="7" xfId="0" applyFont="true" applyBorder="true" applyAlignment="true" applyProtection="false">
      <alignment horizontal="left" vertical="center" textRotation="0" wrapText="false" indent="0" shrinkToFit="false"/>
      <protection locked="true" hidden="false"/>
    </xf>
    <xf numFmtId="164" fontId="0" fillId="0" borderId="7" xfId="0" applyFont="true" applyBorder="true" applyAlignment="true" applyProtection="false">
      <alignment horizontal="general" vertical="center" textRotation="0" wrapText="false" indent="0" shrinkToFit="false"/>
      <protection locked="true" hidden="false"/>
    </xf>
    <xf numFmtId="170" fontId="0" fillId="0" borderId="6" xfId="0" applyFont="false" applyBorder="true" applyAlignment="true" applyProtection="false">
      <alignment horizontal="center" vertical="center" textRotation="0" wrapText="false" indent="0" shrinkToFit="false"/>
      <protection locked="true" hidden="false"/>
    </xf>
    <xf numFmtId="166" fontId="157" fillId="0" borderId="7" xfId="0" applyFont="true" applyBorder="true" applyAlignment="false" applyProtection="false">
      <alignment horizontal="general" vertical="bottom" textRotation="0" wrapText="false" indent="0" shrinkToFit="false"/>
      <protection locked="true" hidden="false"/>
    </xf>
    <xf numFmtId="164" fontId="157" fillId="0" borderId="8" xfId="0" applyFont="true" applyBorder="true" applyAlignment="true" applyProtection="false">
      <alignment horizontal="left" vertical="center" textRotation="0" wrapText="false" indent="0" shrinkToFit="false"/>
      <protection locked="true" hidden="false"/>
    </xf>
    <xf numFmtId="170" fontId="0" fillId="0" borderId="6" xfId="0" applyFont="true" applyBorder="true" applyAlignment="true" applyProtection="true">
      <alignment horizontal="center" vertical="bottom" textRotation="0" wrapText="false" indent="0" shrinkToFit="false"/>
      <protection locked="false" hidden="false"/>
    </xf>
    <xf numFmtId="166" fontId="0" fillId="0" borderId="7" xfId="0" applyFont="true" applyBorder="true" applyAlignment="true" applyProtection="false">
      <alignment horizontal="general" vertical="center" textRotation="0" wrapText="false" indent="0" shrinkToFit="false"/>
      <protection locked="true" hidden="false"/>
    </xf>
    <xf numFmtId="170" fontId="0" fillId="0" borderId="6" xfId="0" applyFont="true" applyBorder="true" applyAlignment="true" applyProtection="false">
      <alignment horizontal="center" vertical="center" textRotation="0" wrapText="true" indent="0" shrinkToFit="false"/>
      <protection locked="true" hidden="false"/>
    </xf>
    <xf numFmtId="164" fontId="0" fillId="0" borderId="8" xfId="0" applyFont="true" applyBorder="true" applyAlignment="true" applyProtection="false">
      <alignment horizontal="left" vertical="center" textRotation="0" wrapText="true" indent="0" shrinkToFit="false"/>
      <protection locked="true" hidden="false"/>
    </xf>
    <xf numFmtId="172" fontId="0" fillId="0" borderId="6" xfId="0" applyFont="false" applyBorder="true" applyAlignment="true" applyProtection="false">
      <alignment horizontal="center" vertical="center" textRotation="0" wrapText="false" indent="0" shrinkToFit="false"/>
      <protection locked="true" hidden="false"/>
    </xf>
    <xf numFmtId="164" fontId="0" fillId="17" borderId="6" xfId="0" applyFont="true" applyBorder="true" applyAlignment="true" applyProtection="false">
      <alignment horizontal="center" vertical="center" textRotation="90" wrapText="false" indent="0" shrinkToFit="false"/>
      <protection locked="true" hidden="false"/>
    </xf>
    <xf numFmtId="164" fontId="0" fillId="17" borderId="6" xfId="0" applyFont="true" applyBorder="true" applyAlignment="false" applyProtection="false">
      <alignment horizontal="general" vertical="bottom" textRotation="0" wrapText="false" indent="0" shrinkToFit="false"/>
      <protection locked="true" hidden="false"/>
    </xf>
    <xf numFmtId="167" fontId="0" fillId="0" borderId="6" xfId="0" applyFont="false" applyBorder="true" applyAlignment="true" applyProtection="false">
      <alignment horizontal="center" vertical="bottom" textRotation="0" wrapText="false" indent="0" shrinkToFit="false"/>
      <protection locked="true" hidden="false"/>
    </xf>
    <xf numFmtId="164" fontId="181" fillId="17" borderId="6" xfId="0" applyFont="true" applyBorder="true" applyAlignment="true" applyProtection="false">
      <alignment horizontal="general" vertical="center" textRotation="0" wrapText="true" indent="0" shrinkToFit="false"/>
      <protection locked="true" hidden="false"/>
    </xf>
    <xf numFmtId="167" fontId="0" fillId="0" borderId="6" xfId="0" applyFont="false" applyBorder="true" applyAlignment="true" applyProtection="false">
      <alignment horizontal="center" vertical="center" textRotation="0" wrapText="false" indent="0" shrinkToFit="false"/>
      <protection locked="true" hidden="false"/>
    </xf>
    <xf numFmtId="164" fontId="0" fillId="17" borderId="8" xfId="0" applyFont="true" applyBorder="true" applyAlignment="true" applyProtection="false">
      <alignment horizontal="center" vertical="center" textRotation="0" wrapText="true" indent="0" shrinkToFit="false"/>
      <protection locked="true" hidden="false"/>
    </xf>
    <xf numFmtId="164" fontId="0" fillId="17" borderId="8" xfId="0" applyFont="true" applyBorder="true" applyAlignment="false" applyProtection="false">
      <alignment horizontal="general" vertical="bottom" textRotation="0" wrapText="false" indent="0" shrinkToFit="false"/>
      <protection locked="true" hidden="false"/>
    </xf>
    <xf numFmtId="164" fontId="181" fillId="17" borderId="8" xfId="0" applyFont="true" applyBorder="true" applyAlignment="true" applyProtection="false">
      <alignment horizontal="left" vertical="center" textRotation="0" wrapText="true" indent="0" shrinkToFit="false"/>
      <protection locked="true" hidden="false"/>
    </xf>
    <xf numFmtId="164" fontId="0" fillId="0" borderId="195" xfId="0" applyFont="false" applyBorder="true" applyAlignment="false" applyProtection="false">
      <alignment horizontal="general" vertical="bottom" textRotation="0" wrapText="false" indent="0" shrinkToFit="false"/>
      <protection locked="true" hidden="false"/>
    </xf>
    <xf numFmtId="167" fontId="0" fillId="0" borderId="195" xfId="0" applyFont="false" applyBorder="true" applyAlignment="true" applyProtection="false">
      <alignment horizontal="center" vertical="bottom" textRotation="0" wrapText="false" indent="0" shrinkToFit="false"/>
      <protection locked="true" hidden="false"/>
    </xf>
    <xf numFmtId="164" fontId="35" fillId="0" borderId="216" xfId="0" applyFont="true" applyBorder="true" applyAlignment="false" applyProtection="false">
      <alignment horizontal="general" vertical="bottom" textRotation="0" wrapText="false" indent="0" shrinkToFit="false"/>
      <protection locked="true" hidden="false"/>
    </xf>
    <xf numFmtId="164" fontId="35" fillId="0" borderId="217" xfId="0" applyFont="true" applyBorder="true" applyAlignment="false" applyProtection="false">
      <alignment horizontal="general" vertical="bottom" textRotation="0" wrapText="false" indent="0" shrinkToFit="false"/>
      <protection locked="true" hidden="false"/>
    </xf>
    <xf numFmtId="164" fontId="0" fillId="0" borderId="217" xfId="0" applyFont="false" applyBorder="true" applyAlignment="false" applyProtection="false">
      <alignment horizontal="general" vertical="bottom" textRotation="0" wrapText="false" indent="0" shrinkToFit="false"/>
      <protection locked="true" hidden="false"/>
    </xf>
    <xf numFmtId="164" fontId="0" fillId="0" borderId="216" xfId="0" applyFont="true" applyBorder="true" applyAlignment="false" applyProtection="false">
      <alignment horizontal="general" vertical="bottom" textRotation="0" wrapText="false" indent="0" shrinkToFit="false"/>
      <protection locked="true" hidden="false"/>
    </xf>
    <xf numFmtId="164" fontId="0" fillId="0" borderId="188" xfId="0" applyFont="false" applyBorder="true" applyAlignment="false" applyProtection="false">
      <alignment horizontal="general" vertical="bottom" textRotation="0" wrapText="false" indent="0" shrinkToFit="false"/>
      <protection locked="true" hidden="false"/>
    </xf>
    <xf numFmtId="164" fontId="0" fillId="0" borderId="218" xfId="0" applyFont="true" applyBorder="true" applyAlignment="true" applyProtection="false">
      <alignment horizontal="center" vertical="center" textRotation="0" wrapText="false" indent="0" shrinkToFit="false"/>
      <protection locked="true" hidden="false"/>
    </xf>
    <xf numFmtId="164" fontId="0" fillId="0" borderId="219" xfId="0" applyFont="true" applyBorder="true" applyAlignment="false" applyProtection="false">
      <alignment horizontal="general" vertical="bottom" textRotation="0" wrapText="false" indent="0" shrinkToFit="false"/>
      <protection locked="true" hidden="false"/>
    </xf>
    <xf numFmtId="164" fontId="0" fillId="0" borderId="220" xfId="0" applyFont="false" applyBorder="true" applyAlignment="false" applyProtection="false">
      <alignment horizontal="general" vertical="bottom" textRotation="0" wrapText="false" indent="0" shrinkToFit="false"/>
      <protection locked="true" hidden="false"/>
    </xf>
    <xf numFmtId="164" fontId="0" fillId="0" borderId="221" xfId="0" applyFont="false" applyBorder="true" applyAlignment="false" applyProtection="false">
      <alignment horizontal="general" vertical="bottom" textRotation="0" wrapText="false" indent="0" shrinkToFit="false"/>
      <protection locked="true" hidden="false"/>
    </xf>
    <xf numFmtId="164" fontId="0" fillId="0" borderId="193" xfId="0" applyFont="true" applyBorder="true" applyAlignment="false" applyProtection="false">
      <alignment horizontal="general" vertical="bottom" textRotation="0" wrapText="false" indent="0" shrinkToFit="false"/>
      <protection locked="true" hidden="false"/>
    </xf>
    <xf numFmtId="164" fontId="0" fillId="0" borderId="222" xfId="0" applyFont="false" applyBorder="true" applyAlignment="false" applyProtection="false">
      <alignment horizontal="general" vertical="bottom" textRotation="0" wrapText="false" indent="0" shrinkToFit="false"/>
      <protection locked="true" hidden="false"/>
    </xf>
    <xf numFmtId="164" fontId="0" fillId="0" borderId="193" xfId="0" applyFont="true" applyBorder="true" applyAlignment="true" applyProtection="false">
      <alignment horizontal="left" vertical="bottom" textRotation="0" wrapText="false" indent="0" shrinkToFit="false"/>
      <protection locked="true" hidden="false"/>
    </xf>
    <xf numFmtId="164" fontId="0" fillId="17" borderId="7" xfId="0" applyFont="true" applyBorder="true" applyAlignment="false" applyProtection="false">
      <alignment horizontal="general" vertical="bottom" textRotation="0" wrapText="false" indent="0" shrinkToFit="false"/>
      <protection locked="true" hidden="false"/>
    </xf>
    <xf numFmtId="164" fontId="0" fillId="17" borderId="8" xfId="0" applyFont="true" applyBorder="true" applyAlignment="true" applyProtection="false">
      <alignment horizontal="left" vertical="center" textRotation="0" wrapText="true" indent="0" shrinkToFit="false"/>
      <protection locked="true" hidden="false"/>
    </xf>
    <xf numFmtId="164" fontId="0" fillId="17" borderId="6" xfId="0" applyFont="true" applyBorder="true" applyAlignment="true" applyProtection="false">
      <alignment horizontal="center" vertical="center" textRotation="90" wrapText="true" indent="0" shrinkToFit="false"/>
      <protection locked="true" hidden="false"/>
    </xf>
    <xf numFmtId="164" fontId="0" fillId="0" borderId="223" xfId="0" applyFont="true" applyBorder="true" applyAlignment="false" applyProtection="false">
      <alignment horizontal="general" vertical="bottom" textRotation="0" wrapText="false" indent="0" shrinkToFit="false"/>
      <protection locked="true" hidden="false"/>
    </xf>
    <xf numFmtId="164" fontId="0" fillId="0" borderId="224" xfId="0" applyFont="false" applyBorder="true" applyAlignment="false" applyProtection="false">
      <alignment horizontal="general" vertical="bottom" textRotation="0" wrapText="false" indent="0" shrinkToFit="false"/>
      <protection locked="true" hidden="false"/>
    </xf>
    <xf numFmtId="164" fontId="0" fillId="0" borderId="225" xfId="0" applyFont="false" applyBorder="true" applyAlignment="false" applyProtection="false">
      <alignment horizontal="general" vertical="bottom" textRotation="0" wrapText="false" indent="0" shrinkToFit="false"/>
      <protection locked="true" hidden="false"/>
    </xf>
    <xf numFmtId="164" fontId="0" fillId="0" borderId="216" xfId="0" applyFont="true" applyBorder="true" applyAlignment="true" applyProtection="false">
      <alignment horizontal="center" vertical="center" textRotation="0" wrapText="false" indent="0" shrinkToFit="false"/>
      <protection locked="true" hidden="false"/>
    </xf>
    <xf numFmtId="164" fontId="0" fillId="0" borderId="219" xfId="0" applyFont="true" applyBorder="true" applyAlignment="true" applyProtection="false">
      <alignment horizontal="left" vertical="bottom" textRotation="0" wrapText="false" indent="0" shrinkToFit="false"/>
      <protection locked="true" hidden="false"/>
    </xf>
    <xf numFmtId="164" fontId="0" fillId="17" borderId="100" xfId="0" applyFont="true" applyBorder="true" applyAlignment="false" applyProtection="false">
      <alignment horizontal="general" vertical="bottom" textRotation="0" wrapText="false" indent="0" shrinkToFit="false"/>
      <protection locked="true" hidden="false"/>
    </xf>
    <xf numFmtId="164" fontId="0" fillId="0" borderId="100" xfId="0" applyFont="false" applyBorder="true" applyAlignment="true" applyProtection="false">
      <alignment horizontal="left" vertical="center" textRotation="0" wrapText="true" indent="0" shrinkToFit="false"/>
      <protection locked="true" hidden="false"/>
    </xf>
    <xf numFmtId="167" fontId="0" fillId="0" borderId="100" xfId="0" applyFont="false" applyBorder="true" applyAlignment="true" applyProtection="false">
      <alignment horizontal="center" vertical="center" textRotation="0" wrapText="false" indent="0" shrinkToFit="false"/>
      <protection locked="true" hidden="false"/>
    </xf>
    <xf numFmtId="164" fontId="0" fillId="0" borderId="226" xfId="0" applyFont="true" applyBorder="true" applyAlignment="true" applyProtection="false">
      <alignment horizontal="center" vertical="center" textRotation="0" wrapText="false" indent="0" shrinkToFit="false"/>
      <protection locked="true" hidden="false"/>
    </xf>
    <xf numFmtId="164" fontId="0" fillId="17" borderId="6" xfId="0" applyFont="true" applyBorder="true" applyAlignment="true" applyProtection="false">
      <alignment horizontal="left" vertical="center" textRotation="0" wrapText="true" indent="0" shrinkToFit="false"/>
      <protection locked="true" hidden="false"/>
    </xf>
    <xf numFmtId="164" fontId="0" fillId="17" borderId="8" xfId="0" applyFont="true" applyBorder="true" applyAlignment="true" applyProtection="false">
      <alignment horizontal="general" vertical="center" textRotation="0" wrapText="true" indent="0" shrinkToFit="false"/>
      <protection locked="true" hidden="false"/>
    </xf>
    <xf numFmtId="164" fontId="0" fillId="0" borderId="195" xfId="0" applyFont="false" applyBorder="true" applyAlignment="true" applyProtection="false">
      <alignment horizontal="center" vertical="center" textRotation="90" wrapText="true" indent="0" shrinkToFit="false"/>
      <protection locked="true" hidden="false"/>
    </xf>
    <xf numFmtId="164" fontId="0" fillId="0" borderId="195" xfId="0" applyFont="false" applyBorder="true" applyAlignment="true" applyProtection="false">
      <alignment horizontal="left" vertical="center" textRotation="0" wrapText="true" indent="0" shrinkToFit="false"/>
      <protection locked="true" hidden="false"/>
    </xf>
    <xf numFmtId="167" fontId="0" fillId="0" borderId="195" xfId="0" applyFont="false" applyBorder="true" applyAlignment="true" applyProtection="false">
      <alignment horizontal="center" vertical="center" textRotation="0" wrapText="false" indent="0" shrinkToFit="false"/>
      <protection locked="true" hidden="false"/>
    </xf>
    <xf numFmtId="164" fontId="0" fillId="17" borderId="100" xfId="0" applyFont="true" applyBorder="true" applyAlignment="true" applyProtection="false">
      <alignment horizontal="left" vertical="center" textRotation="0" wrapText="false" indent="0" shrinkToFit="false"/>
      <protection locked="true" hidden="false"/>
    </xf>
    <xf numFmtId="164" fontId="0" fillId="17" borderId="8" xfId="0" applyFont="false" applyBorder="true" applyAlignment="true" applyProtection="false">
      <alignment horizontal="left" vertical="center" textRotation="0" wrapText="false" indent="0" shrinkToFit="false"/>
      <protection locked="true" hidden="false"/>
    </xf>
    <xf numFmtId="164" fontId="0" fillId="0" borderId="0" xfId="0" applyFont="false" applyBorder="false" applyAlignment="true" applyProtection="false">
      <alignment horizontal="left" vertical="center" textRotation="0" wrapText="false" indent="0" shrinkToFit="false"/>
      <protection locked="true" hidden="false"/>
    </xf>
    <xf numFmtId="164" fontId="0" fillId="0" borderId="7" xfId="0" applyFont="false" applyBorder="true" applyAlignment="true" applyProtection="false">
      <alignment horizontal="left" vertical="center" textRotation="0" wrapText="false" indent="0" shrinkToFit="false"/>
      <protection locked="true" hidden="false"/>
    </xf>
    <xf numFmtId="164" fontId="0" fillId="0" borderId="100" xfId="0" applyFont="false" applyBorder="true" applyAlignment="true" applyProtection="false">
      <alignment horizontal="left" vertical="center" textRotation="0" wrapText="false" indent="0" shrinkToFit="false"/>
      <protection locked="true" hidden="false"/>
    </xf>
    <xf numFmtId="164" fontId="0" fillId="17" borderId="6" xfId="0" applyFont="false" applyBorder="true" applyAlignment="true" applyProtection="false">
      <alignment horizontal="left" vertical="center" textRotation="0" wrapText="false" indent="0" shrinkToFit="false"/>
      <protection locked="true" hidden="false"/>
    </xf>
    <xf numFmtId="164" fontId="0" fillId="0" borderId="0" xfId="0" applyFont="false" applyBorder="true" applyAlignment="true" applyProtection="false">
      <alignment horizontal="center" vertical="center" textRotation="90" wrapText="true" indent="0" shrinkToFit="false"/>
      <protection locked="true" hidden="false"/>
    </xf>
    <xf numFmtId="164" fontId="0" fillId="0" borderId="0" xfId="0" applyFont="false" applyBorder="true" applyAlignment="true" applyProtection="false">
      <alignment horizontal="left" vertical="center" textRotation="0" wrapText="false" indent="0" shrinkToFit="false"/>
      <protection locked="true" hidden="false"/>
    </xf>
    <xf numFmtId="167" fontId="0" fillId="0" borderId="0" xfId="0" applyFont="false" applyBorder="true" applyAlignment="true" applyProtection="false">
      <alignment horizontal="center" vertical="center" textRotation="0" wrapText="false" indent="0" shrinkToFit="false"/>
      <protection locked="true" hidden="false"/>
    </xf>
    <xf numFmtId="164" fontId="0" fillId="0" borderId="100" xfId="0" applyFont="false" applyBorder="true" applyAlignment="false" applyProtection="false">
      <alignment horizontal="general" vertical="bottom" textRotation="0" wrapText="false" indent="0" shrinkToFit="false"/>
      <protection locked="true" hidden="false"/>
    </xf>
    <xf numFmtId="167" fontId="0" fillId="0" borderId="100" xfId="0" applyFont="false" applyBorder="true" applyAlignment="true" applyProtection="false">
      <alignment horizontal="center" vertical="bottom" textRotation="0" wrapText="false" indent="0" shrinkToFit="false"/>
      <protection locked="true" hidden="false"/>
    </xf>
    <xf numFmtId="164" fontId="0" fillId="0" borderId="0" xfId="0" applyFont="false" applyBorder="true" applyAlignment="true" applyProtection="false">
      <alignment horizontal="center" vertical="center" textRotation="90" wrapText="false" indent="0" shrinkToFit="false"/>
      <protection locked="true" hidden="false"/>
    </xf>
    <xf numFmtId="164" fontId="0" fillId="17" borderId="7" xfId="0" applyFont="true" applyBorder="true" applyAlignment="true" applyProtection="false">
      <alignment horizontal="left" vertical="center" textRotation="0" wrapText="false" indent="0" shrinkToFit="false"/>
      <protection locked="true" hidden="false"/>
    </xf>
    <xf numFmtId="166" fontId="0" fillId="0" borderId="6" xfId="0" applyFont="true" applyBorder="true" applyAlignment="true" applyProtection="false">
      <alignment horizontal="center" vertical="center" textRotation="0" wrapText="false" indent="0" shrinkToFit="false"/>
      <protection locked="true" hidden="false"/>
    </xf>
    <xf numFmtId="164" fontId="157" fillId="17" borderId="6" xfId="0" applyFont="true" applyBorder="true" applyAlignment="false" applyProtection="false">
      <alignment horizontal="general" vertical="bottom" textRotation="0" wrapText="false" indent="0" shrinkToFit="false"/>
      <protection locked="true" hidden="false"/>
    </xf>
    <xf numFmtId="164" fontId="181" fillId="17" borderId="6" xfId="0" applyFont="true" applyBorder="true" applyAlignment="false" applyProtection="false">
      <alignment horizontal="general" vertical="bottom" textRotation="0" wrapText="false" indent="0" shrinkToFit="false"/>
      <protection locked="true" hidden="false"/>
    </xf>
    <xf numFmtId="164" fontId="157" fillId="17" borderId="8" xfId="0" applyFont="true" applyBorder="true" applyAlignment="false" applyProtection="false">
      <alignment horizontal="general" vertical="bottom" textRotation="0" wrapText="false" indent="0" shrinkToFit="false"/>
      <protection locked="true" hidden="false"/>
    </xf>
    <xf numFmtId="164" fontId="0" fillId="0" borderId="123" xfId="0" applyFont="false" applyBorder="true" applyAlignment="false" applyProtection="false">
      <alignment horizontal="general" vertical="bottom" textRotation="0" wrapText="false" indent="0" shrinkToFit="false"/>
      <protection locked="true" hidden="false"/>
    </xf>
    <xf numFmtId="164" fontId="0" fillId="19" borderId="6" xfId="0" applyFont="false" applyBorder="true" applyAlignment="true" applyProtection="false">
      <alignment horizontal="center" vertical="bottom" textRotation="0" wrapText="false" indent="0" shrinkToFit="false"/>
      <protection locked="true" hidden="false"/>
    </xf>
    <xf numFmtId="174" fontId="0" fillId="12" borderId="6" xfId="0" applyFont="false" applyBorder="true" applyAlignment="true" applyProtection="false">
      <alignment horizontal="center" vertical="bottom" textRotation="0" wrapText="false" indent="0" shrinkToFit="false"/>
      <protection locked="true" hidden="false"/>
    </xf>
    <xf numFmtId="164" fontId="0" fillId="0" borderId="8" xfId="0" applyFont="false" applyBorder="true" applyAlignment="true" applyProtection="false">
      <alignment horizontal="left" vertical="center" textRotation="0" wrapText="false" indent="0" shrinkToFit="false"/>
      <protection locked="true" hidden="false"/>
    </xf>
    <xf numFmtId="164" fontId="0" fillId="0" borderId="8" xfId="0" applyFont="false" applyBorder="true" applyAlignment="true" applyProtection="false">
      <alignment horizontal="left" vertical="bottom" textRotation="0" wrapText="false" indent="0" shrinkToFit="false"/>
      <protection locked="true" hidden="false"/>
    </xf>
    <xf numFmtId="167" fontId="0" fillId="0" borderId="6" xfId="0" applyFont="true" applyBorder="true" applyAlignment="true" applyProtection="true">
      <alignment horizontal="center" vertical="center" textRotation="0" wrapText="false" indent="0" shrinkToFit="false"/>
      <protection locked="false" hidden="false"/>
    </xf>
    <xf numFmtId="164" fontId="157" fillId="0" borderId="7" xfId="0" applyFont="true" applyBorder="true" applyAlignment="false" applyProtection="false">
      <alignment horizontal="general" vertical="bottom" textRotation="0" wrapText="false" indent="0" shrinkToFit="false"/>
      <protection locked="true" hidden="false"/>
    </xf>
    <xf numFmtId="164" fontId="0" fillId="0" borderId="8" xfId="0" applyFont="false" applyBorder="true" applyAlignment="false" applyProtection="false">
      <alignment horizontal="general" vertical="bottom" textRotation="0" wrapText="false" indent="0" shrinkToFit="false"/>
      <protection locked="true" hidden="false"/>
    </xf>
    <xf numFmtId="164" fontId="181" fillId="0" borderId="7" xfId="0" applyFont="true" applyBorder="true" applyAlignment="false" applyProtection="false">
      <alignment horizontal="general" vertical="bottom" textRotation="0" wrapText="false" indent="0" shrinkToFit="false"/>
      <protection locked="true" hidden="false"/>
    </xf>
    <xf numFmtId="164" fontId="0" fillId="0" borderId="7" xfId="0" applyFont="true" applyBorder="true" applyAlignment="true" applyProtection="false">
      <alignment horizontal="general" vertical="center" textRotation="0" wrapText="true" indent="0" shrinkToFit="false"/>
      <protection locked="true" hidden="false"/>
    </xf>
    <xf numFmtId="167" fontId="0" fillId="0" borderId="6" xfId="0" applyFont="false" applyBorder="true" applyAlignment="true" applyProtection="false">
      <alignment horizontal="center" vertical="center" textRotation="0" wrapText="true" indent="0" shrinkToFit="false"/>
      <protection locked="true" hidden="false"/>
    </xf>
    <xf numFmtId="164" fontId="0" fillId="0" borderId="8" xfId="0" applyFont="false" applyBorder="true" applyAlignment="true" applyProtection="false">
      <alignment horizontal="left" vertical="center" textRotation="0" wrapText="true" indent="0" shrinkToFit="false"/>
      <protection locked="true" hidden="false"/>
    </xf>
    <xf numFmtId="164" fontId="0" fillId="0" borderId="6" xfId="0" applyFont="true" applyBorder="true" applyAlignment="true" applyProtection="true">
      <alignment horizontal="center" vertical="bottom" textRotation="0" wrapText="false" indent="0" shrinkToFit="false"/>
      <protection locked="false" hidden="false"/>
    </xf>
    <xf numFmtId="164" fontId="0" fillId="0" borderId="6" xfId="0" applyFont="true" applyBorder="true" applyAlignment="true" applyProtection="true">
      <alignment horizontal="center" vertical="center" textRotation="0" wrapText="false" indent="0" shrinkToFit="false"/>
      <protection locked="false" hidden="false"/>
    </xf>
    <xf numFmtId="164" fontId="103" fillId="14" borderId="227" xfId="0" applyFont="true" applyBorder="true" applyAlignment="true" applyProtection="false">
      <alignment horizontal="general" vertical="center" textRotation="0" wrapText="true" indent="0" shrinkToFit="false"/>
      <protection locked="true" hidden="false"/>
    </xf>
    <xf numFmtId="164" fontId="83" fillId="14" borderId="228" xfId="0" applyFont="true" applyBorder="true" applyAlignment="true" applyProtection="false">
      <alignment horizontal="center" vertical="center" textRotation="0" wrapText="true" indent="0" shrinkToFit="false"/>
      <protection locked="true" hidden="false"/>
    </xf>
    <xf numFmtId="164" fontId="83" fillId="14" borderId="229" xfId="0" applyFont="true" applyBorder="true" applyAlignment="true" applyProtection="false">
      <alignment horizontal="center" vertical="center" textRotation="0" wrapText="true" indent="0" shrinkToFit="false"/>
      <protection locked="true" hidden="false"/>
    </xf>
    <xf numFmtId="164" fontId="83" fillId="14" borderId="1" xfId="0" applyFont="true" applyBorder="true" applyAlignment="true" applyProtection="false">
      <alignment horizontal="center" vertical="center" textRotation="0" wrapText="true" indent="0" shrinkToFit="false"/>
      <protection locked="true" hidden="false"/>
    </xf>
    <xf numFmtId="164" fontId="83" fillId="14" borderId="230" xfId="0" applyFont="true" applyBorder="true" applyAlignment="true" applyProtection="false">
      <alignment horizontal="center" vertical="center" textRotation="0" wrapText="true" indent="0" shrinkToFit="false"/>
      <protection locked="true" hidden="false"/>
    </xf>
    <xf numFmtId="164" fontId="83" fillId="30" borderId="231" xfId="0" applyFont="true" applyBorder="true" applyAlignment="true" applyProtection="false">
      <alignment horizontal="center" vertical="center" textRotation="0" wrapText="true" indent="0" shrinkToFit="false"/>
      <protection locked="true" hidden="false"/>
    </xf>
    <xf numFmtId="164" fontId="69" fillId="30" borderId="89" xfId="0" applyFont="true" applyBorder="true" applyAlignment="true" applyProtection="false">
      <alignment horizontal="center" vertical="center" textRotation="0" wrapText="true" indent="0" shrinkToFit="false"/>
      <protection locked="true" hidden="false"/>
    </xf>
    <xf numFmtId="174" fontId="69" fillId="30" borderId="94" xfId="0" applyFont="true" applyBorder="true" applyAlignment="true" applyProtection="false">
      <alignment horizontal="center" vertical="center" textRotation="0" wrapText="true" indent="0" shrinkToFit="false"/>
      <protection locked="true" hidden="false"/>
    </xf>
    <xf numFmtId="164" fontId="103" fillId="30" borderId="94" xfId="0" applyFont="true" applyBorder="true" applyAlignment="true" applyProtection="false">
      <alignment horizontal="center" vertical="center" textRotation="0" wrapText="true" indent="0" shrinkToFit="false"/>
      <protection locked="true" hidden="false"/>
    </xf>
    <xf numFmtId="164" fontId="103" fillId="31" borderId="156" xfId="0" applyFont="true" applyBorder="true" applyAlignment="true" applyProtection="false">
      <alignment horizontal="center" vertical="center" textRotation="0" wrapText="true" indent="0" shrinkToFit="false"/>
      <protection locked="true" hidden="false"/>
    </xf>
    <xf numFmtId="164" fontId="103" fillId="31" borderId="232" xfId="0" applyFont="true" applyBorder="true" applyAlignment="true" applyProtection="false">
      <alignment horizontal="center" vertical="center" textRotation="0" wrapText="true" indent="0" shrinkToFit="false"/>
      <protection locked="true" hidden="false"/>
    </xf>
    <xf numFmtId="174" fontId="103" fillId="30" borderId="128" xfId="0" applyFont="true" applyBorder="true" applyAlignment="true" applyProtection="false">
      <alignment horizontal="center" vertical="center" textRotation="0" wrapText="true" indent="0" shrinkToFit="false"/>
      <protection locked="true" hidden="false"/>
    </xf>
    <xf numFmtId="164" fontId="103" fillId="30" borderId="96" xfId="0" applyFont="true" applyBorder="true" applyAlignment="true" applyProtection="false">
      <alignment horizontal="center" vertical="center" textRotation="0" wrapText="true" indent="0" shrinkToFit="false"/>
      <protection locked="true" hidden="false"/>
    </xf>
    <xf numFmtId="174" fontId="103" fillId="30" borderId="6" xfId="0" applyFont="true" applyBorder="true" applyAlignment="true" applyProtection="false">
      <alignment horizontal="center" vertical="center" textRotation="0" wrapText="true" indent="0" shrinkToFit="false"/>
      <protection locked="true" hidden="false"/>
    </xf>
    <xf numFmtId="164" fontId="103" fillId="30" borderId="7" xfId="0" applyFont="true" applyBorder="true" applyAlignment="true" applyProtection="false">
      <alignment horizontal="center" vertical="center" textRotation="0" wrapText="true" indent="0" shrinkToFit="false"/>
      <protection locked="true" hidden="false"/>
    </xf>
    <xf numFmtId="164" fontId="103" fillId="31" borderId="7" xfId="0" applyFont="true" applyBorder="true" applyAlignment="true" applyProtection="false">
      <alignment horizontal="center" vertical="center" textRotation="0" wrapText="true" indent="0" shrinkToFit="false"/>
      <protection locked="true" hidden="false"/>
    </xf>
    <xf numFmtId="164" fontId="103" fillId="31" borderId="130" xfId="0" applyFont="true" applyBorder="true" applyAlignment="true" applyProtection="false">
      <alignment horizontal="center" vertical="center" textRotation="0" wrapText="true" indent="0" shrinkToFit="false"/>
      <protection locked="true" hidden="false"/>
    </xf>
    <xf numFmtId="174" fontId="103" fillId="30" borderId="233" xfId="0" applyFont="true" applyBorder="true" applyAlignment="true" applyProtection="false">
      <alignment horizontal="center" vertical="center" textRotation="0" wrapText="true" indent="0" shrinkToFit="false"/>
      <protection locked="true" hidden="false"/>
    </xf>
    <xf numFmtId="164" fontId="103" fillId="31" borderId="100" xfId="0" applyFont="true" applyBorder="true" applyAlignment="true" applyProtection="false">
      <alignment horizontal="center" vertical="center" textRotation="0" wrapText="true" indent="0" shrinkToFit="false"/>
      <protection locked="true" hidden="false"/>
    </xf>
    <xf numFmtId="164" fontId="94" fillId="30" borderId="96" xfId="0" applyFont="true" applyBorder="true" applyAlignment="true" applyProtection="false">
      <alignment horizontal="center" vertical="center" textRotation="0" wrapText="true" indent="0" shrinkToFit="false"/>
      <protection locked="true" hidden="false"/>
    </xf>
    <xf numFmtId="164" fontId="94" fillId="30" borderId="121" xfId="0" applyFont="true" applyBorder="true" applyAlignment="true" applyProtection="false">
      <alignment horizontal="center" vertical="center" textRotation="0" wrapText="true" indent="0" shrinkToFit="false"/>
      <protection locked="true" hidden="false"/>
    </xf>
    <xf numFmtId="164" fontId="103" fillId="30" borderId="11" xfId="0" applyFont="true" applyBorder="true" applyAlignment="true" applyProtection="false">
      <alignment horizontal="center" vertical="center" textRotation="0" wrapText="true" indent="0" shrinkToFit="false"/>
      <protection locked="true" hidden="false"/>
    </xf>
    <xf numFmtId="164" fontId="103" fillId="31" borderId="103" xfId="0" applyFont="true" applyBorder="true" applyAlignment="true" applyProtection="false">
      <alignment horizontal="center" vertical="center" textRotation="0" wrapText="true" indent="0" shrinkToFit="false"/>
      <protection locked="true" hidden="false"/>
    </xf>
    <xf numFmtId="164" fontId="103" fillId="31" borderId="135" xfId="0" applyFont="true" applyBorder="true" applyAlignment="true" applyProtection="false">
      <alignment horizontal="center" vertical="center" textRotation="0" wrapText="true" indent="0" shrinkToFit="false"/>
      <protection locked="true" hidden="false"/>
    </xf>
    <xf numFmtId="164" fontId="103" fillId="30" borderId="4" xfId="0" applyFont="true" applyBorder="true" applyAlignment="true" applyProtection="false">
      <alignment horizontal="center" vertical="center" textRotation="0" wrapText="true" indent="0" shrinkToFit="false"/>
      <protection locked="true" hidden="false"/>
    </xf>
    <xf numFmtId="164" fontId="83" fillId="21" borderId="234" xfId="0" applyFont="true" applyBorder="true" applyAlignment="true" applyProtection="false">
      <alignment horizontal="center" vertical="center" textRotation="0" wrapText="true" indent="0" shrinkToFit="false"/>
      <protection locked="true" hidden="false"/>
    </xf>
    <xf numFmtId="164" fontId="103" fillId="21" borderId="89" xfId="0" applyFont="true" applyBorder="true" applyAlignment="true" applyProtection="false">
      <alignment horizontal="center" vertical="center" textRotation="0" wrapText="true" indent="0" shrinkToFit="false"/>
      <protection locked="true" hidden="false"/>
    </xf>
    <xf numFmtId="167" fontId="103" fillId="30" borderId="235" xfId="0" applyFont="true" applyBorder="true" applyAlignment="true" applyProtection="false">
      <alignment horizontal="center" vertical="center" textRotation="0" wrapText="true" indent="0" shrinkToFit="false"/>
      <protection locked="true" hidden="false"/>
    </xf>
    <xf numFmtId="164" fontId="103" fillId="21" borderId="235" xfId="0" applyFont="true" applyBorder="true" applyAlignment="true" applyProtection="false">
      <alignment horizontal="center" vertical="center" textRotation="0" wrapText="true" indent="0" shrinkToFit="false"/>
      <protection locked="true" hidden="false"/>
    </xf>
    <xf numFmtId="164" fontId="103" fillId="21" borderId="96" xfId="0" applyFont="true" applyBorder="true" applyAlignment="true" applyProtection="false">
      <alignment horizontal="center" vertical="center" textRotation="0" wrapText="true" indent="0" shrinkToFit="false"/>
      <protection locked="true" hidden="false"/>
    </xf>
    <xf numFmtId="164" fontId="60" fillId="19" borderId="6" xfId="0" applyFont="true" applyBorder="true" applyAlignment="true" applyProtection="false">
      <alignment horizontal="general" vertical="center" textRotation="0" wrapText="true" indent="0" shrinkToFit="false"/>
      <protection locked="true" hidden="false"/>
    </xf>
    <xf numFmtId="164" fontId="17" fillId="23" borderId="108" xfId="0" applyFont="true" applyBorder="true" applyAlignment="true" applyProtection="false">
      <alignment horizontal="center" vertical="center" textRotation="0" wrapText="true" indent="0" shrinkToFit="false"/>
      <protection locked="true" hidden="false"/>
    </xf>
    <xf numFmtId="164" fontId="103" fillId="21" borderId="121" xfId="0" applyFont="true" applyBorder="true" applyAlignment="true" applyProtection="false">
      <alignment horizontal="center" vertical="center" textRotation="0" wrapText="true" indent="0" shrinkToFit="false"/>
      <protection locked="true" hidden="false"/>
    </xf>
    <xf numFmtId="164" fontId="103" fillId="31" borderId="9" xfId="0" applyFont="true" applyBorder="true" applyAlignment="true" applyProtection="false">
      <alignment horizontal="center" vertical="center" textRotation="0" wrapText="true" indent="0" shrinkToFit="false"/>
      <protection locked="true" hidden="false"/>
    </xf>
    <xf numFmtId="164" fontId="60" fillId="19" borderId="108" xfId="0" applyFont="true" applyBorder="true" applyAlignment="true" applyProtection="false">
      <alignment horizontal="general" vertical="center" textRotation="0" wrapText="true" indent="0" shrinkToFit="false"/>
      <protection locked="true" hidden="false"/>
    </xf>
    <xf numFmtId="164" fontId="103" fillId="31" borderId="195" xfId="0" applyFont="true" applyBorder="true" applyAlignment="true" applyProtection="false">
      <alignment horizontal="center" vertical="center" textRotation="0" wrapText="true" indent="0" shrinkToFit="false"/>
      <protection locked="true" hidden="false"/>
    </xf>
    <xf numFmtId="164" fontId="83" fillId="32" borderId="170" xfId="0" applyFont="true" applyBorder="true" applyAlignment="true" applyProtection="false">
      <alignment horizontal="center" vertical="center" textRotation="0" wrapText="true" indent="0" shrinkToFit="false"/>
      <protection locked="true" hidden="false"/>
    </xf>
    <xf numFmtId="164" fontId="103" fillId="32" borderId="89" xfId="0" applyFont="true" applyBorder="true" applyAlignment="true" applyProtection="false">
      <alignment horizontal="center" vertical="center" textRotation="0" wrapText="true" indent="0" shrinkToFit="false"/>
      <protection locked="true" hidden="false"/>
    </xf>
    <xf numFmtId="167" fontId="103" fillId="30" borderId="94" xfId="0" applyFont="true" applyBorder="true" applyAlignment="true" applyProtection="false">
      <alignment horizontal="center" vertical="center" textRotation="0" wrapText="true" indent="0" shrinkToFit="false"/>
      <protection locked="true" hidden="false"/>
    </xf>
    <xf numFmtId="164" fontId="103" fillId="32" borderId="94" xfId="0" applyFont="true" applyBorder="true" applyAlignment="true" applyProtection="false">
      <alignment horizontal="center" vertical="center" textRotation="0" wrapText="true" indent="0" shrinkToFit="false"/>
      <protection locked="true" hidden="false"/>
    </xf>
    <xf numFmtId="164" fontId="103" fillId="31" borderId="90" xfId="0" applyFont="true" applyBorder="true" applyAlignment="true" applyProtection="false">
      <alignment horizontal="center" vertical="center" textRotation="0" wrapText="true" indent="0" shrinkToFit="false"/>
      <protection locked="true" hidden="false"/>
    </xf>
    <xf numFmtId="164" fontId="60" fillId="19" borderId="14" xfId="0" applyFont="true" applyBorder="true" applyAlignment="true" applyProtection="false">
      <alignment horizontal="general" vertical="center" textRotation="0" wrapText="true" indent="0" shrinkToFit="false"/>
      <protection locked="true" hidden="false"/>
    </xf>
    <xf numFmtId="164" fontId="17" fillId="23" borderId="94" xfId="0" applyFont="true" applyBorder="true" applyAlignment="true" applyProtection="false">
      <alignment horizontal="center" vertical="center" textRotation="0" wrapText="true" indent="0" shrinkToFit="false"/>
      <protection locked="true" hidden="false"/>
    </xf>
    <xf numFmtId="164" fontId="103" fillId="31" borderId="236" xfId="0" applyFont="true" applyBorder="true" applyAlignment="true" applyProtection="false">
      <alignment horizontal="center" vertical="center" textRotation="0" wrapText="true" indent="0" shrinkToFit="false"/>
      <protection locked="true" hidden="false"/>
    </xf>
    <xf numFmtId="164" fontId="103" fillId="32" borderId="96" xfId="0" applyFont="true" applyBorder="true" applyAlignment="true" applyProtection="false">
      <alignment horizontal="center" vertical="center" textRotation="0" wrapText="true" indent="0" shrinkToFit="false"/>
      <protection locked="true" hidden="false"/>
    </xf>
    <xf numFmtId="164" fontId="94" fillId="32" borderId="102" xfId="0" applyFont="true" applyBorder="true" applyAlignment="true" applyProtection="false">
      <alignment horizontal="center" vertical="center" textRotation="0" wrapText="true" indent="0" shrinkToFit="false"/>
      <protection locked="true" hidden="false"/>
    </xf>
    <xf numFmtId="164" fontId="103" fillId="30" borderId="108" xfId="0" applyFont="true" applyBorder="true" applyAlignment="true" applyProtection="false">
      <alignment horizontal="center" vertical="center" textRotation="0" wrapText="true" indent="0" shrinkToFit="false"/>
      <protection locked="true" hidden="false"/>
    </xf>
    <xf numFmtId="164" fontId="103" fillId="32" borderId="108" xfId="0" applyFont="true" applyBorder="true" applyAlignment="true" applyProtection="false">
      <alignment horizontal="center" vertical="center" textRotation="0" wrapText="true" indent="0" shrinkToFit="false"/>
      <protection locked="true" hidden="false"/>
    </xf>
    <xf numFmtId="164" fontId="83" fillId="14" borderId="237" xfId="0" applyFont="true" applyBorder="true" applyAlignment="true" applyProtection="false">
      <alignment horizontal="center" vertical="center" textRotation="0" wrapText="true" indent="0" shrinkToFit="false"/>
      <protection locked="true" hidden="false"/>
    </xf>
    <xf numFmtId="174" fontId="83" fillId="14" borderId="238" xfId="0" applyFont="true" applyBorder="true" applyAlignment="true" applyProtection="false">
      <alignment horizontal="center" vertical="center" textRotation="0" wrapText="true" indent="0" shrinkToFit="false"/>
      <protection locked="true" hidden="false"/>
    </xf>
    <xf numFmtId="164" fontId="83" fillId="33" borderId="128" xfId="0" applyFont="true" applyBorder="true" applyAlignment="true" applyProtection="false">
      <alignment horizontal="center" vertical="center" textRotation="0" wrapText="true" indent="0" shrinkToFit="false"/>
      <protection locked="true" hidden="false"/>
    </xf>
    <xf numFmtId="164" fontId="103" fillId="33" borderId="5" xfId="0" applyFont="true" applyBorder="true" applyAlignment="true" applyProtection="false">
      <alignment horizontal="center" vertical="center" textRotation="0" wrapText="true" indent="0" shrinkToFit="false"/>
      <protection locked="true" hidden="false"/>
    </xf>
    <xf numFmtId="174" fontId="103" fillId="30" borderId="5" xfId="0" applyFont="true" applyBorder="true" applyAlignment="true" applyProtection="false">
      <alignment horizontal="center" vertical="center" textRotation="0" wrapText="true" indent="0" shrinkToFit="false"/>
      <protection locked="true" hidden="false"/>
    </xf>
    <xf numFmtId="164" fontId="103" fillId="31" borderId="162" xfId="0" applyFont="true" applyBorder="true" applyAlignment="true" applyProtection="false">
      <alignment horizontal="center" vertical="center" textRotation="0" wrapText="true" indent="0" shrinkToFit="false"/>
      <protection locked="true" hidden="false"/>
    </xf>
    <xf numFmtId="164" fontId="103" fillId="31" borderId="198" xfId="0" applyFont="true" applyBorder="true" applyAlignment="true" applyProtection="false">
      <alignment horizontal="center" vertical="center" textRotation="0" wrapText="true" indent="0" shrinkToFit="false"/>
      <protection locked="true" hidden="false"/>
    </xf>
    <xf numFmtId="164" fontId="69" fillId="31" borderId="198" xfId="0" applyFont="true" applyBorder="true" applyAlignment="true" applyProtection="false">
      <alignment horizontal="center" vertical="center" textRotation="0" wrapText="true" indent="0" shrinkToFit="false"/>
      <protection locked="true" hidden="false"/>
    </xf>
    <xf numFmtId="164" fontId="69" fillId="33" borderId="1" xfId="0" applyFont="true" applyBorder="true" applyAlignment="true" applyProtection="false">
      <alignment horizontal="center" vertical="center" textRotation="0" wrapText="true" indent="0" shrinkToFit="false"/>
      <protection locked="true" hidden="false"/>
    </xf>
    <xf numFmtId="164" fontId="103" fillId="19" borderId="1" xfId="0" applyFont="true" applyBorder="true" applyAlignment="true" applyProtection="false">
      <alignment horizontal="center" vertical="center" textRotation="0" wrapText="true" indent="0" shrinkToFit="false"/>
      <protection locked="true" hidden="false"/>
    </xf>
    <xf numFmtId="164" fontId="103" fillId="31" borderId="170" xfId="0" applyFont="true" applyBorder="true" applyAlignment="true" applyProtection="false">
      <alignment horizontal="center" vertical="center" textRotation="0" wrapText="true" indent="0" shrinkToFit="false"/>
      <protection locked="true" hidden="false"/>
    </xf>
    <xf numFmtId="174" fontId="83" fillId="14" borderId="3"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general" vertical="bottom" textRotation="90" wrapText="false" indent="0" shrinkToFit="false"/>
      <protection locked="true" hidden="false"/>
    </xf>
    <xf numFmtId="164" fontId="184" fillId="15" borderId="1" xfId="38" applyFont="true" applyBorder="true" applyAlignment="false" applyProtection="false">
      <alignment horizontal="center" vertical="center" textRotation="0" wrapText="true" indent="0" shrinkToFit="false"/>
      <protection locked="true" hidden="false"/>
    </xf>
    <xf numFmtId="164" fontId="7" fillId="0" borderId="0" xfId="0" applyFont="true" applyBorder="true" applyAlignment="true" applyProtection="false">
      <alignment horizontal="general" vertical="center" textRotation="90" wrapText="true" indent="0" shrinkToFit="false"/>
      <protection locked="true" hidden="false"/>
    </xf>
    <xf numFmtId="164" fontId="7" fillId="0" borderId="0" xfId="0" applyFont="true" applyBorder="true" applyAlignment="true" applyProtection="false">
      <alignment horizontal="general" vertical="center" textRotation="0" wrapText="true" indent="0" shrinkToFit="false"/>
      <protection locked="true" hidden="false"/>
    </xf>
    <xf numFmtId="164" fontId="5" fillId="5" borderId="1" xfId="24" applyFont="true" applyBorder="true" applyAlignment="true" applyProtection="false">
      <alignment horizontal="center" vertical="center" textRotation="90" wrapText="true" indent="0" shrinkToFit="false"/>
      <protection locked="true" hidden="false"/>
    </xf>
    <xf numFmtId="164" fontId="0" fillId="0" borderId="239" xfId="0" applyFont="true" applyBorder="true" applyAlignment="false" applyProtection="false">
      <alignment horizontal="general" vertical="bottom" textRotation="0" wrapText="false" indent="0" shrinkToFit="false"/>
      <protection locked="true" hidden="false"/>
    </xf>
    <xf numFmtId="164" fontId="129" fillId="2" borderId="240" xfId="21" applyFont="true" applyBorder="true" applyAlignment="true" applyProtection="true">
      <alignment horizontal="left" vertical="bottom" textRotation="0" wrapText="false" indent="0" shrinkToFit="false"/>
      <protection locked="true" hidden="false"/>
    </xf>
    <xf numFmtId="164" fontId="129" fillId="2" borderId="241" xfId="21" applyFont="true" applyBorder="true" applyAlignment="true" applyProtection="true">
      <alignment horizontal="center" vertical="bottom" textRotation="0" wrapText="false" indent="0" shrinkToFit="false"/>
      <protection locked="true" hidden="false"/>
    </xf>
    <xf numFmtId="164" fontId="0" fillId="0" borderId="242" xfId="0" applyFont="false" applyBorder="true" applyAlignment="false" applyProtection="false">
      <alignment horizontal="general" vertical="bottom" textRotation="0" wrapText="false" indent="0" shrinkToFit="false"/>
      <protection locked="true" hidden="false"/>
    </xf>
    <xf numFmtId="174" fontId="5" fillId="5" borderId="1" xfId="24" applyFont="false" applyBorder="true" applyAlignment="false" applyProtection="false">
      <alignment horizontal="center" vertical="center" textRotation="0" wrapText="true" indent="0" shrinkToFit="false"/>
      <protection locked="true" hidden="false"/>
    </xf>
    <xf numFmtId="164" fontId="0" fillId="0" borderId="17" xfId="0" applyFont="false" applyBorder="true" applyAlignment="false" applyProtection="false">
      <alignment horizontal="general" vertical="bottom" textRotation="0" wrapText="false" indent="0" shrinkToFit="false"/>
      <protection locked="true" hidden="false"/>
    </xf>
    <xf numFmtId="164" fontId="0" fillId="0" borderId="127"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center" vertical="center" textRotation="0" wrapText="false" indent="0" shrinkToFit="false"/>
      <protection locked="true" hidden="false"/>
    </xf>
    <xf numFmtId="164" fontId="0" fillId="0" borderId="11" xfId="0" applyFont="true" applyBorder="true" applyAlignment="true" applyProtection="false">
      <alignment horizontal="center" vertical="center" textRotation="0" wrapText="false" indent="0" shrinkToFit="false"/>
      <protection locked="true" hidden="false"/>
    </xf>
    <xf numFmtId="164" fontId="0" fillId="0" borderId="11" xfId="0" applyFont="true" applyBorder="true" applyAlignment="true" applyProtection="false">
      <alignment horizontal="center" vertical="center" textRotation="0" wrapText="true" indent="0" shrinkToFit="false"/>
      <protection locked="true" hidden="false"/>
    </xf>
    <xf numFmtId="169" fontId="0" fillId="0" borderId="6" xfId="19" applyFont="true" applyBorder="true" applyAlignment="true" applyProtection="true">
      <alignment horizontal="center" vertical="center" textRotation="0" wrapText="true" indent="0" shrinkToFit="false"/>
      <protection locked="true" hidden="false"/>
    </xf>
    <xf numFmtId="169" fontId="0" fillId="0" borderId="7" xfId="19" applyFont="true" applyBorder="true" applyAlignment="true" applyProtection="true">
      <alignment horizontal="center" vertical="center" textRotation="0" wrapText="true" indent="0" shrinkToFit="false"/>
      <protection locked="true" hidden="false"/>
    </xf>
    <xf numFmtId="164" fontId="0" fillId="0" borderId="36" xfId="0" applyFont="true" applyBorder="true" applyAlignment="true" applyProtection="false">
      <alignment horizontal="center" vertical="bottom" textRotation="0" wrapText="true" indent="0" shrinkToFit="false"/>
      <protection locked="true" hidden="false"/>
    </xf>
    <xf numFmtId="164" fontId="0" fillId="0" borderId="27" xfId="0" applyFont="true" applyBorder="true" applyAlignment="true" applyProtection="false">
      <alignment horizontal="left" vertical="bottom" textRotation="0" wrapText="true" indent="0" shrinkToFit="false"/>
      <protection locked="true" hidden="false"/>
    </xf>
    <xf numFmtId="174" fontId="0" fillId="0" borderId="28" xfId="0" applyFont="false" applyBorder="true" applyAlignment="true" applyProtection="false">
      <alignment horizontal="right" vertical="top" textRotation="0" wrapText="false" indent="0" shrinkToFit="false"/>
      <protection locked="true" hidden="false"/>
    </xf>
    <xf numFmtId="174" fontId="0" fillId="0" borderId="8" xfId="0" applyFont="false" applyBorder="true" applyAlignment="true" applyProtection="false">
      <alignment horizontal="center" vertical="center" textRotation="0" wrapText="false" indent="0" shrinkToFit="false"/>
      <protection locked="true" hidden="false"/>
    </xf>
    <xf numFmtId="174" fontId="4" fillId="2" borderId="6" xfId="21" applyFont="false" applyBorder="true" applyAlignment="true" applyProtection="true">
      <alignment horizontal="center" vertical="center" textRotation="0" wrapText="false" indent="0" shrinkToFit="false"/>
      <protection locked="true" hidden="false"/>
    </xf>
    <xf numFmtId="164" fontId="0" fillId="0" borderId="7" xfId="0" applyFont="false" applyBorder="true" applyAlignment="true" applyProtection="false">
      <alignment horizontal="center" vertical="center" textRotation="0" wrapText="false" indent="0" shrinkToFit="false"/>
      <protection locked="true" hidden="false"/>
    </xf>
    <xf numFmtId="164" fontId="0" fillId="0" borderId="26" xfId="0" applyFont="false" applyBorder="true" applyAlignment="true" applyProtection="false">
      <alignment horizontal="center" vertical="bottom" textRotation="0" wrapText="false" indent="0" shrinkToFit="false"/>
      <protection locked="true" hidden="false"/>
    </xf>
    <xf numFmtId="164" fontId="0" fillId="0" borderId="32" xfId="0" applyFont="false" applyBorder="true" applyAlignment="false" applyProtection="false">
      <alignment horizontal="general" vertical="bottom" textRotation="0" wrapText="false" indent="0" shrinkToFit="false"/>
      <protection locked="true" hidden="false"/>
    </xf>
    <xf numFmtId="164" fontId="185" fillId="0" borderId="0" xfId="0" applyFont="true" applyBorder="true" applyAlignment="true" applyProtection="false">
      <alignment horizontal="left" vertical="bottom" textRotation="0" wrapText="true" indent="0" shrinkToFit="false"/>
      <protection locked="true" hidden="false"/>
    </xf>
    <xf numFmtId="164" fontId="0" fillId="0" borderId="32" xfId="0" applyFont="true" applyBorder="true" applyAlignment="true" applyProtection="false">
      <alignment horizontal="left" vertical="bottom" textRotation="0" wrapText="true" indent="0" shrinkToFit="false"/>
      <protection locked="true" hidden="false"/>
    </xf>
    <xf numFmtId="164" fontId="0" fillId="0" borderId="0" xfId="0" applyFont="true" applyBorder="true" applyAlignment="true" applyProtection="false">
      <alignment horizontal="left" vertical="bottom" textRotation="0" wrapText="true" indent="0" shrinkToFit="false"/>
      <protection locked="true" hidden="false"/>
    </xf>
    <xf numFmtId="174" fontId="0" fillId="0" borderId="0" xfId="0" applyFont="true" applyBorder="true" applyAlignment="true" applyProtection="false">
      <alignment horizontal="general" vertical="top" textRotation="0" wrapText="true" indent="0" shrinkToFit="false"/>
      <protection locked="true" hidden="false"/>
    </xf>
    <xf numFmtId="169" fontId="0" fillId="0" borderId="0" xfId="19" applyFont="false" applyBorder="true" applyAlignment="false" applyProtection="true">
      <alignment horizontal="general" vertical="bottom" textRotation="0" wrapText="false" indent="0" shrinkToFit="false"/>
      <protection locked="true" hidden="false"/>
    </xf>
    <xf numFmtId="164" fontId="0" fillId="0" borderId="26" xfId="0" applyFont="true" applyBorder="true" applyAlignment="true" applyProtection="false">
      <alignment horizontal="center" vertical="center" textRotation="0" wrapText="true" indent="0" shrinkToFit="false"/>
      <protection locked="true" hidden="false"/>
    </xf>
    <xf numFmtId="164" fontId="185" fillId="0" borderId="0" xfId="0" applyFont="true" applyBorder="true" applyAlignment="true" applyProtection="false">
      <alignment horizontal="general" vertical="bottom" textRotation="0" wrapText="false" indent="0" shrinkToFit="false"/>
      <protection locked="true" hidden="false"/>
    </xf>
    <xf numFmtId="164" fontId="0" fillId="0" borderId="32" xfId="0" applyFont="true" applyBorder="true" applyAlignment="true" applyProtection="false">
      <alignment horizontal="right" vertical="bottom" textRotation="0" wrapText="true" indent="0" shrinkToFit="false"/>
      <protection locked="true" hidden="false"/>
    </xf>
    <xf numFmtId="174" fontId="0" fillId="0" borderId="0" xfId="0" applyFont="false" applyBorder="true" applyAlignment="true" applyProtection="false">
      <alignment horizontal="right" vertical="center" textRotation="0" wrapText="false" indent="0" shrinkToFit="false"/>
      <protection locked="true" hidden="false"/>
    </xf>
    <xf numFmtId="172" fontId="0" fillId="0" borderId="26" xfId="0" applyFont="false" applyBorder="true" applyAlignment="true" applyProtection="false">
      <alignment horizontal="center" vertical="center" textRotation="0" wrapText="false" indent="0" shrinkToFit="false"/>
      <protection locked="true" hidden="false"/>
    </xf>
    <xf numFmtId="172" fontId="0" fillId="0" borderId="123" xfId="0" applyFont="false" applyBorder="true" applyAlignment="true" applyProtection="false">
      <alignment horizontal="center" vertical="center" textRotation="0" wrapText="false" indent="0" shrinkToFit="false"/>
      <protection locked="true" hidden="false"/>
    </xf>
    <xf numFmtId="169" fontId="0" fillId="0" borderId="26" xfId="19" applyFont="false" applyBorder="true" applyAlignment="true" applyProtection="true">
      <alignment horizontal="general" vertical="center" textRotation="0" wrapText="false" indent="0" shrinkToFit="false"/>
      <protection locked="true" hidden="false"/>
    </xf>
    <xf numFmtId="169" fontId="0" fillId="0" borderId="123" xfId="19" applyFont="false" applyBorder="true" applyAlignment="true" applyProtection="true">
      <alignment horizontal="general" vertical="center" textRotation="0" wrapText="false" indent="0" shrinkToFit="false"/>
      <protection locked="true" hidden="false"/>
    </xf>
    <xf numFmtId="164" fontId="0" fillId="0" borderId="32" xfId="0" applyFont="false" applyBorder="true" applyAlignment="true" applyProtection="false">
      <alignment horizontal="right" vertical="bottom" textRotation="0" wrapText="false" indent="0" shrinkToFit="false"/>
      <protection locked="true" hidden="false"/>
    </xf>
    <xf numFmtId="169" fontId="0" fillId="0" borderId="6" xfId="19" applyFont="true" applyBorder="true" applyAlignment="true" applyProtection="true">
      <alignment horizontal="center" vertical="center" textRotation="0" wrapText="false" indent="0" shrinkToFit="false"/>
      <protection locked="true" hidden="false"/>
    </xf>
    <xf numFmtId="164" fontId="0" fillId="0" borderId="32" xfId="0" applyFont="true" applyBorder="true" applyAlignment="true" applyProtection="false">
      <alignment horizontal="left" vertical="bottom" textRotation="0" wrapText="false" indent="0" shrinkToFit="false"/>
      <protection locked="true" hidden="false"/>
    </xf>
    <xf numFmtId="174" fontId="0" fillId="0" borderId="35" xfId="0" applyFont="false" applyBorder="true" applyAlignment="true" applyProtection="false">
      <alignment horizontal="right" vertical="top" textRotation="0" wrapText="true" indent="0" shrinkToFit="false"/>
      <protection locked="true" hidden="false"/>
    </xf>
    <xf numFmtId="164" fontId="0" fillId="0" borderId="34" xfId="0" applyFont="true" applyBorder="true" applyAlignment="true" applyProtection="false">
      <alignment horizontal="left" vertical="bottom" textRotation="0" wrapText="true" indent="0" shrinkToFit="false"/>
      <protection locked="true" hidden="false"/>
    </xf>
    <xf numFmtId="164" fontId="0" fillId="0" borderId="45" xfId="0" applyFont="true" applyBorder="true" applyAlignment="true" applyProtection="false">
      <alignment horizontal="left" vertical="bottom" textRotation="0" wrapText="true" indent="0" shrinkToFit="false"/>
      <protection locked="true" hidden="false"/>
    </xf>
    <xf numFmtId="169" fontId="0" fillId="0" borderId="45" xfId="19" applyFont="true" applyBorder="true" applyAlignment="true" applyProtection="true">
      <alignment horizontal="right" vertical="bottom" textRotation="0" wrapText="true" indent="0" shrinkToFit="false"/>
      <protection locked="true" hidden="false"/>
    </xf>
    <xf numFmtId="164" fontId="0" fillId="0" borderId="45" xfId="0" applyFont="false" applyBorder="true" applyAlignment="false" applyProtection="false">
      <alignment horizontal="general" vertical="bottom" textRotation="0" wrapText="false" indent="0" shrinkToFit="false"/>
      <protection locked="true" hidden="false"/>
    </xf>
    <xf numFmtId="164" fontId="0" fillId="0" borderId="17" xfId="0" applyFont="true" applyBorder="true" applyAlignment="false" applyProtection="false">
      <alignment horizontal="general" vertical="bottom" textRotation="0" wrapText="false" indent="0" shrinkToFit="false"/>
      <protection locked="true" hidden="false"/>
    </xf>
    <xf numFmtId="164" fontId="129" fillId="2" borderId="0" xfId="21" applyFont="true" applyBorder="true" applyAlignment="true" applyProtection="true">
      <alignment horizontal="left" vertical="bottom" textRotation="0" wrapText="true" indent="0" shrinkToFit="false"/>
      <protection locked="true" hidden="false"/>
    </xf>
    <xf numFmtId="164" fontId="129" fillId="2" borderId="150" xfId="21" applyFont="true" applyBorder="true" applyAlignment="true" applyProtection="true">
      <alignment horizontal="center" vertical="bottom" textRotation="0" wrapText="false" indent="0" shrinkToFit="false"/>
      <protection locked="true" hidden="false"/>
    </xf>
    <xf numFmtId="164" fontId="0" fillId="0" borderId="243" xfId="0" applyFont="true" applyBorder="true" applyAlignment="true" applyProtection="false">
      <alignment horizontal="left" vertical="center" textRotation="0" wrapText="true" indent="0" shrinkToFit="false"/>
      <protection locked="true" hidden="false"/>
    </xf>
    <xf numFmtId="174" fontId="0" fillId="0" borderId="8" xfId="0" applyFont="false" applyBorder="true" applyAlignment="true" applyProtection="false">
      <alignment horizontal="center" vertical="center" textRotation="0" wrapText="true" indent="0" shrinkToFit="false"/>
      <protection locked="true" hidden="false"/>
    </xf>
    <xf numFmtId="174" fontId="0" fillId="0" borderId="33" xfId="0" applyFont="false" applyBorder="true" applyAlignment="true" applyProtection="false">
      <alignment horizontal="right" vertical="top" textRotation="0" wrapText="false" indent="0" shrinkToFit="false"/>
      <protection locked="true" hidden="false"/>
    </xf>
    <xf numFmtId="164" fontId="0" fillId="0" borderId="26" xfId="0" applyFont="true" applyBorder="true" applyAlignment="true" applyProtection="false">
      <alignment horizontal="center" vertical="center" textRotation="0" wrapText="false" indent="0" shrinkToFit="false"/>
      <protection locked="true" hidden="false"/>
    </xf>
    <xf numFmtId="164" fontId="0" fillId="0" borderId="32" xfId="0" applyFont="true" applyBorder="true" applyAlignment="true" applyProtection="false">
      <alignment horizontal="general" vertical="bottom" textRotation="0" wrapText="true" indent="0" shrinkToFit="false"/>
      <protection locked="true" hidden="false"/>
    </xf>
    <xf numFmtId="174" fontId="0" fillId="0" borderId="0" xfId="0" applyFont="false" applyBorder="true" applyAlignment="true" applyProtection="false">
      <alignment horizontal="left" vertical="bottom" textRotation="0" wrapText="false" indent="0" shrinkToFit="false"/>
      <protection locked="true" hidden="false"/>
    </xf>
    <xf numFmtId="174" fontId="0" fillId="0" borderId="0" xfId="0" applyFont="true" applyBorder="true" applyAlignment="true" applyProtection="false">
      <alignment horizontal="right" vertical="bottom" textRotation="0" wrapText="true" indent="0" shrinkToFit="false"/>
      <protection locked="true" hidden="false"/>
    </xf>
    <xf numFmtId="169" fontId="0" fillId="0" borderId="26" xfId="19" applyFont="false" applyBorder="true" applyAlignment="true" applyProtection="true">
      <alignment horizontal="center" vertical="center" textRotation="0" wrapText="false" indent="0" shrinkToFit="false"/>
      <protection locked="true" hidden="false"/>
    </xf>
    <xf numFmtId="169" fontId="0" fillId="0" borderId="37" xfId="19" applyFont="false" applyBorder="true" applyAlignment="true" applyProtection="true">
      <alignment horizontal="center" vertical="center" textRotation="0" wrapText="false" indent="0" shrinkToFit="false"/>
      <protection locked="true" hidden="false"/>
    </xf>
    <xf numFmtId="174" fontId="0" fillId="0" borderId="0" xfId="0" applyFont="true" applyBorder="true" applyAlignment="true" applyProtection="false">
      <alignment horizontal="right" vertical="center" textRotation="0" wrapText="false" indent="0" shrinkToFit="false"/>
      <protection locked="true" hidden="false"/>
    </xf>
    <xf numFmtId="164" fontId="0" fillId="0" borderId="0" xfId="0" applyFont="false" applyBorder="true" applyAlignment="true" applyProtection="false">
      <alignment horizontal="right" vertical="center" textRotation="0" wrapText="false" indent="0" shrinkToFit="false"/>
      <protection locked="true" hidden="false"/>
    </xf>
    <xf numFmtId="174" fontId="0" fillId="0" borderId="0" xfId="0" applyFont="true" applyBorder="true" applyAlignment="true" applyProtection="false">
      <alignment horizontal="right" vertical="center" textRotation="0" wrapText="true" indent="0" shrinkToFit="false"/>
      <protection locked="true" hidden="false"/>
    </xf>
    <xf numFmtId="174" fontId="0" fillId="0" borderId="35" xfId="0" applyFont="false" applyBorder="true" applyAlignment="true" applyProtection="false">
      <alignment horizontal="right" vertical="top" textRotation="0" wrapText="false" indent="0" shrinkToFit="false"/>
      <protection locked="true" hidden="false"/>
    </xf>
    <xf numFmtId="164" fontId="185" fillId="0" borderId="32" xfId="0" applyFont="true" applyBorder="true" applyAlignment="true" applyProtection="false">
      <alignment horizontal="left" vertical="bottom" textRotation="0" wrapText="false" indent="0" shrinkToFit="false"/>
      <protection locked="true" hidden="false"/>
    </xf>
    <xf numFmtId="169" fontId="0" fillId="0" borderId="0" xfId="19" applyFont="true" applyBorder="true" applyAlignment="true" applyProtection="true">
      <alignment horizontal="left" vertical="bottom" textRotation="0" wrapText="true" indent="0" shrinkToFit="false"/>
      <protection locked="true" hidden="false"/>
    </xf>
    <xf numFmtId="164" fontId="170" fillId="0" borderId="0" xfId="0" applyFont="true" applyBorder="false" applyAlignment="true" applyProtection="false">
      <alignment horizontal="general" vertical="center" textRotation="0" wrapText="false" indent="0" shrinkToFit="false"/>
      <protection locked="true" hidden="false"/>
    </xf>
    <xf numFmtId="174" fontId="0" fillId="0" borderId="45" xfId="0" applyFont="true" applyBorder="true" applyAlignment="true" applyProtection="false">
      <alignment horizontal="right" vertical="bottom" textRotation="0" wrapText="true" indent="0" shrinkToFit="false"/>
      <protection locked="true" hidden="false"/>
    </xf>
    <xf numFmtId="164" fontId="0" fillId="0" borderId="7" xfId="0" applyFont="true" applyBorder="true" applyAlignment="true" applyProtection="false">
      <alignment horizontal="center" vertical="center" textRotation="0" wrapText="false" indent="0" shrinkToFit="false"/>
      <protection locked="true" hidden="false"/>
    </xf>
    <xf numFmtId="164" fontId="0" fillId="0" borderId="244" xfId="0" applyFont="true" applyBorder="true" applyAlignment="true" applyProtection="false">
      <alignment horizontal="center" vertical="center" textRotation="0" wrapText="true" indent="0" shrinkToFit="false"/>
      <protection locked="true" hidden="false"/>
    </xf>
    <xf numFmtId="164" fontId="0" fillId="0" borderId="27" xfId="0" applyFont="true" applyBorder="true" applyAlignment="true" applyProtection="false">
      <alignment horizontal="left" vertical="bottom" textRotation="0" wrapText="false" indent="0" shrinkToFit="false"/>
      <protection locked="true" hidden="false"/>
    </xf>
    <xf numFmtId="164" fontId="0" fillId="0" borderId="43" xfId="0" applyFont="true" applyBorder="true" applyAlignment="true" applyProtection="false">
      <alignment horizontal="center" vertical="center" textRotation="0" wrapText="false" indent="0" shrinkToFit="false"/>
      <protection locked="true" hidden="false"/>
    </xf>
    <xf numFmtId="174" fontId="0" fillId="0" borderId="28" xfId="0" applyFont="true" applyBorder="true" applyAlignment="true" applyProtection="false">
      <alignment horizontal="right" vertical="top" textRotation="0" wrapText="false" indent="0" shrinkToFit="false"/>
      <protection locked="true" hidden="false"/>
    </xf>
    <xf numFmtId="174" fontId="0" fillId="0" borderId="40" xfId="0" applyFont="false" applyBorder="true" applyAlignment="true" applyProtection="false">
      <alignment horizontal="center" vertical="center" textRotation="0" wrapText="false" indent="0" shrinkToFit="false"/>
      <protection locked="true" hidden="false"/>
    </xf>
    <xf numFmtId="174" fontId="4" fillId="2" borderId="40" xfId="21" applyFont="false" applyBorder="true" applyAlignment="true" applyProtection="true">
      <alignment horizontal="center" vertical="center" textRotation="0" wrapText="false" indent="0" shrinkToFit="false"/>
      <protection locked="true" hidden="false"/>
    </xf>
    <xf numFmtId="164" fontId="0" fillId="0" borderId="11" xfId="0" applyFont="true" applyBorder="true" applyAlignment="true" applyProtection="false">
      <alignment horizontal="center" vertical="bottom" textRotation="0" wrapText="false" indent="0" shrinkToFit="false"/>
      <protection locked="true" hidden="false"/>
    </xf>
    <xf numFmtId="169" fontId="0" fillId="0" borderId="0" xfId="19" applyFont="true" applyBorder="true" applyAlignment="true" applyProtection="true">
      <alignment horizontal="left" vertical="bottom" textRotation="0" wrapText="false" indent="0" shrinkToFit="false"/>
      <protection locked="true" hidden="false"/>
    </xf>
    <xf numFmtId="164" fontId="0" fillId="0" borderId="26" xfId="0" applyFont="true" applyBorder="true" applyAlignment="true" applyProtection="false">
      <alignment horizontal="center" vertical="bottom" textRotation="0" wrapText="false" indent="0" shrinkToFit="false"/>
      <protection locked="true" hidden="false"/>
    </xf>
    <xf numFmtId="164" fontId="0" fillId="0" borderId="26" xfId="0" applyFont="true" applyBorder="true" applyAlignment="true" applyProtection="false">
      <alignment horizontal="center" vertical="bottom" textRotation="0" wrapText="true" indent="0" shrinkToFit="false"/>
      <protection locked="true" hidden="false"/>
    </xf>
    <xf numFmtId="174" fontId="0" fillId="0" borderId="33" xfId="0" applyFont="false" applyBorder="true" applyAlignment="true" applyProtection="false">
      <alignment horizontal="right" vertical="top" textRotation="0" wrapText="true" indent="0" shrinkToFit="false"/>
      <protection locked="true" hidden="false"/>
    </xf>
    <xf numFmtId="174" fontId="0" fillId="0" borderId="0" xfId="0" applyFont="true" applyBorder="true" applyAlignment="true" applyProtection="false">
      <alignment horizontal="left" vertical="bottom" textRotation="0" wrapText="true" indent="0" shrinkToFit="false"/>
      <protection locked="true" hidden="false"/>
    </xf>
    <xf numFmtId="164" fontId="0" fillId="0" borderId="34" xfId="0" applyFont="true" applyBorder="true" applyAlignment="true" applyProtection="false">
      <alignment horizontal="left" vertical="bottom" textRotation="0" wrapText="false" indent="0" shrinkToFit="false"/>
      <protection locked="true" hidden="false"/>
    </xf>
    <xf numFmtId="174" fontId="0" fillId="0" borderId="45" xfId="0" applyFont="true" applyBorder="true" applyAlignment="true" applyProtection="false">
      <alignment horizontal="left" vertical="bottom" textRotation="0" wrapText="true" indent="0" shrinkToFit="false"/>
      <protection locked="true" hidden="false"/>
    </xf>
    <xf numFmtId="169" fontId="0" fillId="0" borderId="26" xfId="19" applyFont="false" applyBorder="true" applyAlignment="true" applyProtection="true">
      <alignment horizontal="center" vertical="bottom" textRotation="0" wrapText="false" indent="0" shrinkToFit="false"/>
      <protection locked="true" hidden="false"/>
    </xf>
    <xf numFmtId="169" fontId="0" fillId="0" borderId="7" xfId="19" applyFont="false" applyBorder="true" applyAlignment="true" applyProtection="true">
      <alignment horizontal="center" vertical="center" textRotation="0" wrapText="false" indent="0" shrinkToFit="false"/>
      <protection locked="true" hidden="false"/>
    </xf>
    <xf numFmtId="164" fontId="0" fillId="0" borderId="26" xfId="0" applyFont="false" applyBorder="true" applyAlignment="false" applyProtection="false">
      <alignment horizontal="general" vertical="bottom" textRotation="0" wrapText="false" indent="0" shrinkToFit="false"/>
      <protection locked="true" hidden="false"/>
    </xf>
    <xf numFmtId="174" fontId="0" fillId="0" borderId="30" xfId="0" applyFont="true" applyBorder="true" applyAlignment="true" applyProtection="false">
      <alignment horizontal="center" vertical="center" textRotation="0" wrapText="false" indent="0" shrinkToFit="false"/>
      <protection locked="true" hidden="false"/>
    </xf>
    <xf numFmtId="174" fontId="4" fillId="2" borderId="26" xfId="21" applyFont="false" applyBorder="true" applyAlignment="true" applyProtection="true">
      <alignment horizontal="center" vertical="center" textRotation="0" wrapText="false" indent="0" shrinkToFit="false"/>
      <protection locked="true" hidden="false"/>
    </xf>
    <xf numFmtId="164" fontId="0" fillId="0" borderId="40" xfId="0" applyFont="false" applyBorder="true" applyAlignment="true" applyProtection="false">
      <alignment horizontal="center" vertical="center" textRotation="0" wrapText="false" indent="0" shrinkToFit="false"/>
      <protection locked="true" hidden="false"/>
    </xf>
    <xf numFmtId="164" fontId="0" fillId="0" borderId="32" xfId="0" applyFont="true" applyBorder="true" applyAlignment="true" applyProtection="false">
      <alignment horizontal="left" vertical="center" textRotation="0" wrapText="true" indent="0" shrinkToFit="false"/>
      <protection locked="true" hidden="false"/>
    </xf>
    <xf numFmtId="164" fontId="0" fillId="0" borderId="34" xfId="0" applyFont="false" applyBorder="true" applyAlignment="false" applyProtection="false">
      <alignment horizontal="general" vertical="bottom" textRotation="0" wrapText="false" indent="0" shrinkToFit="false"/>
      <protection locked="true" hidden="false"/>
    </xf>
    <xf numFmtId="169" fontId="0" fillId="0" borderId="45" xfId="19" applyFont="true" applyBorder="true" applyAlignment="true" applyProtection="true">
      <alignment horizontal="general" vertical="bottom" textRotation="0" wrapText="false" indent="0" shrinkToFit="false"/>
      <protection locked="true" hidden="false"/>
    </xf>
    <xf numFmtId="169" fontId="0" fillId="0" borderId="0" xfId="19" applyFont="true" applyBorder="true" applyAlignment="true" applyProtection="true">
      <alignment horizontal="general" vertical="bottom" textRotation="0" wrapText="false" indent="0" shrinkToFit="false"/>
      <protection locked="true" hidden="false"/>
    </xf>
    <xf numFmtId="164" fontId="0" fillId="0" borderId="0" xfId="0" applyFont="false" applyBorder="true" applyAlignment="true" applyProtection="false">
      <alignment horizontal="right" vertical="top" textRotation="0" wrapText="false" indent="0" shrinkToFit="false"/>
      <protection locked="true" hidden="false"/>
    </xf>
    <xf numFmtId="164" fontId="4" fillId="0" borderId="0" xfId="21" applyFont="false" applyBorder="true" applyAlignment="true" applyProtection="true">
      <alignment horizontal="center" vertical="center"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4" fontId="0" fillId="0" borderId="63" xfId="0" applyFont="true" applyBorder="true" applyAlignment="true" applyProtection="false">
      <alignment horizontal="center" vertical="center" textRotation="0" wrapText="true" indent="0" shrinkToFit="false"/>
      <protection locked="true" hidden="false"/>
    </xf>
    <xf numFmtId="164" fontId="0" fillId="0" borderId="27" xfId="0" applyFont="true" applyBorder="true" applyAlignment="true" applyProtection="false">
      <alignment horizontal="general" vertical="bottom" textRotation="0" wrapText="false" indent="0" shrinkToFit="false"/>
      <protection locked="true" hidden="false"/>
    </xf>
    <xf numFmtId="164" fontId="0" fillId="0" borderId="43" xfId="0" applyFont="true" applyBorder="true" applyAlignment="true" applyProtection="false">
      <alignment horizontal="general" vertical="bottom" textRotation="0" wrapText="false" indent="0" shrinkToFit="false"/>
      <protection locked="true" hidden="false"/>
    </xf>
    <xf numFmtId="169" fontId="0" fillId="0" borderId="43" xfId="0" applyFont="true" applyBorder="true" applyAlignment="true" applyProtection="false">
      <alignment horizontal="general" vertical="bottom" textRotation="0" wrapText="false" indent="0" shrinkToFit="false"/>
      <protection locked="true" hidden="false"/>
    </xf>
    <xf numFmtId="174" fontId="0" fillId="0" borderId="28" xfId="0" applyFont="true" applyBorder="true" applyAlignment="true" applyProtection="false">
      <alignment horizontal="center" vertical="center" textRotation="0" wrapText="false" indent="0" shrinkToFit="false"/>
      <protection locked="true" hidden="false"/>
    </xf>
    <xf numFmtId="174" fontId="0" fillId="0" borderId="245" xfId="0" applyFont="false" applyBorder="true" applyAlignment="true" applyProtection="false">
      <alignment horizontal="center" vertical="center" textRotation="0" wrapText="false" indent="0" shrinkToFit="false"/>
      <protection locked="true" hidden="false"/>
    </xf>
    <xf numFmtId="174" fontId="4" fillId="2" borderId="194" xfId="21" applyFont="false" applyBorder="true" applyAlignment="true" applyProtection="true">
      <alignment horizontal="center" vertical="center" textRotation="0" wrapText="false" indent="0" shrinkToFit="false"/>
      <protection locked="true" hidden="false"/>
    </xf>
    <xf numFmtId="164" fontId="0" fillId="0" borderId="6" xfId="0" applyFont="true" applyBorder="true" applyAlignment="true" applyProtection="false">
      <alignment horizontal="center" vertical="bottom" textRotation="0" wrapText="true" indent="0" shrinkToFit="false"/>
      <protection locked="true" hidden="false"/>
    </xf>
    <xf numFmtId="174" fontId="0" fillId="0" borderId="33" xfId="0" applyFont="true" applyBorder="true" applyAlignment="true" applyProtection="false">
      <alignment horizontal="right" vertical="top" textRotation="0" wrapText="true" indent="0" shrinkToFit="false"/>
      <protection locked="true" hidden="false"/>
    </xf>
    <xf numFmtId="164" fontId="0" fillId="0" borderId="32" xfId="0" applyFont="true" applyBorder="true" applyAlignment="true" applyProtection="false">
      <alignment horizontal="right" vertical="bottom" textRotation="0" wrapText="false" indent="0" shrinkToFit="false"/>
      <protection locked="true" hidden="false"/>
    </xf>
    <xf numFmtId="169" fontId="0" fillId="0" borderId="6" xfId="0" applyFont="false" applyBorder="true" applyAlignment="true" applyProtection="false">
      <alignment horizontal="center" vertical="bottom" textRotation="0" wrapText="false" indent="0" shrinkToFit="false"/>
      <protection locked="true" hidden="false"/>
    </xf>
    <xf numFmtId="174" fontId="0" fillId="0" borderId="0" xfId="0" applyFont="false" applyBorder="true" applyAlignment="true" applyProtection="false">
      <alignment horizontal="general" vertical="top" textRotation="0" wrapText="false" indent="0" shrinkToFit="false"/>
      <protection locked="true" hidden="false"/>
    </xf>
    <xf numFmtId="174" fontId="0" fillId="0" borderId="35" xfId="0" applyFont="true" applyBorder="true" applyAlignment="true" applyProtection="false">
      <alignment horizontal="right" vertical="top" textRotation="0" wrapText="true" indent="0" shrinkToFit="false"/>
      <protection locked="true" hidden="false"/>
    </xf>
    <xf numFmtId="164" fontId="118" fillId="0" borderId="45" xfId="0" applyFont="true" applyBorder="true" applyAlignment="true" applyProtection="false">
      <alignment horizontal="general" vertical="bottom" textRotation="0" wrapText="true" indent="0" shrinkToFit="false"/>
      <protection locked="true" hidden="false"/>
    </xf>
    <xf numFmtId="164" fontId="0" fillId="0" borderId="246" xfId="0" applyFont="false" applyBorder="true" applyAlignment="false" applyProtection="false">
      <alignment horizontal="general" vertical="bottom" textRotation="0" wrapText="false" indent="0" shrinkToFit="false"/>
      <protection locked="true" hidden="false"/>
    </xf>
    <xf numFmtId="164" fontId="0" fillId="0" borderId="162" xfId="0" applyFont="true" applyBorder="true" applyAlignment="true" applyProtection="false">
      <alignment horizontal="left" vertical="bottom" textRotation="0" wrapText="true" indent="0" shrinkToFit="false"/>
      <protection locked="true" hidden="false"/>
    </xf>
    <xf numFmtId="164" fontId="0" fillId="0" borderId="162" xfId="0" applyFont="true" applyBorder="true" applyAlignment="true" applyProtection="false">
      <alignment horizontal="general" vertical="bottom" textRotation="0" wrapText="true" indent="0" shrinkToFit="false"/>
      <protection locked="true" hidden="false"/>
    </xf>
    <xf numFmtId="164" fontId="0" fillId="0" borderId="162" xfId="0" applyFont="false" applyBorder="true" applyAlignment="true" applyProtection="false">
      <alignment horizontal="center" vertical="center" textRotation="0" wrapText="false" indent="0" shrinkToFit="false"/>
      <protection locked="true" hidden="false"/>
    </xf>
    <xf numFmtId="164" fontId="4" fillId="0" borderId="162" xfId="21" applyFont="false" applyBorder="true" applyAlignment="true" applyProtection="true">
      <alignment horizontal="center" vertical="center" textRotation="0" wrapText="false" indent="0" shrinkToFit="false"/>
      <protection locked="true" hidden="false"/>
    </xf>
    <xf numFmtId="164" fontId="0" fillId="0" borderId="5" xfId="0" applyFont="false" applyBorder="true" applyAlignment="false" applyProtection="false">
      <alignment horizontal="general" vertical="bottom" textRotation="0" wrapText="false" indent="0" shrinkToFit="false"/>
      <protection locked="true" hidden="false"/>
    </xf>
    <xf numFmtId="164" fontId="5" fillId="6" borderId="1" xfId="25" applyFont="true" applyBorder="true" applyAlignment="true" applyProtection="false">
      <alignment horizontal="center" vertical="center" textRotation="90" wrapText="true" indent="0" shrinkToFit="false"/>
      <protection locked="true" hidden="false"/>
    </xf>
    <xf numFmtId="164" fontId="4" fillId="2" borderId="240" xfId="21" applyFont="true" applyBorder="true" applyAlignment="true" applyProtection="true">
      <alignment horizontal="left" vertical="bottom" textRotation="0" wrapText="false" indent="0" shrinkToFit="false"/>
      <protection locked="true" hidden="false"/>
    </xf>
    <xf numFmtId="164" fontId="4" fillId="2" borderId="241" xfId="21" applyFont="true" applyBorder="true" applyAlignment="true" applyProtection="true">
      <alignment horizontal="center" vertical="bottom" textRotation="0" wrapText="false" indent="0" shrinkToFit="false"/>
      <protection locked="true" hidden="false"/>
    </xf>
    <xf numFmtId="164" fontId="0" fillId="0" borderId="240" xfId="0" applyFont="false" applyBorder="true" applyAlignment="false" applyProtection="false">
      <alignment horizontal="general" vertical="bottom" textRotation="0" wrapText="false" indent="0" shrinkToFit="false"/>
      <protection locked="true" hidden="false"/>
    </xf>
    <xf numFmtId="174" fontId="5" fillId="6" borderId="1" xfId="25" applyFont="false" applyBorder="true" applyAlignment="false" applyProtection="false">
      <alignment horizontal="center" vertical="center" textRotation="0" wrapText="true" indent="0" shrinkToFit="false"/>
      <protection locked="true" hidden="false"/>
    </xf>
    <xf numFmtId="164" fontId="0" fillId="0" borderId="7" xfId="0" applyFont="true" applyBorder="true" applyAlignment="true" applyProtection="false">
      <alignment horizontal="center" vertical="center" textRotation="0" wrapText="true" indent="0" shrinkToFit="false"/>
      <protection locked="true" hidden="false"/>
    </xf>
    <xf numFmtId="164" fontId="0" fillId="0" borderId="100" xfId="0" applyFont="true" applyBorder="true" applyAlignment="true" applyProtection="false">
      <alignment horizontal="center" vertical="bottom" textRotation="0" wrapText="true" indent="0" shrinkToFit="false"/>
      <protection locked="true" hidden="false"/>
    </xf>
    <xf numFmtId="164" fontId="0" fillId="0" borderId="247" xfId="0" applyFont="true" applyBorder="true" applyAlignment="true" applyProtection="false">
      <alignment horizontal="left" vertical="bottom" textRotation="0" wrapText="true" indent="0" shrinkToFit="false"/>
      <protection locked="true" hidden="false"/>
    </xf>
    <xf numFmtId="174" fontId="0" fillId="0" borderId="10" xfId="0" applyFont="false" applyBorder="true" applyAlignment="true" applyProtection="false">
      <alignment horizontal="right" vertical="top" textRotation="0" wrapText="false" indent="0" shrinkToFit="false"/>
      <protection locked="true" hidden="false"/>
    </xf>
    <xf numFmtId="174" fontId="0" fillId="0" borderId="100" xfId="0" applyFont="false" applyBorder="true" applyAlignment="true" applyProtection="false">
      <alignment horizontal="center" vertical="center" textRotation="0" wrapText="false" indent="0" shrinkToFit="false"/>
      <protection locked="true" hidden="false"/>
    </xf>
    <xf numFmtId="164" fontId="0" fillId="0" borderId="150" xfId="0" applyFont="true" applyBorder="true" applyAlignment="true" applyProtection="false">
      <alignment horizontal="left" vertical="bottom" textRotation="0" wrapText="true" indent="0" shrinkToFit="false"/>
      <protection locked="true" hidden="false"/>
    </xf>
    <xf numFmtId="164" fontId="118" fillId="0" borderId="0" xfId="0" applyFont="true" applyBorder="true" applyAlignment="true" applyProtection="true">
      <alignment horizontal="general" vertical="bottom" textRotation="0" wrapText="false" indent="0" shrinkToFit="false"/>
      <protection locked="true" hidden="false"/>
    </xf>
    <xf numFmtId="164" fontId="0" fillId="0" borderId="150" xfId="0" applyFont="true" applyBorder="true" applyAlignment="true" applyProtection="false">
      <alignment horizontal="left" vertical="bottom" textRotation="0" wrapText="false" indent="0" shrinkToFit="false"/>
      <protection locked="true" hidden="false"/>
    </xf>
    <xf numFmtId="174" fontId="0" fillId="0" borderId="61" xfId="0" applyFont="false" applyBorder="true" applyAlignment="true" applyProtection="false">
      <alignment horizontal="right" vertical="top" textRotation="0" wrapText="false" indent="0" shrinkToFit="false"/>
      <protection locked="true" hidden="false"/>
    </xf>
    <xf numFmtId="174" fontId="0" fillId="0" borderId="123" xfId="0" applyFont="false" applyBorder="true" applyAlignment="true" applyProtection="false">
      <alignment horizontal="right" vertical="top" textRotation="0" wrapText="false" indent="0" shrinkToFit="false"/>
      <protection locked="true" hidden="false"/>
    </xf>
    <xf numFmtId="169" fontId="0" fillId="0" borderId="26" xfId="0" applyFont="false" applyBorder="true" applyAlignment="true" applyProtection="false">
      <alignment horizontal="center" vertical="bottom" textRotation="0" wrapText="false" indent="0" shrinkToFit="false"/>
      <protection locked="true" hidden="false"/>
    </xf>
    <xf numFmtId="164" fontId="0" fillId="0" borderId="156" xfId="0" applyFont="false" applyBorder="true" applyAlignment="false" applyProtection="false">
      <alignment horizontal="general" vertical="bottom" textRotation="0" wrapText="false" indent="0" shrinkToFit="false"/>
      <protection locked="true" hidden="false"/>
    </xf>
    <xf numFmtId="164" fontId="0" fillId="0" borderId="147" xfId="0" applyFont="false" applyBorder="true" applyAlignment="false" applyProtection="false">
      <alignment horizontal="general" vertical="bottom" textRotation="0" wrapText="false" indent="0" shrinkToFit="false"/>
      <protection locked="true" hidden="false"/>
    </xf>
    <xf numFmtId="169" fontId="0" fillId="0" borderId="147" xfId="19" applyFont="true" applyBorder="true" applyAlignment="true" applyProtection="true">
      <alignment horizontal="left" vertical="bottom" textRotation="0" wrapText="false" indent="0" shrinkToFit="false"/>
      <protection locked="true" hidden="false"/>
    </xf>
    <xf numFmtId="164" fontId="4" fillId="2" borderId="0" xfId="21" applyFont="true" applyBorder="true" applyAlignment="true" applyProtection="true">
      <alignment horizontal="left" vertical="bottom" textRotation="0" wrapText="false" indent="0" shrinkToFit="false"/>
      <protection locked="true" hidden="false"/>
    </xf>
    <xf numFmtId="164" fontId="4" fillId="2" borderId="150" xfId="21" applyFont="true" applyBorder="true" applyAlignment="true" applyProtection="true">
      <alignment horizontal="center" vertical="bottom" textRotation="0" wrapText="false" indent="0" shrinkToFit="false"/>
      <protection locked="true" hidden="false"/>
    </xf>
    <xf numFmtId="164" fontId="0" fillId="0" borderId="9" xfId="0" applyFont="true" applyBorder="true" applyAlignment="true" applyProtection="false">
      <alignment horizontal="center" vertical="bottom" textRotation="0" wrapText="false" indent="0" shrinkToFit="false"/>
      <protection locked="true" hidden="false"/>
    </xf>
    <xf numFmtId="174" fontId="0" fillId="0" borderId="10" xfId="0" applyFont="false" applyBorder="true" applyAlignment="true" applyProtection="false">
      <alignment horizontal="left" vertical="bottom" textRotation="0" wrapText="false" indent="0" shrinkToFit="false"/>
      <protection locked="true" hidden="false"/>
    </xf>
    <xf numFmtId="174" fontId="0" fillId="0" borderId="6" xfId="0" applyFont="false" applyBorder="true" applyAlignment="true" applyProtection="false">
      <alignment horizontal="center" vertical="center" textRotation="0" wrapText="false" indent="0" shrinkToFit="false"/>
      <protection locked="true" hidden="false"/>
    </xf>
    <xf numFmtId="169" fontId="0" fillId="0" borderId="6" xfId="19" applyFont="true" applyBorder="true" applyAlignment="true" applyProtection="true">
      <alignment horizontal="center" vertical="bottom" textRotation="0" wrapText="false" indent="0" shrinkToFit="false"/>
      <protection locked="true" hidden="false"/>
    </xf>
    <xf numFmtId="164" fontId="0" fillId="0" borderId="150" xfId="0" applyFont="true" applyBorder="true" applyAlignment="true" applyProtection="false">
      <alignment horizontal="left" vertical="center" textRotation="0" wrapText="true" indent="0" shrinkToFit="false"/>
      <protection locked="true" hidden="false"/>
    </xf>
    <xf numFmtId="174" fontId="0" fillId="0" borderId="123" xfId="0" applyFont="false" applyBorder="true" applyAlignment="true" applyProtection="false">
      <alignment horizontal="right" vertical="top" textRotation="0" wrapText="true" indent="0" shrinkToFit="false"/>
      <protection locked="true" hidden="false"/>
    </xf>
    <xf numFmtId="164" fontId="0" fillId="0" borderId="147" xfId="0" applyFont="true" applyBorder="true" applyAlignment="false" applyProtection="false">
      <alignment horizontal="general" vertical="bottom" textRotation="0" wrapText="false" indent="0" shrinkToFit="false"/>
      <protection locked="true" hidden="false"/>
    </xf>
    <xf numFmtId="169" fontId="0" fillId="0" borderId="248" xfId="19" applyFont="true" applyBorder="true" applyAlignment="true" applyProtection="true">
      <alignment horizontal="left" vertical="bottom" textRotation="0" wrapText="false" indent="0" shrinkToFit="false"/>
      <protection locked="true" hidden="false"/>
    </xf>
    <xf numFmtId="164" fontId="0" fillId="0" borderId="9" xfId="0" applyFont="true" applyBorder="true" applyAlignment="true" applyProtection="false">
      <alignment horizontal="left" vertical="center" textRotation="0" wrapText="true" indent="0" shrinkToFit="false"/>
      <protection locked="true" hidden="false"/>
    </xf>
    <xf numFmtId="174" fontId="0" fillId="0" borderId="10" xfId="0" applyFont="false" applyBorder="true" applyAlignment="true" applyProtection="false">
      <alignment horizontal="right" vertical="top" textRotation="0" wrapText="true" indent="0" shrinkToFit="false"/>
      <protection locked="true" hidden="false"/>
    </xf>
    <xf numFmtId="169" fontId="0" fillId="0" borderId="7" xfId="19" applyFont="true" applyBorder="true" applyAlignment="true" applyProtection="true">
      <alignment horizontal="center" vertical="center" textRotation="0" wrapText="false" indent="0" shrinkToFit="false"/>
      <protection locked="true" hidden="false"/>
    </xf>
    <xf numFmtId="164" fontId="0" fillId="0" borderId="162" xfId="0" applyFont="false" applyBorder="true" applyAlignment="true" applyProtection="false">
      <alignment horizontal="general" vertical="bottom" textRotation="0" wrapText="true" indent="0" shrinkToFit="false"/>
      <protection locked="true" hidden="false"/>
    </xf>
    <xf numFmtId="164" fontId="0" fillId="0" borderId="162" xfId="0" applyFont="false" applyBorder="true" applyAlignment="false" applyProtection="false">
      <alignment horizontal="general" vertical="bottom" textRotation="0" wrapText="false" indent="0" shrinkToFit="false"/>
      <protection locked="true" hidden="false"/>
    </xf>
    <xf numFmtId="164" fontId="6" fillId="2" borderId="1" xfId="27" applyFont="true" applyBorder="true" applyAlignment="true" applyProtection="false">
      <alignment horizontal="center" vertical="center" textRotation="90" wrapText="true" indent="0" shrinkToFit="false"/>
      <protection locked="true" hidden="false"/>
    </xf>
    <xf numFmtId="174" fontId="6" fillId="2" borderId="1" xfId="27" applyFont="false" applyBorder="true" applyAlignment="true" applyProtection="false">
      <alignment horizontal="center" vertical="center" textRotation="0" wrapText="true" indent="0" shrinkToFit="false"/>
      <protection locked="true" hidden="false"/>
    </xf>
    <xf numFmtId="164" fontId="0" fillId="0" borderId="9" xfId="0" applyFont="true" applyBorder="true" applyAlignment="true" applyProtection="false">
      <alignment horizontal="left" vertical="bottom" textRotation="0" wrapText="true" indent="0" shrinkToFit="false"/>
      <protection locked="true" hidden="false"/>
    </xf>
    <xf numFmtId="174" fontId="0" fillId="0" borderId="195" xfId="0" applyFont="true" applyBorder="true" applyAlignment="true" applyProtection="false">
      <alignment horizontal="left" vertical="bottom" textRotation="0" wrapText="true" indent="0" shrinkToFit="false"/>
      <protection locked="true" hidden="false"/>
    </xf>
    <xf numFmtId="174" fontId="0" fillId="0" borderId="10" xfId="0" applyFont="false" applyBorder="true" applyAlignment="true" applyProtection="false">
      <alignment horizontal="general" vertical="top" textRotation="0" wrapText="false" indent="0" shrinkToFit="false"/>
      <protection locked="true" hidden="false"/>
    </xf>
    <xf numFmtId="164" fontId="0" fillId="0" borderId="156" xfId="0" applyFont="true" applyBorder="true" applyAlignment="true" applyProtection="false">
      <alignment horizontal="left" vertical="bottom" textRotation="0" wrapText="true" indent="0" shrinkToFit="false"/>
      <protection locked="true" hidden="false"/>
    </xf>
    <xf numFmtId="172" fontId="0" fillId="0" borderId="123" xfId="0" applyFont="false" applyBorder="true" applyAlignment="true" applyProtection="false">
      <alignment horizontal="right" vertical="top" textRotation="0" wrapText="false" indent="0" shrinkToFit="false"/>
      <protection locked="true" hidden="false"/>
    </xf>
    <xf numFmtId="164" fontId="0" fillId="0" borderId="6" xfId="19" applyFont="true" applyBorder="true" applyAlignment="true" applyProtection="true">
      <alignment horizontal="center" vertical="center" textRotation="0" wrapText="false" indent="0" shrinkToFit="false"/>
      <protection locked="true" hidden="false"/>
    </xf>
    <xf numFmtId="164" fontId="0" fillId="0" borderId="7" xfId="19" applyFont="true" applyBorder="true" applyAlignment="true" applyProtection="true">
      <alignment horizontal="center" vertical="center" textRotation="0" wrapText="false" indent="0" shrinkToFit="false"/>
      <protection locked="true" hidden="false"/>
    </xf>
    <xf numFmtId="164" fontId="0" fillId="0" borderId="26" xfId="19" applyFont="true" applyBorder="true" applyAlignment="true" applyProtection="true">
      <alignment horizontal="center" vertical="center" textRotation="0" wrapText="false" indent="0" shrinkToFit="false"/>
      <protection locked="true" hidden="false"/>
    </xf>
    <xf numFmtId="164" fontId="0" fillId="0" borderId="9" xfId="0" applyFont="true" applyBorder="true" applyAlignment="true" applyProtection="false">
      <alignment horizontal="left" vertical="bottom" textRotation="0" wrapText="false" indent="0" shrinkToFit="false"/>
      <protection locked="true" hidden="false"/>
    </xf>
    <xf numFmtId="174" fontId="0" fillId="0" borderId="8" xfId="0" applyFont="false" applyBorder="true" applyAlignment="true" applyProtection="false">
      <alignment horizontal="right" vertical="top" textRotation="0" wrapText="false" indent="0" shrinkToFit="false"/>
      <protection locked="true" hidden="false"/>
    </xf>
    <xf numFmtId="174" fontId="4" fillId="2" borderId="14" xfId="21" applyFont="false" applyBorder="true" applyAlignment="true" applyProtection="true">
      <alignment horizontal="center" vertical="center" textRotation="0" wrapText="false" indent="0" shrinkToFit="false"/>
      <protection locked="true" hidden="false"/>
    </xf>
    <xf numFmtId="164" fontId="0" fillId="0" borderId="147" xfId="0" applyFont="true" applyBorder="true" applyAlignment="true" applyProtection="false">
      <alignment horizontal="left" vertical="bottom" textRotation="0" wrapText="true" indent="0" shrinkToFit="false"/>
      <protection locked="true" hidden="false"/>
    </xf>
    <xf numFmtId="170" fontId="0" fillId="0" borderId="147" xfId="19" applyFont="true" applyBorder="true" applyAlignment="true" applyProtection="true">
      <alignment horizontal="left" vertical="bottom" textRotation="0" wrapText="true" indent="0" shrinkToFit="false"/>
      <protection locked="true" hidden="false"/>
    </xf>
    <xf numFmtId="164" fontId="0" fillId="0" borderId="156" xfId="0" applyFont="true" applyBorder="true" applyAlignment="true" applyProtection="false">
      <alignment horizontal="left" vertical="bottom" textRotation="0" wrapText="false" indent="0" shrinkToFit="false"/>
      <protection locked="true" hidden="false"/>
    </xf>
    <xf numFmtId="167" fontId="0" fillId="0" borderId="147" xfId="0" applyFont="true" applyBorder="true" applyAlignment="true" applyProtection="false">
      <alignment horizontal="left" vertical="bottom" textRotation="0" wrapText="true" indent="0" shrinkToFit="false"/>
      <protection locked="true" hidden="false"/>
    </xf>
    <xf numFmtId="164" fontId="6" fillId="7" borderId="1" xfId="26" applyFont="true" applyBorder="true" applyAlignment="true" applyProtection="false">
      <alignment horizontal="center" vertical="center" textRotation="90" wrapText="true" indent="0" shrinkToFit="false"/>
      <protection locked="true" hidden="false"/>
    </xf>
    <xf numFmtId="174" fontId="6" fillId="7" borderId="1" xfId="26" applyFont="false" applyBorder="true" applyAlignment="true" applyProtection="false">
      <alignment horizontal="center" vertical="center" textRotation="0" wrapText="true" indent="0" shrinkToFit="false"/>
      <protection locked="true" hidden="false"/>
    </xf>
    <xf numFmtId="164" fontId="0" fillId="0" borderId="247" xfId="0" applyFont="true" applyBorder="true" applyAlignment="true" applyProtection="false">
      <alignment horizontal="left" vertical="bottom" textRotation="0" wrapText="false" indent="0" shrinkToFit="false"/>
      <protection locked="true" hidden="false"/>
    </xf>
    <xf numFmtId="164" fontId="0" fillId="0" borderId="0" xfId="0" applyFont="true" applyBorder="true" applyAlignment="true" applyProtection="false">
      <alignment horizontal="center" vertical="bottom" textRotation="0" wrapText="false" indent="0" shrinkToFit="false"/>
      <protection locked="true" hidden="false"/>
    </xf>
    <xf numFmtId="164" fontId="0" fillId="0" borderId="26" xfId="0" applyFont="true" applyBorder="true" applyAlignment="true" applyProtection="false">
      <alignment horizontal="left" vertical="center" textRotation="0" wrapText="false" indent="0" shrinkToFit="false"/>
      <protection locked="true" hidden="false"/>
    </xf>
    <xf numFmtId="164" fontId="185" fillId="0" borderId="150" xfId="0" applyFont="true" applyBorder="true" applyAlignment="true" applyProtection="false">
      <alignment horizontal="left" vertical="bottom" textRotation="0" wrapText="true" indent="0" shrinkToFit="false"/>
      <protection locked="true" hidden="false"/>
    </xf>
    <xf numFmtId="171" fontId="0" fillId="0" borderId="0" xfId="0" applyFont="true" applyBorder="true" applyAlignment="true" applyProtection="false">
      <alignment horizontal="left" vertical="bottom" textRotation="0" wrapText="true" indent="0" shrinkToFit="false"/>
      <protection locked="true" hidden="false"/>
    </xf>
    <xf numFmtId="164" fontId="0" fillId="0" borderId="147" xfId="0" applyFont="true" applyBorder="true" applyAlignment="true" applyProtection="false">
      <alignment horizontal="left" vertical="bottom" textRotation="0" wrapText="false" indent="0" shrinkToFit="false"/>
      <protection locked="true" hidden="false"/>
    </xf>
    <xf numFmtId="169" fontId="0" fillId="0" borderId="6" xfId="0" applyFont="false" applyBorder="true" applyAlignment="true" applyProtection="false">
      <alignment horizontal="center" vertical="center"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4" fontId="0" fillId="0" borderId="150" xfId="0" applyFont="true" applyBorder="true" applyAlignment="true" applyProtection="false">
      <alignment horizontal="general" vertical="bottom" textRotation="0" wrapText="true" indent="0" shrinkToFit="false"/>
      <protection locked="true" hidden="false"/>
    </xf>
    <xf numFmtId="164" fontId="118" fillId="0" borderId="0" xfId="0" applyFont="true" applyBorder="true" applyAlignment="true" applyProtection="false">
      <alignment horizontal="left" vertical="bottom" textRotation="0" wrapText="true" indent="0" shrinkToFit="false"/>
      <protection locked="true" hidden="false"/>
    </xf>
    <xf numFmtId="172" fontId="0" fillId="0" borderId="61" xfId="0" applyFont="false" applyBorder="true" applyAlignment="true" applyProtection="false">
      <alignment horizontal="right" vertical="top" textRotation="0" wrapText="false" indent="0" shrinkToFit="false"/>
      <protection locked="true" hidden="false"/>
    </xf>
    <xf numFmtId="169" fontId="0" fillId="0" borderId="0" xfId="19" applyFont="true" applyBorder="true" applyAlignment="true" applyProtection="true">
      <alignment horizontal="center" vertical="center" textRotation="0" wrapText="false" indent="0" shrinkToFit="false"/>
      <protection locked="true" hidden="false"/>
    </xf>
    <xf numFmtId="170" fontId="0" fillId="0" borderId="0" xfId="0" applyFont="true" applyBorder="true" applyAlignment="true" applyProtection="false">
      <alignment horizontal="left" vertical="bottom" textRotation="0" wrapText="true" indent="0" shrinkToFit="false"/>
      <protection locked="true" hidden="false"/>
    </xf>
    <xf numFmtId="174" fontId="0" fillId="0" borderId="0" xfId="19" applyFont="true" applyBorder="true" applyAlignment="true" applyProtection="true">
      <alignment horizontal="left" vertical="bottom" textRotation="0" wrapText="true" indent="0" shrinkToFit="false"/>
      <protection locked="true" hidden="false"/>
    </xf>
    <xf numFmtId="164" fontId="0" fillId="0" borderId="9" xfId="0" applyFont="true" applyBorder="true" applyAlignment="true" applyProtection="false">
      <alignment horizontal="left" vertical="center" textRotation="0" wrapText="false" indent="0" shrinkToFit="false"/>
      <protection locked="true" hidden="false"/>
    </xf>
    <xf numFmtId="164" fontId="0" fillId="0" borderId="195" xfId="0" applyFont="false" applyBorder="true" applyAlignment="true" applyProtection="false">
      <alignment horizontal="center" vertical="center" textRotation="0" wrapText="false" indent="0" shrinkToFit="false"/>
      <protection locked="true" hidden="false"/>
    </xf>
    <xf numFmtId="164" fontId="0" fillId="0" borderId="150" xfId="0" applyFont="true" applyBorder="true" applyAlignment="true" applyProtection="false">
      <alignment horizontal="left" vertical="center" textRotation="0" wrapText="false" indent="0" shrinkToFit="false"/>
      <protection locked="true" hidden="false"/>
    </xf>
    <xf numFmtId="174" fontId="0" fillId="0" borderId="0" xfId="0" applyFont="false" applyBorder="true" applyAlignment="true" applyProtection="false">
      <alignment horizontal="general" vertical="center" textRotation="0" wrapText="false" indent="0" shrinkToFit="false"/>
      <protection locked="true" hidden="false"/>
    </xf>
    <xf numFmtId="164" fontId="0" fillId="0" borderId="61" xfId="0" applyFont="false" applyBorder="true" applyAlignment="true" applyProtection="false">
      <alignment horizontal="right" vertical="center" textRotation="0" wrapText="false" indent="0" shrinkToFit="false"/>
      <protection locked="true" hidden="false"/>
    </xf>
    <xf numFmtId="164" fontId="0" fillId="0" borderId="249" xfId="0" applyFont="true" applyBorder="true" applyAlignment="true" applyProtection="false">
      <alignment horizontal="left" vertical="center" textRotation="0" wrapText="true" indent="0" shrinkToFit="false"/>
      <protection locked="true" hidden="false"/>
    </xf>
    <xf numFmtId="174" fontId="157" fillId="0" borderId="0" xfId="0" applyFont="true" applyBorder="true" applyAlignment="true" applyProtection="false">
      <alignment horizontal="left" vertical="center" textRotation="0" wrapText="true" indent="0" shrinkToFit="false"/>
      <protection locked="true" hidden="false"/>
    </xf>
    <xf numFmtId="164" fontId="0" fillId="0" borderId="156" xfId="0" applyFont="true" applyBorder="true" applyAlignment="true" applyProtection="false">
      <alignment horizontal="left" vertical="center" textRotation="0" wrapText="true" indent="0" shrinkToFit="false"/>
      <protection locked="true" hidden="false"/>
    </xf>
    <xf numFmtId="172" fontId="0" fillId="0" borderId="123" xfId="0" applyFont="false" applyBorder="true" applyAlignment="true" applyProtection="false">
      <alignment horizontal="general" vertical="top" textRotation="0" wrapText="true" indent="0" shrinkToFit="false"/>
      <protection locked="true" hidden="false"/>
    </xf>
    <xf numFmtId="174" fontId="0" fillId="0" borderId="28" xfId="0" applyFont="false" applyBorder="true" applyAlignment="true" applyProtection="false">
      <alignment horizontal="center" vertical="bottom" textRotation="0" wrapText="false" indent="0" shrinkToFit="false"/>
      <protection locked="true" hidden="false"/>
    </xf>
    <xf numFmtId="164" fontId="103" fillId="0" borderId="0" xfId="0" applyFont="true" applyBorder="true" applyAlignment="true" applyProtection="false">
      <alignment horizontal="general" vertical="bottom" textRotation="0" wrapText="false" indent="0" shrinkToFit="false"/>
      <protection locked="true" hidden="false"/>
    </xf>
    <xf numFmtId="164" fontId="24" fillId="0" borderId="26" xfId="0" applyFont="true" applyBorder="true" applyAlignment="true" applyProtection="false">
      <alignment horizontal="center" vertical="bottom" textRotation="0" wrapText="true" indent="0" shrinkToFit="false"/>
      <protection locked="true" hidden="false"/>
    </xf>
    <xf numFmtId="174" fontId="0" fillId="0" borderId="33" xfId="0" applyFont="false" applyBorder="true" applyAlignment="true" applyProtection="false">
      <alignment horizontal="center" vertical="bottom" textRotation="0" wrapText="false" indent="0" shrinkToFit="false"/>
      <protection locked="true" hidden="false"/>
    </xf>
    <xf numFmtId="174" fontId="0" fillId="0" borderId="35" xfId="0" applyFont="false" applyBorder="true" applyAlignment="true" applyProtection="false">
      <alignment horizontal="center" vertical="bottom" textRotation="0" wrapText="true" indent="0" shrinkToFit="false"/>
      <protection locked="true" hidden="false"/>
    </xf>
    <xf numFmtId="164" fontId="24" fillId="0" borderId="26" xfId="0" applyFont="true" applyBorder="true" applyAlignment="true" applyProtection="false">
      <alignment horizontal="general" vertical="bottom" textRotation="0" wrapText="false" indent="0" shrinkToFit="false"/>
      <protection locked="true" hidden="false"/>
    </xf>
    <xf numFmtId="164" fontId="24" fillId="0" borderId="26" xfId="0" applyFont="true" applyBorder="true" applyAlignment="true" applyProtection="false">
      <alignment horizontal="center" vertical="bottom" textRotation="0" wrapText="false" indent="0" shrinkToFit="false"/>
      <protection locked="true" hidden="false"/>
    </xf>
    <xf numFmtId="164" fontId="0" fillId="0" borderId="34" xfId="0" applyFont="true" applyBorder="true" applyAlignment="true" applyProtection="false">
      <alignment horizontal="left" vertical="center" textRotation="0" wrapText="true" indent="0" shrinkToFit="false"/>
      <protection locked="true" hidden="false"/>
    </xf>
    <xf numFmtId="174" fontId="0" fillId="0" borderId="45" xfId="0" applyFont="true" applyBorder="true" applyAlignment="true" applyProtection="false">
      <alignment horizontal="right" vertical="center" textRotation="0" wrapText="true" indent="0" shrinkToFit="false"/>
      <protection locked="true" hidden="false"/>
    </xf>
    <xf numFmtId="164" fontId="0" fillId="0" borderId="45" xfId="0" applyFont="true" applyBorder="true" applyAlignment="true" applyProtection="false">
      <alignment horizontal="left" vertical="bottom" textRotation="0" wrapText="false" indent="0" shrinkToFit="false"/>
      <protection locked="true" hidden="false"/>
    </xf>
    <xf numFmtId="164" fontId="6" fillId="8" borderId="64" xfId="28" applyFont="true" applyBorder="true" applyAlignment="true" applyProtection="false">
      <alignment horizontal="center" vertical="center" textRotation="90" wrapText="true" indent="0" shrinkToFit="false"/>
      <protection locked="true" hidden="false"/>
    </xf>
    <xf numFmtId="164" fontId="0" fillId="0" borderId="19" xfId="0" applyFont="true" applyBorder="true" applyAlignment="false" applyProtection="false">
      <alignment horizontal="general" vertical="bottom" textRotation="0" wrapText="false" indent="0" shrinkToFit="false"/>
      <protection locked="true" hidden="false"/>
    </xf>
    <xf numFmtId="164" fontId="4" fillId="2" borderId="19" xfId="21" applyFont="true" applyBorder="true" applyAlignment="true" applyProtection="true">
      <alignment horizontal="left" vertical="bottom" textRotation="0" wrapText="false" indent="0" shrinkToFit="false"/>
      <protection locked="true" hidden="false"/>
    </xf>
    <xf numFmtId="164" fontId="4" fillId="2" borderId="139" xfId="21" applyFont="true" applyBorder="true" applyAlignment="true" applyProtection="true">
      <alignment horizontal="center" vertical="bottom" textRotation="0" wrapText="false" indent="0" shrinkToFit="false"/>
      <protection locked="true" hidden="false"/>
    </xf>
    <xf numFmtId="164" fontId="0" fillId="0" borderId="19" xfId="0" applyFont="false" applyBorder="true" applyAlignment="false" applyProtection="false">
      <alignment horizontal="general" vertical="bottom" textRotation="0" wrapText="false" indent="0" shrinkToFit="false"/>
      <protection locked="true" hidden="false"/>
    </xf>
    <xf numFmtId="172" fontId="6" fillId="8" borderId="64" xfId="28" applyFont="false" applyBorder="true" applyAlignment="false" applyProtection="false">
      <alignment horizontal="center" vertical="center" textRotation="0" wrapText="true" indent="0" shrinkToFit="false"/>
      <protection locked="true" hidden="false"/>
    </xf>
    <xf numFmtId="174" fontId="0" fillId="0" borderId="28" xfId="0" applyFont="false" applyBorder="true" applyAlignment="true" applyProtection="false">
      <alignment horizontal="center" vertical="top" textRotation="0" wrapText="false" indent="0" shrinkToFit="false"/>
      <protection locked="true" hidden="false"/>
    </xf>
    <xf numFmtId="174" fontId="0" fillId="0" borderId="26" xfId="0" applyFont="false" applyBorder="true" applyAlignment="true" applyProtection="false">
      <alignment horizontal="center" vertical="center" textRotation="0" wrapText="false" indent="0" shrinkToFit="false"/>
      <protection locked="true" hidden="false"/>
    </xf>
    <xf numFmtId="164" fontId="0" fillId="0" borderId="32" xfId="0" applyFont="false" applyBorder="true" applyAlignment="true" applyProtection="false">
      <alignment horizontal="left" vertical="bottom" textRotation="0" wrapText="true" indent="0" shrinkToFit="false"/>
      <protection locked="true" hidden="false"/>
    </xf>
    <xf numFmtId="172" fontId="0" fillId="0" borderId="0" xfId="0" applyFont="false" applyBorder="true" applyAlignment="true" applyProtection="false">
      <alignment horizontal="left" vertical="bottom" textRotation="0" wrapText="true" indent="0" shrinkToFit="false"/>
      <protection locked="true" hidden="false"/>
    </xf>
    <xf numFmtId="164" fontId="0" fillId="0" borderId="32" xfId="0" applyFont="false" applyBorder="true" applyAlignment="true" applyProtection="false">
      <alignment horizontal="left" vertical="bottom" textRotation="0" wrapText="false" indent="0" shrinkToFit="false"/>
      <protection locked="true" hidden="false"/>
    </xf>
    <xf numFmtId="174" fontId="0" fillId="0" borderId="0" xfId="0" applyFont="true" applyBorder="true" applyAlignment="true" applyProtection="false">
      <alignment horizontal="left" vertical="center" textRotation="0" wrapText="true" indent="0" shrinkToFit="false"/>
      <protection locked="true" hidden="false"/>
    </xf>
    <xf numFmtId="164" fontId="0" fillId="0" borderId="0" xfId="0" applyFont="true" applyBorder="true" applyAlignment="true" applyProtection="false">
      <alignment horizontal="general" vertical="bottom" textRotation="0" wrapText="false" indent="0" shrinkToFit="false"/>
      <protection locked="true" hidden="false"/>
    </xf>
    <xf numFmtId="174" fontId="0" fillId="0" borderId="33" xfId="0" applyFont="false" applyBorder="true" applyAlignment="true" applyProtection="false">
      <alignment horizontal="center" vertical="top" textRotation="0" wrapText="false" indent="0" shrinkToFit="false"/>
      <protection locked="true" hidden="false"/>
    </xf>
    <xf numFmtId="164" fontId="0" fillId="0" borderId="0" xfId="0" applyFont="true" applyBorder="true" applyAlignment="true" applyProtection="false">
      <alignment horizontal="general" vertical="center" textRotation="0" wrapText="true" indent="0" shrinkToFit="false"/>
      <protection locked="true" hidden="false"/>
    </xf>
    <xf numFmtId="174" fontId="0" fillId="0" borderId="35" xfId="0" applyFont="false" applyBorder="true" applyAlignment="true" applyProtection="false">
      <alignment horizontal="center" vertical="top" textRotation="0" wrapText="false" indent="0" shrinkToFit="false"/>
      <protection locked="true" hidden="false"/>
    </xf>
    <xf numFmtId="164" fontId="0" fillId="0" borderId="32" xfId="0" applyFont="true" applyBorder="true" applyAlignment="true" applyProtection="false">
      <alignment horizontal="left" vertical="center" textRotation="0" wrapText="false" indent="0" shrinkToFit="false"/>
      <protection locked="true" hidden="false"/>
    </xf>
    <xf numFmtId="169" fontId="0" fillId="0" borderId="45" xfId="19" applyFont="true" applyBorder="true" applyAlignment="true" applyProtection="true">
      <alignment horizontal="left" vertical="bottom" textRotation="0" wrapText="true" indent="0" shrinkToFit="false"/>
      <protection locked="true" hidden="false"/>
    </xf>
    <xf numFmtId="174" fontId="0" fillId="0" borderId="45" xfId="0" applyFont="false" applyBorder="true" applyAlignment="true" applyProtection="false">
      <alignment horizontal="left" vertical="bottom" textRotation="0" wrapText="false" indent="0" shrinkToFit="false"/>
      <protection locked="true" hidden="false"/>
    </xf>
    <xf numFmtId="172" fontId="4" fillId="2" borderId="6" xfId="21" applyFont="false" applyBorder="true" applyAlignment="true" applyProtection="true">
      <alignment horizontal="center" vertical="center" textRotation="0" wrapText="false" indent="0" shrinkToFit="false"/>
      <protection locked="true" hidden="false"/>
    </xf>
    <xf numFmtId="164" fontId="156" fillId="0" borderId="0" xfId="0" applyFont="true" applyBorder="false" applyAlignment="false" applyProtection="false">
      <alignment horizontal="general" vertical="bottom" textRotation="0" wrapText="false" indent="0" shrinkToFit="false"/>
      <protection locked="true" hidden="false"/>
    </xf>
    <xf numFmtId="164" fontId="0" fillId="0" borderId="150" xfId="0" applyFont="false" applyBorder="true" applyAlignment="true" applyProtection="false">
      <alignment horizontal="general" vertical="bottom" textRotation="0" wrapText="false" indent="0" shrinkToFit="false"/>
      <protection locked="true" hidden="false"/>
    </xf>
    <xf numFmtId="174" fontId="118" fillId="0" borderId="0" xfId="0" applyFont="true" applyBorder="true" applyAlignment="true" applyProtection="false">
      <alignment horizontal="right" vertical="bottom" textRotation="0" wrapText="false" indent="0" shrinkToFit="false"/>
      <protection locked="true" hidden="false"/>
    </xf>
    <xf numFmtId="164" fontId="118" fillId="0" borderId="0" xfId="0" applyFont="true" applyBorder="true" applyAlignment="false" applyProtection="false">
      <alignment horizontal="general" vertical="bottom" textRotation="0" wrapText="false" indent="0" shrinkToFit="false"/>
      <protection locked="true" hidden="false"/>
    </xf>
    <xf numFmtId="164" fontId="118" fillId="0" borderId="0" xfId="0" applyFont="true" applyBorder="true" applyAlignment="true" applyProtection="false">
      <alignment horizontal="left" vertical="bottom" textRotation="0" wrapText="false" indent="0" shrinkToFit="false"/>
      <protection locked="true" hidden="false"/>
    </xf>
    <xf numFmtId="174" fontId="118" fillId="0" borderId="0" xfId="0" applyFont="true" applyBorder="true" applyAlignment="true" applyProtection="false">
      <alignment horizontal="right" vertical="bottom" textRotation="0" wrapText="true" indent="0" shrinkToFit="false"/>
      <protection locked="true" hidden="false"/>
    </xf>
    <xf numFmtId="172" fontId="0" fillId="0" borderId="147" xfId="0" applyFont="true" applyBorder="true" applyAlignment="true" applyProtection="false">
      <alignment horizontal="right" vertical="bottom" textRotation="0" wrapText="true" indent="0" shrinkToFit="false"/>
      <protection locked="true" hidden="false"/>
    </xf>
    <xf numFmtId="164" fontId="0" fillId="0" borderId="36" xfId="0" applyFont="true" applyBorder="true" applyAlignment="true" applyProtection="false">
      <alignment horizontal="center" vertical="center" textRotation="0" wrapText="false" indent="0" shrinkToFit="false"/>
      <protection locked="true" hidden="false"/>
    </xf>
    <xf numFmtId="164" fontId="0" fillId="0" borderId="250" xfId="0" applyFont="true" applyBorder="true" applyAlignment="true" applyProtection="false">
      <alignment horizontal="center" vertical="center" textRotation="0" wrapText="true" indent="0" shrinkToFit="false"/>
      <protection locked="true" hidden="false"/>
    </xf>
    <xf numFmtId="164" fontId="0" fillId="0" borderId="43" xfId="0" applyFont="false" applyBorder="true" applyAlignment="false" applyProtection="false">
      <alignment horizontal="general" vertical="bottom" textRotation="0" wrapText="false" indent="0" shrinkToFit="false"/>
      <protection locked="true" hidden="false"/>
    </xf>
    <xf numFmtId="172" fontId="0" fillId="0" borderId="28" xfId="0" applyFont="false" applyBorder="true" applyAlignment="true" applyProtection="false">
      <alignment horizontal="right" vertical="top" textRotation="0" wrapText="false" indent="0" shrinkToFit="false"/>
      <protection locked="true" hidden="false"/>
    </xf>
    <xf numFmtId="172" fontId="0" fillId="0" borderId="251" xfId="0" applyFont="false" applyBorder="true" applyAlignment="true" applyProtection="false">
      <alignment horizontal="center" vertical="center" textRotation="0" wrapText="false" indent="0" shrinkToFit="false"/>
      <protection locked="true" hidden="false"/>
    </xf>
    <xf numFmtId="172" fontId="4" fillId="2" borderId="252" xfId="21" applyFont="false" applyBorder="true" applyAlignment="true" applyProtection="true">
      <alignment horizontal="center" vertical="center" textRotation="0" wrapText="false" indent="0" shrinkToFit="false"/>
      <protection locked="true" hidden="false"/>
    </xf>
    <xf numFmtId="164" fontId="0" fillId="0" borderId="34" xfId="0" applyFont="true" applyBorder="true" applyAlignment="true" applyProtection="false">
      <alignment horizontal="general" vertical="bottom" textRotation="0" wrapText="false" indent="0" shrinkToFit="false"/>
      <protection locked="true" hidden="false"/>
    </xf>
    <xf numFmtId="164" fontId="0" fillId="0" borderId="45" xfId="0" applyFont="true" applyBorder="true" applyAlignment="true" applyProtection="false">
      <alignment horizontal="general" vertical="bottom" textRotation="0" wrapText="false" indent="0" shrinkToFit="false"/>
      <protection locked="true" hidden="false"/>
    </xf>
    <xf numFmtId="171" fontId="0" fillId="0" borderId="45" xfId="0" applyFont="false" applyBorder="true" applyAlignment="true" applyProtection="false">
      <alignment horizontal="left" vertical="bottom" textRotation="0" wrapText="false" indent="0" shrinkToFit="false"/>
      <protection locked="true" hidden="false"/>
    </xf>
    <xf numFmtId="172" fontId="0" fillId="0" borderId="35" xfId="0" applyFont="false" applyBorder="true" applyAlignment="true" applyProtection="false">
      <alignment horizontal="right" vertical="top" textRotation="0" wrapText="false" indent="0" shrinkToFit="false"/>
      <protection locked="true" hidden="false"/>
    </xf>
    <xf numFmtId="164" fontId="4" fillId="2" borderId="0" xfId="21" applyFont="true" applyBorder="true" applyAlignment="true" applyProtection="true">
      <alignment horizontal="left" vertical="bottom" textRotation="0" wrapText="true" indent="0" shrinkToFit="false"/>
      <protection locked="true" hidden="false"/>
    </xf>
    <xf numFmtId="164" fontId="4" fillId="2" borderId="32" xfId="21" applyFont="true" applyBorder="true" applyAlignment="true" applyProtection="true">
      <alignment horizontal="center" vertical="center" textRotation="0" wrapText="false" indent="0" shrinkToFit="false"/>
      <protection locked="true" hidden="false"/>
    </xf>
    <xf numFmtId="164" fontId="0" fillId="0" borderId="253" xfId="0" applyFont="true" applyBorder="true" applyAlignment="true" applyProtection="false">
      <alignment horizontal="center" vertical="center" textRotation="0" wrapText="false" indent="0" shrinkToFit="false"/>
      <protection locked="true" hidden="false"/>
    </xf>
    <xf numFmtId="164" fontId="23" fillId="0" borderId="27" xfId="0" applyFont="true" applyBorder="true" applyAlignment="true" applyProtection="false">
      <alignment horizontal="general" vertical="center" textRotation="0" wrapText="false" indent="0" shrinkToFit="false"/>
      <protection locked="true" hidden="false"/>
    </xf>
    <xf numFmtId="164" fontId="0" fillId="0" borderId="43" xfId="0" applyFont="true" applyBorder="true" applyAlignment="true" applyProtection="false">
      <alignment horizontal="general" vertical="center" textRotation="0" wrapText="false" indent="0" shrinkToFit="false"/>
      <protection locked="true" hidden="false"/>
    </xf>
    <xf numFmtId="174" fontId="4" fillId="2" borderId="30" xfId="21" applyFont="false" applyBorder="true" applyAlignment="true" applyProtection="true">
      <alignment horizontal="center" vertical="center" textRotation="0" wrapText="false" indent="0" shrinkToFit="false"/>
      <protection locked="true" hidden="false"/>
    </xf>
    <xf numFmtId="164" fontId="0" fillId="0" borderId="32" xfId="0" applyFont="true" applyBorder="true" applyAlignment="true" applyProtection="false">
      <alignment horizontal="general" vertical="center" textRotation="0" wrapText="false" indent="0" shrinkToFit="false"/>
      <protection locked="true" hidden="false"/>
    </xf>
    <xf numFmtId="164" fontId="0" fillId="0" borderId="32" xfId="0" applyFont="true" applyBorder="true" applyAlignment="true" applyProtection="false">
      <alignment horizontal="right" vertical="center" textRotation="0" wrapText="false" indent="0" shrinkToFit="false"/>
      <protection locked="true" hidden="false"/>
    </xf>
    <xf numFmtId="174" fontId="0" fillId="0" borderId="0" xfId="0" applyFont="false" applyBorder="true" applyAlignment="true" applyProtection="false">
      <alignment horizontal="right" vertical="top" textRotation="0" wrapText="false" indent="0" shrinkToFit="false"/>
      <protection locked="true" hidden="false"/>
    </xf>
    <xf numFmtId="174" fontId="0" fillId="0" borderId="0" xfId="0" applyFont="false" applyBorder="false" applyAlignment="true" applyProtection="false">
      <alignment horizontal="left" vertical="bottom" textRotation="0" wrapText="false" indent="0" shrinkToFit="false"/>
      <protection locked="true" hidden="false"/>
    </xf>
    <xf numFmtId="164" fontId="0" fillId="0" borderId="33" xfId="0" applyFont="true" applyBorder="true" applyAlignment="true" applyProtection="false">
      <alignment horizontal="general" vertical="center" textRotation="0" wrapText="false" indent="0" shrinkToFit="false"/>
      <protection locked="true" hidden="false"/>
    </xf>
    <xf numFmtId="164" fontId="23" fillId="0" borderId="32" xfId="0" applyFont="true" applyBorder="true" applyAlignment="true" applyProtection="false">
      <alignment horizontal="general" vertical="center" textRotation="0" wrapText="false" indent="0" shrinkToFit="false"/>
      <protection locked="true" hidden="false"/>
    </xf>
    <xf numFmtId="174" fontId="0" fillId="0" borderId="35" xfId="0" applyFont="true" applyBorder="true" applyAlignment="true" applyProtection="false">
      <alignment horizontal="right" vertical="top" textRotation="0" wrapText="false" indent="0" shrinkToFit="false"/>
      <protection locked="true" hidden="false"/>
    </xf>
    <xf numFmtId="164" fontId="0" fillId="0" borderId="26" xfId="0" applyFont="true" applyBorder="true" applyAlignment="false" applyProtection="false">
      <alignment horizontal="general" vertical="bottom" textRotation="0" wrapText="false" indent="0" shrinkToFit="false"/>
      <protection locked="true" hidden="false"/>
    </xf>
    <xf numFmtId="174" fontId="0" fillId="0" borderId="0" xfId="0" applyFont="true" applyBorder="true" applyAlignment="true" applyProtection="false">
      <alignment horizontal="center" vertical="bottom" textRotation="0" wrapText="true" indent="0" shrinkToFit="false"/>
      <protection locked="true" hidden="false"/>
    </xf>
    <xf numFmtId="174" fontId="0" fillId="0" borderId="45" xfId="0" applyFont="true" applyBorder="true" applyAlignment="true" applyProtection="false">
      <alignment horizontal="right" vertical="bottom" textRotation="0" wrapText="false" indent="0" shrinkToFit="false"/>
      <protection locked="true" hidden="false"/>
    </xf>
    <xf numFmtId="164" fontId="0" fillId="0" borderId="24" xfId="0" applyFont="false" applyBorder="true" applyAlignment="false" applyProtection="false">
      <alignment horizontal="general" vertical="bottom" textRotation="0" wrapText="false" indent="0" shrinkToFit="false"/>
      <protection locked="true" hidden="false"/>
    </xf>
    <xf numFmtId="164" fontId="0" fillId="0" borderId="24" xfId="0" applyFont="false" applyBorder="true" applyAlignment="true" applyProtection="false">
      <alignment horizontal="general" vertical="bottom" textRotation="0" wrapText="true" indent="0" shrinkToFit="false"/>
      <protection locked="true" hidden="false"/>
    </xf>
    <xf numFmtId="164" fontId="7" fillId="15" borderId="1" xfId="38" applyFont="true" applyBorder="true" applyAlignment="false" applyProtection="false">
      <alignment horizontal="center" vertical="center" textRotation="0" wrapText="true" indent="0" shrinkToFit="false"/>
      <protection locked="true" hidden="false"/>
    </xf>
    <xf numFmtId="172" fontId="7" fillId="15" borderId="1" xfId="38" applyFont="false" applyBorder="false" applyAlignment="fals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right" vertical="top" textRotation="0" wrapText="false" indent="0" shrinkToFit="false"/>
      <protection locked="true" hidden="false"/>
    </xf>
    <xf numFmtId="164" fontId="184" fillId="16" borderId="1" xfId="39" applyFont="true" applyBorder="true" applyAlignment="false" applyProtection="false">
      <alignment horizontal="center" vertical="center" textRotation="0" wrapText="true" indent="0" shrinkToFit="false"/>
      <protection locked="true" hidden="false"/>
    </xf>
    <xf numFmtId="164" fontId="6" fillId="9" borderId="1" xfId="29" applyFont="true" applyBorder="true" applyAlignment="true" applyProtection="false">
      <alignment horizontal="center" vertical="center" textRotation="90" wrapText="true" indent="0" shrinkToFit="false"/>
      <protection locked="true" hidden="false"/>
    </xf>
    <xf numFmtId="164" fontId="4" fillId="3" borderId="254" xfId="22" applyFont="true" applyBorder="true" applyAlignment="true" applyProtection="true">
      <alignment horizontal="left" vertical="bottom" textRotation="0" wrapText="false" indent="0" shrinkToFit="false"/>
      <protection locked="true" hidden="false"/>
    </xf>
    <xf numFmtId="164" fontId="4" fillId="3" borderId="241" xfId="22" applyFont="true" applyBorder="true" applyAlignment="true" applyProtection="true">
      <alignment horizontal="center" vertical="bottom" textRotation="0" wrapText="false" indent="0" shrinkToFit="false"/>
      <protection locked="true" hidden="false"/>
    </xf>
    <xf numFmtId="164" fontId="0" fillId="0" borderId="118" xfId="0" applyFont="true" applyBorder="true" applyAlignment="true" applyProtection="false">
      <alignment horizontal="center" vertical="center" textRotation="0" wrapText="true" indent="0" shrinkToFit="false"/>
      <protection locked="true" hidden="false"/>
    </xf>
    <xf numFmtId="174" fontId="6" fillId="9" borderId="1" xfId="29" applyFont="false" applyBorder="true" applyAlignment="false" applyProtection="false">
      <alignment horizontal="center" vertical="center" textRotation="0" wrapText="true" indent="0" shrinkToFit="false"/>
      <protection locked="true" hidden="false"/>
    </xf>
    <xf numFmtId="164" fontId="34" fillId="0" borderId="6" xfId="0" applyFont="true" applyBorder="true" applyAlignment="true" applyProtection="false">
      <alignment horizontal="center" vertical="center" textRotation="0" wrapText="true" indent="0" shrinkToFit="false"/>
      <protection locked="true" hidden="false"/>
    </xf>
    <xf numFmtId="174" fontId="0" fillId="0" borderId="7" xfId="0" applyFont="false" applyBorder="true" applyAlignment="true" applyProtection="false">
      <alignment horizontal="center" vertical="center" textRotation="0" wrapText="false" indent="0" shrinkToFit="false"/>
      <protection locked="true" hidden="false"/>
    </xf>
    <xf numFmtId="174" fontId="35" fillId="3" borderId="6" xfId="22" applyFont="true" applyBorder="true" applyAlignment="true" applyProtection="true">
      <alignment horizontal="center" vertical="center" textRotation="0" wrapText="false" indent="0" shrinkToFit="false"/>
      <protection locked="true" hidden="false"/>
    </xf>
    <xf numFmtId="169" fontId="0" fillId="0" borderId="0" xfId="19" applyFont="true" applyBorder="true" applyAlignment="true" applyProtection="true">
      <alignment horizontal="right" vertical="bottom" textRotation="0" wrapText="false" indent="0" shrinkToFit="false"/>
      <protection locked="true" hidden="false"/>
    </xf>
    <xf numFmtId="169" fontId="34" fillId="0" borderId="6" xfId="0" applyFont="true" applyBorder="true" applyAlignment="true" applyProtection="false">
      <alignment horizontal="center" vertical="center" textRotation="0" wrapText="true" indent="0" shrinkToFit="false"/>
      <protection locked="true" hidden="false"/>
    </xf>
    <xf numFmtId="174" fontId="0" fillId="0" borderId="61" xfId="0" applyFont="false" applyBorder="true" applyAlignment="true" applyProtection="false">
      <alignment horizontal="right" vertical="top" textRotation="0" wrapText="true" indent="0" shrinkToFit="false"/>
      <protection locked="true" hidden="false"/>
    </xf>
    <xf numFmtId="164" fontId="172" fillId="0" borderId="0" xfId="0" applyFont="true" applyBorder="false" applyAlignment="false" applyProtection="false">
      <alignment horizontal="general" vertical="bottom" textRotation="0" wrapText="false" indent="0" shrinkToFit="false"/>
      <protection locked="true" hidden="false"/>
    </xf>
    <xf numFmtId="174" fontId="0" fillId="0" borderId="248" xfId="0" applyFont="false" applyBorder="true" applyAlignment="false" applyProtection="false">
      <alignment horizontal="general" vertical="bottom" textRotation="0" wrapText="false" indent="0" shrinkToFit="false"/>
      <protection locked="true" hidden="false"/>
    </xf>
    <xf numFmtId="164" fontId="4" fillId="3" borderId="0" xfId="22" applyFont="true" applyBorder="true" applyAlignment="true" applyProtection="true">
      <alignment horizontal="left" vertical="bottom" textRotation="0" wrapText="false" indent="0" shrinkToFit="false"/>
      <protection locked="true" hidden="false"/>
    </xf>
    <xf numFmtId="164" fontId="4" fillId="3" borderId="150" xfId="22" applyFont="true" applyBorder="true" applyAlignment="true" applyProtection="true">
      <alignment horizontal="center" vertical="bottom" textRotation="0" wrapText="false" indent="0" shrinkToFit="false"/>
      <protection locked="true" hidden="false"/>
    </xf>
    <xf numFmtId="164" fontId="0" fillId="0" borderId="147" xfId="0" applyFont="false" applyBorder="true" applyAlignment="true" applyProtection="false">
      <alignment horizontal="left" vertical="center" textRotation="0" wrapText="false" indent="0" shrinkToFit="false"/>
      <protection locked="true" hidden="false"/>
    </xf>
    <xf numFmtId="169" fontId="0" fillId="0" borderId="26" xfId="19" applyFont="true" applyBorder="true" applyAlignment="true" applyProtection="true">
      <alignment horizontal="center" vertical="center" textRotation="0" wrapText="true" indent="0" shrinkToFit="false"/>
      <protection locked="true" hidden="false"/>
    </xf>
    <xf numFmtId="164" fontId="0" fillId="0" borderId="26" xfId="15" applyFont="true" applyBorder="true" applyAlignment="true" applyProtection="true">
      <alignment horizontal="center" vertical="center" textRotation="0" wrapText="true" indent="0" shrinkToFit="false"/>
      <protection locked="true" hidden="false"/>
    </xf>
    <xf numFmtId="169" fontId="0" fillId="0" borderId="11" xfId="19" applyFont="true" applyBorder="true" applyAlignment="true" applyProtection="true">
      <alignment horizontal="center" vertical="center" textRotation="0" wrapText="true" indent="0" shrinkToFit="false"/>
      <protection locked="true" hidden="false"/>
    </xf>
    <xf numFmtId="164" fontId="172" fillId="0" borderId="0" xfId="0" applyFont="true" applyBorder="true" applyAlignment="false" applyProtection="false">
      <alignment horizontal="general" vertical="bottom" textRotation="0" wrapText="false" indent="0" shrinkToFit="false"/>
      <protection locked="true" hidden="false"/>
    </xf>
    <xf numFmtId="169" fontId="0" fillId="0" borderId="43" xfId="19" applyFont="true" applyBorder="true" applyAlignment="true" applyProtection="true">
      <alignment horizontal="general" vertical="center" textRotation="0" wrapText="true" indent="0" shrinkToFit="false"/>
      <protection locked="true" hidden="false"/>
    </xf>
    <xf numFmtId="169" fontId="0" fillId="0" borderId="0" xfId="19" applyFont="true" applyBorder="true" applyAlignment="true" applyProtection="true">
      <alignment horizontal="general" vertical="center" textRotation="0" wrapText="true" indent="0" shrinkToFit="false"/>
      <protection locked="true" hidden="false"/>
    </xf>
    <xf numFmtId="169" fontId="0" fillId="0" borderId="248" xfId="19" applyFont="true" applyBorder="true" applyAlignment="true" applyProtection="true">
      <alignment horizontal="general" vertical="bottom" textRotation="0" wrapText="false" indent="0" shrinkToFit="false"/>
      <protection locked="true" hidden="false"/>
    </xf>
    <xf numFmtId="174" fontId="0" fillId="0" borderId="255" xfId="0" applyFont="false" applyBorder="true" applyAlignment="true" applyProtection="false">
      <alignment horizontal="general" vertical="top" textRotation="0" wrapText="true" indent="0" shrinkToFit="false"/>
      <protection locked="true" hidden="false"/>
    </xf>
    <xf numFmtId="164" fontId="0" fillId="0" borderId="14" xfId="0" applyFont="true" applyBorder="true" applyAlignment="true" applyProtection="false">
      <alignment horizontal="center" vertical="bottom" textRotation="0" wrapText="false" indent="0" shrinkToFit="false"/>
      <protection locked="true" hidden="false"/>
    </xf>
    <xf numFmtId="174" fontId="0" fillId="0" borderId="256" xfId="0" applyFont="false" applyBorder="true" applyAlignment="true" applyProtection="false">
      <alignment horizontal="right" vertical="top" textRotation="0" wrapText="true" indent="0" shrinkToFit="false"/>
      <protection locked="true" hidden="false"/>
    </xf>
    <xf numFmtId="174" fontId="0" fillId="0" borderId="147" xfId="0" applyFont="true" applyBorder="true" applyAlignment="true" applyProtection="false">
      <alignment horizontal="right" vertical="bottom" textRotation="0" wrapText="true" indent="0" shrinkToFit="false"/>
      <protection locked="true" hidden="false"/>
    </xf>
    <xf numFmtId="164" fontId="0" fillId="0" borderId="11" xfId="0" applyFont="true" applyBorder="true" applyAlignment="true" applyProtection="false">
      <alignment horizontal="left" vertical="center" textRotation="0" wrapText="true" indent="0" shrinkToFit="false"/>
      <protection locked="true" hidden="false"/>
    </xf>
    <xf numFmtId="164" fontId="0" fillId="0" borderId="123" xfId="0" applyFont="false" applyBorder="true" applyAlignment="true" applyProtection="false">
      <alignment horizontal="general" vertical="top" textRotation="0" wrapText="true" indent="0" shrinkToFit="false"/>
      <protection locked="true" hidden="false"/>
    </xf>
    <xf numFmtId="164" fontId="0" fillId="0" borderId="257" xfId="0" applyFont="true" applyBorder="true" applyAlignment="true" applyProtection="false">
      <alignment horizontal="left" vertical="bottom" textRotation="0" wrapText="true" indent="0" shrinkToFit="false"/>
      <protection locked="true" hidden="false"/>
    </xf>
    <xf numFmtId="174" fontId="0" fillId="0" borderId="0" xfId="19" applyFont="true" applyBorder="true" applyAlignment="true" applyProtection="true">
      <alignment horizontal="left" vertical="bottom" textRotation="0" wrapText="false" indent="0" shrinkToFit="false"/>
      <protection locked="true" hidden="false"/>
    </xf>
    <xf numFmtId="174" fontId="0" fillId="0" borderId="123" xfId="0" applyFont="true" applyBorder="true" applyAlignment="true" applyProtection="false">
      <alignment horizontal="right" vertical="top" textRotation="0" wrapText="true" indent="0" shrinkToFit="false"/>
      <protection locked="true" hidden="false"/>
    </xf>
    <xf numFmtId="164" fontId="0" fillId="0" borderId="156" xfId="0" applyFont="false" applyBorder="true" applyAlignment="true" applyProtection="false">
      <alignment horizontal="left" vertical="bottom" textRotation="0" wrapText="true" indent="0" shrinkToFit="false"/>
      <protection locked="true" hidden="false"/>
    </xf>
    <xf numFmtId="164" fontId="0" fillId="0" borderId="162" xfId="0" applyFont="false" applyBorder="true" applyAlignment="true" applyProtection="false">
      <alignment horizontal="right" vertical="top" textRotation="0" wrapText="false" indent="0" shrinkToFit="false"/>
      <protection locked="true" hidden="false"/>
    </xf>
    <xf numFmtId="164" fontId="6" fillId="10" borderId="1" xfId="30" applyFont="true" applyBorder="true" applyAlignment="true" applyProtection="false">
      <alignment horizontal="center" vertical="center" textRotation="90" wrapText="true" indent="0" shrinkToFit="false"/>
      <protection locked="true" hidden="false"/>
    </xf>
    <xf numFmtId="164" fontId="0" fillId="0" borderId="240" xfId="0" applyFont="true" applyBorder="true" applyAlignment="false" applyProtection="false">
      <alignment horizontal="general" vertical="bottom" textRotation="0" wrapText="false" indent="0" shrinkToFit="false"/>
      <protection locked="true" hidden="false"/>
    </xf>
    <xf numFmtId="164" fontId="4" fillId="3" borderId="240" xfId="22" applyFont="true" applyBorder="true" applyAlignment="true" applyProtection="true">
      <alignment horizontal="left" vertical="bottom" textRotation="0" wrapText="true" indent="0" shrinkToFit="false"/>
      <protection locked="true" hidden="false"/>
    </xf>
    <xf numFmtId="164" fontId="4" fillId="3" borderId="241" xfId="22" applyFont="true" applyBorder="true" applyAlignment="true" applyProtection="true">
      <alignment horizontal="center" vertical="center" textRotation="0" wrapText="false" indent="0" shrinkToFit="false"/>
      <protection locked="true" hidden="false"/>
    </xf>
    <xf numFmtId="174" fontId="6" fillId="10" borderId="1" xfId="30" applyFont="false" applyBorder="true" applyAlignment="true" applyProtection="false">
      <alignment horizontal="center" vertical="center" textRotation="0" wrapText="true" indent="0" shrinkToFit="false"/>
      <protection locked="true" hidden="false"/>
    </xf>
    <xf numFmtId="164" fontId="181" fillId="0" borderId="26" xfId="0" applyFont="true" applyBorder="true" applyAlignment="true" applyProtection="false">
      <alignment horizontal="center" vertical="center" textRotation="0" wrapText="false" indent="0" shrinkToFit="false"/>
      <protection locked="true" hidden="false"/>
    </xf>
    <xf numFmtId="169" fontId="0" fillId="0" borderId="26" xfId="0" applyFont="true" applyBorder="true" applyAlignment="true" applyProtection="false">
      <alignment horizontal="center" vertical="center" textRotation="0" wrapText="false" indent="0" shrinkToFit="false"/>
      <protection locked="true" hidden="false"/>
    </xf>
    <xf numFmtId="164" fontId="54" fillId="0" borderId="156" xfId="0" applyFont="true" applyBorder="true" applyAlignment="false" applyProtection="false">
      <alignment horizontal="general" vertical="bottom" textRotation="0" wrapText="false" indent="0" shrinkToFit="false"/>
      <protection locked="true" hidden="false"/>
    </xf>
    <xf numFmtId="169" fontId="0" fillId="0" borderId="258" xfId="19" applyFont="true" applyBorder="true" applyAlignment="true" applyProtection="true">
      <alignment horizontal="center" vertical="bottom" textRotation="0" wrapText="false" indent="0" shrinkToFit="false"/>
      <protection locked="true" hidden="false"/>
    </xf>
    <xf numFmtId="169" fontId="0" fillId="0" borderId="0" xfId="19" applyFont="true" applyBorder="true" applyAlignment="true" applyProtection="true">
      <alignment horizontal="center" vertical="bottom" textRotation="0" wrapText="false" indent="0" shrinkToFit="false"/>
      <protection locked="true" hidden="false"/>
    </xf>
    <xf numFmtId="164" fontId="0" fillId="0" borderId="258" xfId="0" applyFont="false" applyBorder="true" applyAlignment="true" applyProtection="false">
      <alignment horizontal="center" vertical="center" textRotation="0" wrapText="false" indent="0" shrinkToFit="false"/>
      <protection locked="true" hidden="false"/>
    </xf>
    <xf numFmtId="164" fontId="0" fillId="0" borderId="0" xfId="0" applyFont="false" applyBorder="true" applyAlignment="true" applyProtection="false">
      <alignment horizontal="center" vertical="center" textRotation="0" wrapText="true" indent="0" shrinkToFit="false"/>
      <protection locked="true" hidden="false"/>
    </xf>
    <xf numFmtId="172" fontId="0" fillId="0" borderId="0" xfId="0" applyFont="false" applyBorder="true" applyAlignment="false" applyProtection="false">
      <alignment horizontal="general" vertical="bottom" textRotation="0" wrapText="false" indent="0" shrinkToFit="false"/>
      <protection locked="true" hidden="false"/>
    </xf>
    <xf numFmtId="174" fontId="0" fillId="0" borderId="147" xfId="0" applyFont="false" applyBorder="true" applyAlignment="true" applyProtection="false">
      <alignment horizontal="right" vertical="bottom" textRotation="0" wrapText="false" indent="0" shrinkToFit="false"/>
      <protection locked="true" hidden="false"/>
    </xf>
    <xf numFmtId="164" fontId="4" fillId="0" borderId="6" xfId="0" applyFont="true" applyBorder="true" applyAlignment="true" applyProtection="false">
      <alignment horizontal="center" vertical="center" textRotation="0" wrapText="false" indent="0" shrinkToFit="false"/>
      <protection locked="true" hidden="false"/>
    </xf>
    <xf numFmtId="169" fontId="0" fillId="0" borderId="0" xfId="0" applyFont="false" applyBorder="true" applyAlignment="true" applyProtection="false">
      <alignment horizontal="right" vertical="bottom" textRotation="0" wrapText="false" indent="0" shrinkToFit="false"/>
      <protection locked="true" hidden="false"/>
    </xf>
    <xf numFmtId="164" fontId="0" fillId="0" borderId="32" xfId="0" applyFont="true" applyBorder="true" applyAlignment="true" applyProtection="false">
      <alignment horizontal="general" vertical="center" textRotation="0" wrapText="true" indent="0" shrinkToFit="false"/>
      <protection locked="true" hidden="false"/>
    </xf>
    <xf numFmtId="174" fontId="0" fillId="0" borderId="0" xfId="0" applyFont="false" applyBorder="true" applyAlignment="true" applyProtection="false">
      <alignment horizontal="general" vertical="top" textRotation="0" wrapText="true" indent="0" shrinkToFit="false"/>
      <protection locked="true" hidden="false"/>
    </xf>
    <xf numFmtId="166" fontId="0" fillId="0" borderId="0" xfId="0" applyFont="false" applyBorder="true" applyAlignment="true" applyProtection="false">
      <alignment horizontal="right" vertical="bottom" textRotation="0" wrapText="false" indent="0" shrinkToFit="false"/>
      <protection locked="true" hidden="false"/>
    </xf>
    <xf numFmtId="164" fontId="0" fillId="0" borderId="33" xfId="0" applyFont="false" applyBorder="true" applyAlignment="true" applyProtection="false">
      <alignment horizontal="general" vertical="top" textRotation="0" wrapText="true" indent="0" shrinkToFit="false"/>
      <protection locked="true" hidden="false"/>
    </xf>
    <xf numFmtId="174" fontId="0" fillId="0" borderId="33" xfId="0" applyFont="false" applyBorder="true" applyAlignment="true" applyProtection="false">
      <alignment horizontal="center" vertical="top" textRotation="0" wrapText="true" indent="0" shrinkToFit="false"/>
      <protection locked="true" hidden="false"/>
    </xf>
    <xf numFmtId="164" fontId="0" fillId="0" borderId="32" xfId="0" applyFont="true" applyBorder="true" applyAlignment="true" applyProtection="false">
      <alignment horizontal="general" vertical="bottom" textRotation="0" wrapText="false" indent="0" shrinkToFit="false"/>
      <protection locked="true" hidden="false"/>
    </xf>
    <xf numFmtId="164" fontId="0" fillId="0" borderId="33" xfId="0" applyFont="true" applyBorder="true" applyAlignment="true" applyProtection="false">
      <alignment horizontal="general" vertical="top" textRotation="0" wrapText="true" indent="0" shrinkToFit="false"/>
      <protection locked="true" hidden="false"/>
    </xf>
    <xf numFmtId="174" fontId="0" fillId="0" borderId="35" xfId="0" applyFont="true" applyBorder="true" applyAlignment="true" applyProtection="false">
      <alignment horizontal="center" vertical="top" textRotation="0" wrapText="true" indent="0" shrinkToFit="false"/>
      <protection locked="true" hidden="false"/>
    </xf>
    <xf numFmtId="164" fontId="0" fillId="0" borderId="61" xfId="0" applyFont="true" applyBorder="true" applyAlignment="true" applyProtection="false">
      <alignment horizontal="general" vertical="bottom" textRotation="0" wrapText="true" indent="0" shrinkToFit="false"/>
      <protection locked="true" hidden="false"/>
    </xf>
    <xf numFmtId="174" fontId="0" fillId="0" borderId="45" xfId="0" applyFont="false" applyBorder="true" applyAlignment="true" applyProtection="false">
      <alignment horizontal="right" vertical="bottom" textRotation="0" wrapText="false" indent="0" shrinkToFit="false"/>
      <protection locked="true" hidden="false"/>
    </xf>
    <xf numFmtId="174" fontId="0" fillId="0" borderId="0" xfId="19" applyFont="true" applyBorder="true" applyAlignment="true" applyProtection="true">
      <alignment horizontal="general" vertical="bottom" textRotation="0" wrapText="false" indent="0" shrinkToFit="false"/>
      <protection locked="true" hidden="false"/>
    </xf>
    <xf numFmtId="174" fontId="0" fillId="0" borderId="0" xfId="0" applyFont="false" applyBorder="true" applyAlignment="true" applyProtection="false">
      <alignment horizontal="right" vertical="bottom" textRotation="0" wrapText="true" indent="0" shrinkToFit="false"/>
      <protection locked="true" hidden="false"/>
    </xf>
    <xf numFmtId="164" fontId="0" fillId="0" borderId="10" xfId="0" applyFont="false" applyBorder="true" applyAlignment="true" applyProtection="false">
      <alignment horizontal="right" vertical="top" textRotation="0" wrapText="false" indent="0" shrinkToFit="false"/>
      <protection locked="true" hidden="false"/>
    </xf>
    <xf numFmtId="164" fontId="0" fillId="0" borderId="162" xfId="0" applyFont="true" applyBorder="true" applyAlignment="true" applyProtection="false">
      <alignment horizontal="left" vertical="bottom" textRotation="0" wrapText="false" indent="0" shrinkToFit="false"/>
      <protection locked="true" hidden="false"/>
    </xf>
    <xf numFmtId="164" fontId="0" fillId="0" borderId="162" xfId="0" applyFont="true" applyBorder="true" applyAlignment="true" applyProtection="false">
      <alignment horizontal="right" vertical="bottom" textRotation="0" wrapText="true" indent="0" shrinkToFit="false"/>
      <protection locked="true" hidden="false"/>
    </xf>
    <xf numFmtId="164" fontId="0" fillId="0" borderId="162" xfId="0" applyFont="false" applyBorder="true" applyAlignment="true" applyProtection="false">
      <alignment horizontal="right" vertical="top" textRotation="0" wrapText="true" indent="0" shrinkToFit="false"/>
      <protection locked="true" hidden="false"/>
    </xf>
    <xf numFmtId="164" fontId="0" fillId="0" borderId="162" xfId="0" applyFont="false" applyBorder="true" applyAlignment="true" applyProtection="false">
      <alignment horizontal="general" vertical="center" textRotation="0" wrapText="false" indent="0" shrinkToFit="false"/>
      <protection locked="true" hidden="false"/>
    </xf>
    <xf numFmtId="164" fontId="4" fillId="0" borderId="162" xfId="22" applyFont="false" applyBorder="true" applyAlignment="true" applyProtection="true">
      <alignment horizontal="general" vertical="center" textRotation="0" wrapText="false" indent="0" shrinkToFit="false"/>
      <protection locked="true" hidden="false"/>
    </xf>
    <xf numFmtId="164" fontId="4" fillId="0" borderId="0" xfId="22" applyFont="false" applyBorder="true" applyAlignment="true" applyProtection="true">
      <alignment horizontal="general" vertical="center" textRotation="0" wrapText="false" indent="0" shrinkToFit="false"/>
      <protection locked="true" hidden="false"/>
    </xf>
    <xf numFmtId="164" fontId="0" fillId="0" borderId="0" xfId="0" applyFont="false" applyBorder="true" applyAlignment="true" applyProtection="false">
      <alignment horizontal="right" vertical="top" textRotation="0" wrapText="true" indent="0" shrinkToFit="false"/>
      <protection locked="true" hidden="false"/>
    </xf>
    <xf numFmtId="164" fontId="0" fillId="0" borderId="0" xfId="0" applyFont="false" applyBorder="true" applyAlignment="true" applyProtection="false">
      <alignment horizontal="general" vertical="center" textRotation="0" wrapText="false" indent="0" shrinkToFit="false"/>
      <protection locked="true" hidden="false"/>
    </xf>
    <xf numFmtId="164" fontId="6" fillId="11" borderId="1" xfId="31" applyFont="true" applyBorder="true" applyAlignment="true" applyProtection="false">
      <alignment horizontal="center" vertical="center" textRotation="90" wrapText="true" indent="0" shrinkToFit="false"/>
      <protection locked="true" hidden="false"/>
    </xf>
    <xf numFmtId="164" fontId="4" fillId="3" borderId="240" xfId="22" applyFont="true" applyBorder="true" applyAlignment="true" applyProtection="true">
      <alignment horizontal="left" vertical="bottom" textRotation="0" wrapText="false" indent="0" shrinkToFit="false"/>
      <protection locked="true" hidden="false"/>
    </xf>
    <xf numFmtId="174" fontId="6" fillId="11" borderId="1" xfId="31" applyFont="false" applyBorder="true" applyAlignment="false" applyProtection="false">
      <alignment horizontal="center" vertical="center" textRotation="0" wrapText="true" indent="0" shrinkToFit="false"/>
      <protection locked="true" hidden="false"/>
    </xf>
    <xf numFmtId="164" fontId="0" fillId="0" borderId="195" xfId="0" applyFont="true" applyBorder="true" applyAlignment="true" applyProtection="false">
      <alignment horizontal="right" vertical="bottom" textRotation="0" wrapText="true" indent="0" shrinkToFit="false"/>
      <protection locked="true" hidden="false"/>
    </xf>
    <xf numFmtId="164" fontId="0" fillId="0" borderId="6" xfId="0" applyFont="false" applyBorder="true" applyAlignment="true" applyProtection="false">
      <alignment horizontal="general" vertical="center" textRotation="0" wrapText="false" indent="0" shrinkToFit="false"/>
      <protection locked="true" hidden="false"/>
    </xf>
    <xf numFmtId="164" fontId="0" fillId="0" borderId="150" xfId="0" applyFont="false" applyBorder="true" applyAlignment="true" applyProtection="false">
      <alignment horizontal="center" vertical="center" textRotation="0" wrapText="false" indent="0" shrinkToFit="false"/>
      <protection locked="true" hidden="false"/>
    </xf>
    <xf numFmtId="164" fontId="0" fillId="0" borderId="156" xfId="0" applyFont="false" applyBorder="true" applyAlignment="true" applyProtection="false">
      <alignment horizontal="left" vertical="bottom" textRotation="0" wrapText="false" indent="0" shrinkToFit="false"/>
      <protection locked="true" hidden="false"/>
    </xf>
    <xf numFmtId="164" fontId="6" fillId="12" borderId="1" xfId="32" applyFont="true" applyBorder="true" applyAlignment="true" applyProtection="false">
      <alignment horizontal="center" vertical="center" textRotation="90" wrapText="true" indent="0" shrinkToFit="false"/>
      <protection locked="true" hidden="false"/>
    </xf>
    <xf numFmtId="174" fontId="6" fillId="12" borderId="1" xfId="32" applyFont="false" applyBorder="true" applyAlignment="false" applyProtection="false">
      <alignment horizontal="center" vertical="center" textRotation="0" wrapText="true" indent="0" shrinkToFit="false"/>
      <protection locked="true" hidden="false"/>
    </xf>
    <xf numFmtId="164" fontId="0" fillId="0" borderId="26" xfId="0" applyFont="true" applyBorder="true" applyAlignment="true" applyProtection="false">
      <alignment horizontal="left" vertical="center" textRotation="0" wrapText="true" indent="0" shrinkToFit="false"/>
      <protection locked="true" hidden="false"/>
    </xf>
    <xf numFmtId="164" fontId="0" fillId="0" borderId="150" xfId="0" applyFont="true" applyBorder="true" applyAlignment="tru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general" vertical="bottom" textRotation="0" wrapText="true" indent="0" shrinkToFit="false"/>
      <protection locked="true" hidden="false"/>
    </xf>
    <xf numFmtId="174" fontId="0" fillId="0" borderId="61" xfId="0" applyFont="true" applyBorder="true" applyAlignment="true" applyProtection="false">
      <alignment horizontal="right" vertical="top" textRotation="0" wrapText="true" indent="0" shrinkToFit="false"/>
      <protection locked="true" hidden="false"/>
    </xf>
    <xf numFmtId="164" fontId="0" fillId="0" borderId="150" xfId="0" applyFont="false" applyBorder="true" applyAlignment="true" applyProtection="false">
      <alignment horizontal="general" vertical="bottom" textRotation="0" wrapText="true" indent="0" shrinkToFit="false"/>
      <protection locked="true" hidden="false"/>
    </xf>
    <xf numFmtId="164" fontId="157" fillId="0" borderId="6" xfId="0" applyFont="true" applyBorder="true" applyAlignment="true" applyProtection="false">
      <alignment horizontal="left" vertical="bottom" textRotation="0" wrapText="false" indent="0" shrinkToFit="false"/>
      <protection locked="true" hidden="false"/>
    </xf>
    <xf numFmtId="174" fontId="0" fillId="0" borderId="259" xfId="0" applyFont="false" applyBorder="true" applyAlignment="true" applyProtection="false">
      <alignment horizontal="right" vertical="top" textRotation="0" wrapText="false" indent="0" shrinkToFit="false"/>
      <protection locked="true" hidden="false"/>
    </xf>
    <xf numFmtId="164" fontId="157" fillId="0" borderId="6" xfId="0" applyFont="true" applyBorder="true" applyAlignment="true" applyProtection="false">
      <alignment horizontal="general" vertical="bottom" textRotation="0" wrapText="true" indent="0" shrinkToFit="false"/>
      <protection locked="true" hidden="false"/>
    </xf>
    <xf numFmtId="164" fontId="0" fillId="0" borderId="27" xfId="0" applyFont="true" applyBorder="true" applyAlignment="true" applyProtection="false">
      <alignment horizontal="left" vertical="center" textRotation="0" wrapText="false" indent="0" shrinkToFit="false"/>
      <protection locked="true" hidden="false"/>
    </xf>
    <xf numFmtId="172" fontId="0" fillId="0" borderId="43" xfId="0" applyFont="true" applyBorder="true" applyAlignment="true" applyProtection="false">
      <alignment horizontal="center" vertical="center" textRotation="0" wrapText="false" indent="0" shrinkToFit="false"/>
      <protection locked="true" hidden="false"/>
    </xf>
    <xf numFmtId="174" fontId="35" fillId="3" borderId="26" xfId="22" applyFont="true" applyBorder="true" applyAlignment="true" applyProtection="true">
      <alignment horizontal="center" vertical="center" textRotation="0" wrapText="false" indent="0" shrinkToFit="false"/>
      <protection locked="true" hidden="false"/>
    </xf>
    <xf numFmtId="164" fontId="0" fillId="0" borderId="32" xfId="0" applyFont="true" applyBorder="true" applyAlignment="true" applyProtection="false">
      <alignment horizontal="center" vertical="center" textRotation="0" wrapText="false" indent="0" shrinkToFit="false"/>
      <protection locked="true" hidden="false"/>
    </xf>
    <xf numFmtId="164" fontId="0" fillId="0" borderId="63" xfId="0" applyFont="true" applyBorder="true" applyAlignment="false" applyProtection="false">
      <alignment horizontal="general" vertical="bottom" textRotation="0" wrapText="false" indent="0" shrinkToFit="false"/>
      <protection locked="true" hidden="false"/>
    </xf>
    <xf numFmtId="164" fontId="23" fillId="0" borderId="32" xfId="0" applyFont="true" applyBorder="true" applyAlignment="true" applyProtection="false">
      <alignment horizontal="general" vertical="bottom" textRotation="0" wrapText="false" indent="0" shrinkToFit="false"/>
      <protection locked="true" hidden="false"/>
    </xf>
    <xf numFmtId="164" fontId="23" fillId="0" borderId="0" xfId="0" applyFont="true" applyBorder="true" applyAlignment="true" applyProtection="false">
      <alignment horizontal="general" vertical="bottom" textRotation="0" wrapText="false" indent="0" shrinkToFit="false"/>
      <protection locked="true" hidden="false"/>
    </xf>
    <xf numFmtId="174" fontId="23" fillId="0" borderId="33" xfId="0" applyFont="true" applyBorder="true" applyAlignment="true" applyProtection="false">
      <alignment horizontal="center" vertical="center" textRotation="0" wrapText="false" indent="0" shrinkToFit="false"/>
      <protection locked="true" hidden="false"/>
    </xf>
    <xf numFmtId="174" fontId="0" fillId="0" borderId="0" xfId="0" applyFont="true" applyBorder="true" applyAlignment="true" applyProtection="false">
      <alignment horizontal="right" vertical="top" textRotation="0" wrapText="true" indent="0" shrinkToFit="false"/>
      <protection locked="true" hidden="false"/>
    </xf>
    <xf numFmtId="164" fontId="0" fillId="0" borderId="0" xfId="0" applyFont="true" applyBorder="true" applyAlignment="true" applyProtection="false">
      <alignment horizontal="right" vertical="top" textRotation="0" wrapText="true" indent="0" shrinkToFit="false"/>
      <protection locked="true" hidden="false"/>
    </xf>
    <xf numFmtId="174" fontId="23" fillId="0" borderId="45" xfId="0" applyFont="true" applyBorder="true" applyAlignment="true" applyProtection="false">
      <alignment horizontal="center" vertical="center" textRotation="0" wrapText="true" indent="0" shrinkToFit="false"/>
      <protection locked="true" hidden="false"/>
    </xf>
    <xf numFmtId="174" fontId="0" fillId="0" borderId="45" xfId="0" applyFont="false" applyBorder="true" applyAlignment="true" applyProtection="false">
      <alignment horizontal="center" vertical="center" textRotation="0" wrapText="false" indent="0" shrinkToFit="false"/>
      <protection locked="true" hidden="false"/>
    </xf>
    <xf numFmtId="164" fontId="0" fillId="0" borderId="34" xfId="0" applyFont="true" applyBorder="true" applyAlignment="true" applyProtection="false">
      <alignment horizontal="general" vertical="bottom" textRotation="0" wrapText="true" indent="0" shrinkToFit="false"/>
      <protection locked="true" hidden="false"/>
    </xf>
    <xf numFmtId="164" fontId="7" fillId="16" borderId="1" xfId="39" applyFont="true" applyBorder="true" applyAlignment="false" applyProtection="false">
      <alignment horizontal="center" vertical="center" textRotation="0" wrapText="true" indent="0" shrinkToFit="false"/>
      <protection locked="true" hidden="false"/>
    </xf>
    <xf numFmtId="174" fontId="7" fillId="16" borderId="1" xfId="39" applyFont="false" applyBorder="false" applyAlignment="fals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8" fillId="13" borderId="1" xfId="40" applyFont="true" applyBorder="true" applyAlignment="true" applyProtection="false">
      <alignment horizontal="center" vertical="center" textRotation="0" wrapText="true" indent="0" shrinkToFit="false"/>
      <protection locked="true" hidden="false"/>
    </xf>
    <xf numFmtId="164" fontId="186" fillId="0" borderId="0" xfId="0" applyFont="true" applyBorder="false" applyAlignment="true" applyProtection="false">
      <alignment horizontal="center" vertical="center" textRotation="0" wrapText="false" indent="0" shrinkToFit="false"/>
      <protection locked="true" hidden="false"/>
    </xf>
    <xf numFmtId="164" fontId="5" fillId="13" borderId="1" xfId="33" applyFont="true" applyBorder="true" applyAlignment="true" applyProtection="false">
      <alignment horizontal="center" vertical="center" textRotation="90" wrapText="false" indent="0" shrinkToFit="false"/>
      <protection locked="true" hidden="false"/>
    </xf>
    <xf numFmtId="164" fontId="4" fillId="4" borderId="240" xfId="23" applyFont="true" applyBorder="true" applyAlignment="false" applyProtection="true">
      <alignment horizontal="general" vertical="top" textRotation="0" wrapText="false" indent="0" shrinkToFit="false"/>
      <protection locked="true" hidden="false"/>
    </xf>
    <xf numFmtId="164" fontId="4" fillId="4" borderId="241" xfId="23" applyFont="true" applyBorder="true" applyAlignment="false" applyProtection="true">
      <alignment horizontal="general" vertical="top" textRotation="0" wrapText="false" indent="0" shrinkToFit="false"/>
      <protection locked="true" hidden="false"/>
    </xf>
    <xf numFmtId="164" fontId="0" fillId="0" borderId="240" xfId="0" applyFont="false" applyBorder="true" applyAlignment="true" applyProtection="false">
      <alignment horizontal="center" vertical="center" textRotation="0" wrapText="true" indent="0" shrinkToFit="false"/>
      <protection locked="true" hidden="false"/>
    </xf>
    <xf numFmtId="174" fontId="5" fillId="13" borderId="1" xfId="33" applyFont="false" applyBorder="true" applyAlignment="true" applyProtection="false">
      <alignment horizontal="center" vertical="center" textRotation="0" wrapText="false" indent="0" shrinkToFit="false"/>
      <protection locked="true" hidden="false"/>
    </xf>
    <xf numFmtId="174" fontId="4" fillId="4" borderId="6" xfId="23" applyFont="false" applyBorder="true" applyAlignment="true" applyProtection="true">
      <alignment horizontal="general" vertical="center" textRotation="0" wrapText="false" indent="0" shrinkToFit="false"/>
      <protection locked="true" hidden="false"/>
    </xf>
    <xf numFmtId="170" fontId="0" fillId="0" borderId="0" xfId="0" applyFont="false" applyBorder="true" applyAlignment="true" applyProtection="false">
      <alignment horizontal="left" vertical="bottom" textRotation="0" wrapText="false" indent="0" shrinkToFit="false"/>
      <protection locked="true" hidden="false"/>
    </xf>
    <xf numFmtId="164" fontId="186" fillId="0" borderId="0" xfId="0" applyFont="true" applyBorder="true" applyAlignment="true" applyProtection="false">
      <alignment horizontal="center" vertical="center" textRotation="0" wrapText="false" indent="0" shrinkToFit="false"/>
      <protection locked="true" hidden="false"/>
    </xf>
    <xf numFmtId="164" fontId="4" fillId="4" borderId="0" xfId="23" applyFont="true" applyBorder="true" applyAlignment="false" applyProtection="true">
      <alignment horizontal="general" vertical="top" textRotation="0" wrapText="false" indent="0" shrinkToFit="false"/>
      <protection locked="true" hidden="false"/>
    </xf>
    <xf numFmtId="164" fontId="4" fillId="4" borderId="150" xfId="23" applyFont="true" applyBorder="true" applyAlignment="false" applyProtection="true">
      <alignment horizontal="general" vertical="top" textRotation="0" wrapText="false" indent="0" shrinkToFit="false"/>
      <protection locked="true" hidden="false"/>
    </xf>
    <xf numFmtId="164" fontId="0" fillId="0" borderId="147" xfId="0" applyFont="true" applyBorder="true" applyAlignment="true" applyProtection="false">
      <alignment horizontal="left" vertical="center" textRotation="0" wrapText="false" indent="0" shrinkToFit="false"/>
      <protection locked="true" hidden="false"/>
    </xf>
    <xf numFmtId="164" fontId="0" fillId="0" borderId="147" xfId="0" applyFont="true" applyBorder="true" applyAlignment="true" applyProtection="false">
      <alignment horizontal="center" vertical="bottom" textRotation="0" wrapText="false" indent="0" shrinkToFit="false"/>
      <protection locked="true" hidden="false"/>
    </xf>
    <xf numFmtId="164" fontId="0" fillId="0" borderId="0" xfId="0" applyFont="false" applyBorder="true" applyAlignment="true" applyProtection="false">
      <alignment horizontal="center" vertical="top" textRotation="0" wrapText="false" indent="0" shrinkToFit="false"/>
      <protection locked="true" hidden="false"/>
    </xf>
    <xf numFmtId="164" fontId="0" fillId="0" borderId="156" xfId="0" applyFont="true" applyBorder="true" applyAlignment="true" applyProtection="false">
      <alignment horizontal="center" vertical="center" textRotation="0" wrapText="true" indent="0" shrinkToFit="false"/>
      <protection locked="true" hidden="false"/>
    </xf>
    <xf numFmtId="164" fontId="0" fillId="0" borderId="123" xfId="0" applyFont="true" applyBorder="true" applyAlignment="true" applyProtection="false">
      <alignment horizontal="center" vertical="center" textRotation="0" wrapText="true" indent="0" shrinkToFit="false"/>
      <protection locked="true" hidden="false"/>
    </xf>
    <xf numFmtId="169" fontId="0" fillId="0" borderId="150" xfId="19" applyFont="true" applyBorder="true" applyAlignment="true" applyProtection="true">
      <alignment horizontal="center" vertical="center" textRotation="0" wrapText="true" indent="0" shrinkToFit="false"/>
      <protection locked="true" hidden="false"/>
    </xf>
    <xf numFmtId="164" fontId="0" fillId="0" borderId="9" xfId="0" applyFont="true" applyBorder="true" applyAlignment="false" applyProtection="false">
      <alignment horizontal="general" vertical="bottom" textRotation="0" wrapText="false" indent="0" shrinkToFit="false"/>
      <protection locked="true" hidden="false"/>
    </xf>
    <xf numFmtId="164" fontId="187" fillId="0" borderId="0" xfId="0" applyFont="true" applyBorder="false" applyAlignment="true" applyProtection="false">
      <alignment horizontal="general" vertical="bottom" textRotation="0" wrapText="false" indent="0" shrinkToFit="false"/>
      <protection locked="true" hidden="false"/>
    </xf>
    <xf numFmtId="164" fontId="24" fillId="0" borderId="0" xfId="0" applyFont="true" applyBorder="false" applyAlignment="false" applyProtection="false">
      <alignment horizontal="general" vertical="bottom" textRotation="0" wrapText="false" indent="0" shrinkToFit="false"/>
      <protection locked="true" hidden="false"/>
    </xf>
    <xf numFmtId="164" fontId="0" fillId="0" borderId="162" xfId="0" applyFont="false" applyBorder="true" applyAlignment="true" applyProtection="false">
      <alignment horizontal="general" vertical="top" textRotation="0" wrapText="false" indent="0" shrinkToFit="false"/>
      <protection locked="true" hidden="false"/>
    </xf>
    <xf numFmtId="164" fontId="5" fillId="13" borderId="1" xfId="34" applyFont="true" applyBorder="true" applyAlignment="true" applyProtection="false">
      <alignment horizontal="center" vertical="center" textRotation="90" wrapText="false" indent="0" shrinkToFit="false"/>
      <protection locked="true" hidden="false"/>
    </xf>
    <xf numFmtId="164" fontId="0" fillId="0" borderId="240" xfId="0" applyFont="false" applyBorder="true" applyAlignment="true" applyProtection="false">
      <alignment horizontal="left" vertical="center" textRotation="0" wrapText="false" indent="0" shrinkToFit="false"/>
      <protection locked="true" hidden="false"/>
    </xf>
    <xf numFmtId="174" fontId="5" fillId="13" borderId="1" xfId="34" applyFont="false" applyBorder="true" applyAlignment="true" applyProtection="false">
      <alignment horizontal="center" vertical="center" textRotation="0" wrapText="false" indent="0" shrinkToFit="false"/>
      <protection locked="true" hidden="false"/>
    </xf>
    <xf numFmtId="164" fontId="34" fillId="0" borderId="7" xfId="0" applyFont="true" applyBorder="true" applyAlignment="true" applyProtection="false">
      <alignment horizontal="center" vertical="center" textRotation="0" wrapText="true" indent="0" shrinkToFit="false"/>
      <protection locked="true" hidden="false"/>
    </xf>
    <xf numFmtId="164" fontId="0" fillId="23" borderId="0" xfId="0" applyFont="false" applyBorder="true" applyAlignment="true" applyProtection="false">
      <alignment horizontal="center" vertical="center" textRotation="0" wrapText="false" indent="0" shrinkToFit="false"/>
      <protection locked="true" hidden="false"/>
    </xf>
    <xf numFmtId="164" fontId="0" fillId="0" borderId="6" xfId="0" applyFont="false" applyBorder="true" applyAlignment="true" applyProtection="false">
      <alignment horizontal="center" vertical="center" textRotation="0" wrapText="true" indent="0" shrinkToFit="false"/>
      <protection locked="true" hidden="false"/>
    </xf>
    <xf numFmtId="168" fontId="0" fillId="0" borderId="147" xfId="0" applyFont="false" applyBorder="true" applyAlignment="true" applyProtection="false">
      <alignment horizontal="left" vertical="bottom" textRotation="0" wrapText="false" indent="0" shrinkToFit="false"/>
      <protection locked="true" hidden="false"/>
    </xf>
    <xf numFmtId="168" fontId="0" fillId="0" borderId="0" xfId="0" applyFont="false" applyBorder="true" applyAlignment="true" applyProtection="false">
      <alignment horizontal="general" vertical="top" textRotation="0" wrapText="false" indent="0" shrinkToFit="false"/>
      <protection locked="true" hidden="false"/>
    </xf>
    <xf numFmtId="164" fontId="0" fillId="0" borderId="8" xfId="0" applyFont="true" applyBorder="true" applyAlignment="true" applyProtection="false">
      <alignment horizontal="center" vertical="center" textRotation="0" wrapText="true" indent="0" shrinkToFit="false"/>
      <protection locked="true" hidden="false"/>
    </xf>
    <xf numFmtId="164" fontId="0" fillId="0" borderId="260" xfId="0" applyFont="false" applyBorder="true" applyAlignment="false" applyProtection="false">
      <alignment horizontal="general" vertical="bottom" textRotation="0" wrapText="false" indent="0" shrinkToFit="false"/>
      <protection locked="true" hidden="false"/>
    </xf>
    <xf numFmtId="183" fontId="0" fillId="0" borderId="0" xfId="19" applyFont="true" applyBorder="true" applyAlignment="true" applyProtection="true">
      <alignment horizontal="general" vertical="bottom" textRotation="0" wrapText="false" indent="0" shrinkToFit="false"/>
      <protection locked="true" hidden="false"/>
    </xf>
    <xf numFmtId="169" fontId="0" fillId="0" borderId="0" xfId="19" applyFont="true" applyBorder="true" applyAlignment="true" applyProtection="true">
      <alignment horizontal="center" vertical="center" textRotation="0" wrapText="true" indent="0" shrinkToFit="false"/>
      <protection locked="true" hidden="false"/>
    </xf>
    <xf numFmtId="164" fontId="0" fillId="0" borderId="150" xfId="0" applyFont="true" applyBorder="true" applyAlignment="true" applyProtection="false">
      <alignment horizontal="right" vertical="bottom" textRotation="0" wrapText="false" indent="0" shrinkToFit="false"/>
      <protection locked="true" hidden="false"/>
    </xf>
    <xf numFmtId="183" fontId="0" fillId="0" borderId="0" xfId="0" applyFont="false" applyBorder="true" applyAlignment="true" applyProtection="false">
      <alignment horizontal="left" vertical="bottom" textRotation="0" wrapText="false" indent="0" shrinkToFit="false"/>
      <protection locked="true" hidden="false"/>
    </xf>
    <xf numFmtId="164" fontId="0" fillId="0" borderId="150" xfId="0" applyFont="true" applyBorder="true" applyAlignment="false" applyProtection="false">
      <alignment horizontal="general" vertical="bottom" textRotation="0" wrapText="false" indent="0" shrinkToFit="false"/>
      <protection locked="true" hidden="false"/>
    </xf>
    <xf numFmtId="164" fontId="0" fillId="0" borderId="156" xfId="0" applyFont="true" applyBorder="true" applyAlignment="true" applyProtection="false">
      <alignment horizontal="right" vertical="bottom" textRotation="0" wrapText="false" indent="0" shrinkToFit="false"/>
      <protection locked="true" hidden="false"/>
    </xf>
    <xf numFmtId="174" fontId="0" fillId="0" borderId="147" xfId="0" applyFont="false" applyBorder="true" applyAlignment="true" applyProtection="false">
      <alignment horizontal="general" vertical="top" textRotation="0" wrapText="false" indent="0" shrinkToFit="false"/>
      <protection locked="true" hidden="false"/>
    </xf>
    <xf numFmtId="164" fontId="0" fillId="0" borderId="9" xfId="0" applyFont="true" applyBorder="true" applyAlignment="true" applyProtection="false">
      <alignment horizontal="general" vertical="center" textRotation="0" wrapText="false" indent="0" shrinkToFit="false"/>
      <protection locked="true" hidden="false"/>
    </xf>
    <xf numFmtId="164" fontId="0" fillId="0" borderId="0" xfId="0" applyFont="false" applyBorder="true" applyAlignment="true" applyProtection="false">
      <alignment horizontal="left" vertical="center" textRotation="0" wrapText="true" indent="0" shrinkToFit="false"/>
      <protection locked="true" hidden="false"/>
    </xf>
    <xf numFmtId="164" fontId="34" fillId="0" borderId="147" xfId="0" applyFont="true" applyBorder="true" applyAlignment="true" applyProtection="false">
      <alignment horizontal="right" vertical="bottom" textRotation="0" wrapText="false" indent="0" shrinkToFit="false"/>
      <protection locked="true" hidden="false"/>
    </xf>
    <xf numFmtId="164" fontId="5" fillId="4" borderId="1" xfId="35" applyFont="true" applyBorder="true" applyAlignment="true" applyProtection="false">
      <alignment horizontal="center" vertical="center" textRotation="90" wrapText="false" indent="0" shrinkToFit="false"/>
      <protection locked="true" hidden="false"/>
    </xf>
    <xf numFmtId="174" fontId="5" fillId="4" borderId="1" xfId="35" applyFont="false" applyBorder="true" applyAlignment="true" applyProtection="false">
      <alignment horizontal="center" vertical="center" textRotation="0" wrapText="false" indent="0" shrinkToFit="false"/>
      <protection locked="true" hidden="false"/>
    </xf>
    <xf numFmtId="164" fontId="4" fillId="0" borderId="0" xfId="42" applyFont="false" applyBorder="true" applyAlignment="true" applyProtection="false">
      <alignment horizontal="general" vertical="bottom" textRotation="0" wrapText="false" indent="0" shrinkToFit="false"/>
      <protection locked="true" hidden="false"/>
    </xf>
    <xf numFmtId="164" fontId="4" fillId="0" borderId="33" xfId="42" applyFont="false" applyBorder="true" applyAlignment="true" applyProtection="false">
      <alignment horizontal="general" vertical="bottom" textRotation="0" wrapText="false" indent="0" shrinkToFit="false"/>
      <protection locked="true" hidden="false"/>
    </xf>
    <xf numFmtId="164" fontId="178" fillId="17" borderId="36" xfId="42" applyFont="true" applyBorder="true" applyAlignment="true" applyProtection="false">
      <alignment horizontal="center" vertical="bottom" textRotation="0" wrapText="false" indent="0" shrinkToFit="false"/>
      <protection locked="true" hidden="false"/>
    </xf>
    <xf numFmtId="172" fontId="0" fillId="0" borderId="26" xfId="15" applyFont="false" applyBorder="true" applyAlignment="true" applyProtection="true">
      <alignment horizontal="center" vertical="bottom" textRotation="0" wrapText="false" indent="0" shrinkToFit="false"/>
      <protection locked="true" hidden="false"/>
    </xf>
    <xf numFmtId="164" fontId="4" fillId="0" borderId="45" xfId="42" applyFont="false" applyBorder="true" applyAlignment="true" applyProtection="false">
      <alignment horizontal="general" vertical="bottom" textRotation="0" wrapText="false" indent="0" shrinkToFit="false"/>
      <protection locked="true" hidden="false"/>
    </xf>
    <xf numFmtId="164" fontId="4" fillId="0" borderId="34" xfId="42" applyFont="false" applyBorder="true" applyAlignment="true" applyProtection="false">
      <alignment horizontal="center" vertical="center" textRotation="0" wrapText="false" indent="0" shrinkToFit="false"/>
      <protection locked="true" hidden="false"/>
    </xf>
    <xf numFmtId="164" fontId="4" fillId="0" borderId="45" xfId="42" applyFont="false" applyBorder="true" applyAlignment="true" applyProtection="false">
      <alignment horizontal="center" vertical="center" textRotation="0" wrapText="true" indent="0" shrinkToFit="false"/>
      <protection locked="true" hidden="false"/>
    </xf>
    <xf numFmtId="164" fontId="4" fillId="0" borderId="35" xfId="42" applyFont="false" applyBorder="true" applyAlignment="true" applyProtection="false">
      <alignment horizontal="center" vertical="center" textRotation="0" wrapText="true" indent="0" shrinkToFit="false"/>
      <protection locked="true" hidden="false"/>
    </xf>
    <xf numFmtId="164" fontId="178" fillId="17" borderId="26" xfId="42" applyFont="true" applyBorder="true" applyAlignment="true" applyProtection="false">
      <alignment horizontal="center" vertical="center" textRotation="0" wrapText="false" indent="0" shrinkToFit="false"/>
      <protection locked="true" hidden="false"/>
    </xf>
    <xf numFmtId="164" fontId="4" fillId="0" borderId="36" xfId="42" applyFont="false" applyBorder="true" applyAlignment="true" applyProtection="false">
      <alignment horizontal="center" vertical="bottom" textRotation="0" wrapText="false" indent="0" shrinkToFit="false"/>
      <protection locked="true" hidden="false"/>
    </xf>
    <xf numFmtId="164" fontId="4" fillId="25" borderId="30" xfId="42" applyFont="false" applyBorder="true" applyAlignment="true" applyProtection="false">
      <alignment horizontal="center" vertical="center" textRotation="0" wrapText="false" indent="0" shrinkToFit="false"/>
      <protection locked="true" hidden="false"/>
    </xf>
    <xf numFmtId="164" fontId="4" fillId="11" borderId="26" xfId="42" applyFont="false" applyBorder="true" applyAlignment="true" applyProtection="false">
      <alignment horizontal="center" vertical="center" textRotation="0" wrapText="false" indent="0" shrinkToFit="false"/>
      <protection locked="true" hidden="false"/>
    </xf>
    <xf numFmtId="164" fontId="4" fillId="20" borderId="26" xfId="42" applyFont="false" applyBorder="true" applyAlignment="true" applyProtection="false">
      <alignment horizontal="center" vertical="center" textRotation="0" wrapText="false" indent="0" shrinkToFit="false"/>
      <protection locked="true" hidden="false"/>
    </xf>
    <xf numFmtId="168" fontId="0" fillId="0" borderId="26" xfId="0" applyFont="false" applyBorder="true" applyAlignment="true" applyProtection="false">
      <alignment horizontal="center" vertical="bottom" textRotation="0" wrapText="false" indent="0" shrinkToFit="false"/>
      <protection locked="true" hidden="false"/>
    </xf>
    <xf numFmtId="164" fontId="4" fillId="0" borderId="38" xfId="42" applyFont="false" applyBorder="true" applyAlignment="true" applyProtection="false">
      <alignment horizontal="center" vertical="bottom" textRotation="0" wrapText="true" indent="0" shrinkToFit="false"/>
      <protection locked="true" hidden="false"/>
    </xf>
    <xf numFmtId="164" fontId="4" fillId="12" borderId="26" xfId="42" applyFont="false" applyBorder="true" applyAlignment="true" applyProtection="false">
      <alignment horizontal="center" vertical="center" textRotation="0" wrapText="false" indent="0" shrinkToFit="false"/>
      <protection locked="true" hidden="false"/>
    </xf>
    <xf numFmtId="164" fontId="4" fillId="14" borderId="26" xfId="42" applyFont="false" applyBorder="true" applyAlignment="true" applyProtection="false">
      <alignment horizontal="center" vertical="center" textRotation="0" wrapText="false" indent="0" shrinkToFit="false"/>
      <protection locked="true" hidden="false"/>
    </xf>
    <xf numFmtId="183" fontId="0" fillId="0" borderId="248" xfId="0" applyFont="false" applyBorder="true" applyAlignment="true" applyProtection="false">
      <alignment horizontal="left" vertical="bottom" textRotation="0" wrapText="false" indent="0" shrinkToFit="false"/>
      <protection locked="true" hidden="false"/>
    </xf>
    <xf numFmtId="164" fontId="4" fillId="0" borderId="38" xfId="42" applyFont="false" applyBorder="true" applyAlignment="true" applyProtection="false">
      <alignment horizontal="center" vertical="bottom" textRotation="0" wrapText="false" indent="0" shrinkToFit="false"/>
      <protection locked="true" hidden="false"/>
    </xf>
    <xf numFmtId="164" fontId="4" fillId="34" borderId="26" xfId="42" applyFont="true" applyBorder="true" applyAlignment="true" applyProtection="false">
      <alignment horizontal="center" vertical="center" textRotation="0" wrapText="false" indent="0" shrinkToFit="false"/>
      <protection locked="true" hidden="false"/>
    </xf>
    <xf numFmtId="164" fontId="4" fillId="13" borderId="26" xfId="42" applyFont="false" applyBorder="true" applyAlignment="true" applyProtection="false">
      <alignment horizontal="center" vertical="center" textRotation="0" wrapText="false" indent="0" shrinkToFit="false"/>
      <protection locked="true" hidden="false"/>
    </xf>
    <xf numFmtId="164" fontId="48" fillId="0" borderId="0" xfId="0" applyFont="true" applyBorder="true" applyAlignment="true" applyProtection="false">
      <alignment horizontal="right" vertical="top" textRotation="0" wrapText="false" indent="0" shrinkToFit="false"/>
      <protection locked="true" hidden="false"/>
    </xf>
    <xf numFmtId="164" fontId="4" fillId="0" borderId="40" xfId="42" applyFont="false" applyBorder="true" applyAlignment="true" applyProtection="false">
      <alignment horizontal="center" vertical="bottom" textRotation="0" wrapText="false" indent="0" shrinkToFit="false"/>
      <protection locked="true" hidden="false"/>
    </xf>
    <xf numFmtId="164" fontId="0" fillId="25" borderId="26" xfId="0" applyFont="false" applyBorder="true" applyAlignment="true" applyProtection="false">
      <alignment horizontal="center" vertical="bottom" textRotation="0" wrapText="false" indent="0" shrinkToFit="false"/>
      <protection locked="true" hidden="false"/>
    </xf>
    <xf numFmtId="164" fontId="4" fillId="34" borderId="26" xfId="0" applyFont="true" applyBorder="true" applyAlignment="true" applyProtection="false">
      <alignment horizontal="center" vertical="bottom" textRotation="0" wrapText="false" indent="0" shrinkToFit="false"/>
      <protection locked="true" hidden="false"/>
    </xf>
    <xf numFmtId="164" fontId="0" fillId="13" borderId="26" xfId="0" applyFont="false" applyBorder="true" applyAlignment="true" applyProtection="false">
      <alignment horizontal="center" vertical="bottom" textRotation="0" wrapText="false" indent="0" shrinkToFit="false"/>
      <protection locked="true" hidden="false"/>
    </xf>
    <xf numFmtId="164" fontId="0" fillId="14" borderId="26" xfId="0" applyFont="false" applyBorder="true" applyAlignment="true" applyProtection="false">
      <alignment horizontal="center" vertical="bottom" textRotation="0" wrapText="false" indent="0" shrinkToFit="false"/>
      <protection locked="true" hidden="false"/>
    </xf>
    <xf numFmtId="174" fontId="0" fillId="0" borderId="61" xfId="0" applyFont="false" applyBorder="true" applyAlignment="true" applyProtection="false">
      <alignment horizontal="general" vertical="top" textRotation="0" wrapText="false" indent="0" shrinkToFit="false"/>
      <protection locked="true" hidden="false"/>
    </xf>
    <xf numFmtId="174" fontId="0" fillId="0" borderId="61" xfId="0" applyFont="false" applyBorder="true" applyAlignment="true" applyProtection="false">
      <alignment horizontal="left" vertical="top" textRotation="0" wrapText="false" indent="0" shrinkToFit="false"/>
      <protection locked="true" hidden="false"/>
    </xf>
    <xf numFmtId="174" fontId="0" fillId="0" borderId="123" xfId="0" applyFont="false" applyBorder="true" applyAlignment="true" applyProtection="false">
      <alignment horizontal="left" vertical="top" textRotation="0" wrapText="false" indent="0" shrinkToFit="false"/>
      <protection locked="true" hidden="false"/>
    </xf>
    <xf numFmtId="164" fontId="5" fillId="14" borderId="170" xfId="36" applyFont="true" applyBorder="true" applyAlignment="true" applyProtection="false">
      <alignment horizontal="center" vertical="center" textRotation="90" wrapText="false" indent="0" shrinkToFit="false"/>
      <protection locked="true" hidden="false"/>
    </xf>
    <xf numFmtId="164" fontId="0" fillId="0" borderId="18" xfId="0" applyFont="true" applyBorder="true" applyAlignment="false" applyProtection="false">
      <alignment horizontal="general" vertical="bottom" textRotation="0" wrapText="false" indent="0" shrinkToFit="false"/>
      <protection locked="true" hidden="false"/>
    </xf>
    <xf numFmtId="164" fontId="4" fillId="4" borderId="19" xfId="23" applyFont="true" applyBorder="true" applyAlignment="false" applyProtection="true">
      <alignment horizontal="general" vertical="top" textRotation="0" wrapText="false" indent="0" shrinkToFit="false"/>
      <protection locked="true" hidden="false"/>
    </xf>
    <xf numFmtId="164" fontId="4" fillId="4" borderId="139" xfId="23" applyFont="true" applyBorder="true" applyAlignment="false" applyProtection="true">
      <alignment horizontal="general" vertical="top" textRotation="0" wrapText="false" indent="0" shrinkToFit="false"/>
      <protection locked="true" hidden="false"/>
    </xf>
    <xf numFmtId="164" fontId="0" fillId="0" borderId="20" xfId="0" applyFont="false" applyBorder="true" applyAlignment="true" applyProtection="false">
      <alignment horizontal="left" vertical="center" textRotation="0" wrapText="false" indent="0" shrinkToFit="false"/>
      <protection locked="true" hidden="false"/>
    </xf>
    <xf numFmtId="174" fontId="5" fillId="14" borderId="3" xfId="36" applyFont="false" applyBorder="true" applyAlignment="true" applyProtection="false">
      <alignment horizontal="center" vertical="center" textRotation="0" wrapText="false" indent="0" shrinkToFit="false"/>
      <protection locked="true" hidden="false"/>
    </xf>
    <xf numFmtId="164" fontId="0" fillId="0" borderId="6" xfId="19" applyFont="true" applyBorder="true" applyAlignment="true" applyProtection="true">
      <alignment horizontal="center" vertical="center" textRotation="0" wrapText="true" indent="0" shrinkToFit="false"/>
      <protection locked="true" hidden="false"/>
    </xf>
    <xf numFmtId="164" fontId="0" fillId="0" borderId="21" xfId="0" applyFont="false" applyBorder="true" applyAlignment="false" applyProtection="false">
      <alignment horizontal="general" vertical="bottom" textRotation="0" wrapText="false" indent="0" shrinkToFit="false"/>
      <protection locked="true" hidden="false"/>
    </xf>
    <xf numFmtId="164" fontId="0" fillId="0" borderId="22" xfId="0" applyFont="false" applyBorder="true" applyAlignment="false" applyProtection="false">
      <alignment horizontal="general" vertical="bottom" textRotation="0" wrapText="false" indent="0" shrinkToFit="false"/>
      <protection locked="true" hidden="false"/>
    </xf>
    <xf numFmtId="164" fontId="0" fillId="0" borderId="22" xfId="0" applyFont="false" applyBorder="true" applyAlignment="true" applyProtection="false">
      <alignment horizontal="center" vertical="center" textRotation="0" wrapText="false" indent="0" shrinkToFit="false"/>
      <protection locked="true" hidden="false"/>
    </xf>
    <xf numFmtId="164" fontId="0" fillId="0" borderId="22" xfId="0" applyFont="false" applyBorder="true" applyAlignment="true" applyProtection="false">
      <alignment horizontal="center" vertical="bottom" textRotation="0" wrapText="false" indent="0" shrinkToFit="false"/>
      <protection locked="true" hidden="false"/>
    </xf>
    <xf numFmtId="170" fontId="0" fillId="0" borderId="147" xfId="19" applyFont="true" applyBorder="true" applyAlignment="true" applyProtection="true">
      <alignment horizontal="left" vertical="bottom" textRotation="0" wrapText="false" indent="0" shrinkToFit="false"/>
      <protection locked="true" hidden="false"/>
    </xf>
    <xf numFmtId="164" fontId="0" fillId="0" borderId="11" xfId="19" applyFont="true" applyBorder="true" applyAlignment="true" applyProtection="true">
      <alignment horizontal="center" vertical="center" textRotation="0" wrapText="true" indent="0" shrinkToFit="false"/>
      <protection locked="true" hidden="false"/>
    </xf>
    <xf numFmtId="164" fontId="0" fillId="0" borderId="26" xfId="19" applyFont="true" applyBorder="true" applyAlignment="true" applyProtection="true">
      <alignment horizontal="center" vertical="center" textRotation="0" wrapText="true" indent="0" shrinkToFit="false"/>
      <protection locked="true" hidden="false"/>
    </xf>
    <xf numFmtId="164" fontId="0" fillId="0" borderId="22" xfId="0" applyFont="false" applyBorder="true" applyAlignment="true" applyProtection="false">
      <alignment horizontal="left" vertical="center" textRotation="0" wrapText="false" indent="0" shrinkToFit="false"/>
      <protection locked="true" hidden="false"/>
    </xf>
    <xf numFmtId="164" fontId="0" fillId="0" borderId="27" xfId="0" applyFont="true" applyBorder="true" applyAlignment="false" applyProtection="false">
      <alignment horizontal="general" vertical="bottom" textRotation="0" wrapText="false" indent="0" shrinkToFit="false"/>
      <protection locked="true" hidden="false"/>
    </xf>
    <xf numFmtId="174" fontId="0" fillId="0" borderId="251" xfId="0" applyFont="false" applyBorder="true" applyAlignment="true" applyProtection="false">
      <alignment horizontal="right" vertical="top" textRotation="0" wrapText="false" indent="0" shrinkToFit="false"/>
      <protection locked="true" hidden="false"/>
    </xf>
    <xf numFmtId="174" fontId="0" fillId="0" borderId="261" xfId="0" applyFont="false" applyBorder="true" applyAlignment="true" applyProtection="false">
      <alignment horizontal="center" vertical="center" textRotation="0" wrapText="false" indent="0" shrinkToFit="false"/>
      <protection locked="true" hidden="false"/>
    </xf>
    <xf numFmtId="174" fontId="4" fillId="4" borderId="252" xfId="23" applyFont="false" applyBorder="true" applyAlignment="true" applyProtection="true">
      <alignment horizontal="general" vertical="center" textRotation="0" wrapText="false" indent="0" shrinkToFit="false"/>
      <protection locked="true" hidden="false"/>
    </xf>
    <xf numFmtId="170" fontId="0" fillId="0" borderId="45" xfId="0" applyFont="false" applyBorder="true" applyAlignment="true" applyProtection="false">
      <alignment horizontal="left" vertical="bottom" textRotation="0" wrapText="false" indent="0" shrinkToFit="false"/>
      <protection locked="true" hidden="false"/>
    </xf>
    <xf numFmtId="164" fontId="0" fillId="0" borderId="23" xfId="0" applyFont="false" applyBorder="true" applyAlignment="false" applyProtection="false">
      <alignment horizontal="general" vertical="bottom" textRotation="0" wrapText="false" indent="0" shrinkToFit="false"/>
      <protection locked="true" hidden="false"/>
    </xf>
    <xf numFmtId="171" fontId="0" fillId="0" borderId="24" xfId="0" applyFont="true" applyBorder="true" applyAlignment="true" applyProtection="false">
      <alignment horizontal="left" vertical="bottom" textRotation="0" wrapText="false" indent="0" shrinkToFit="false"/>
      <protection locked="true" hidden="false"/>
    </xf>
    <xf numFmtId="164" fontId="0" fillId="0" borderId="24" xfId="0" applyFont="false" applyBorder="true" applyAlignment="true" applyProtection="false">
      <alignment horizontal="right" vertical="top" textRotation="0" wrapText="false" indent="0" shrinkToFit="false"/>
      <protection locked="true" hidden="false"/>
    </xf>
    <xf numFmtId="164" fontId="0" fillId="0" borderId="24" xfId="0" applyFont="false" applyBorder="true" applyAlignment="true" applyProtection="false">
      <alignment horizontal="center" vertical="center" textRotation="0" wrapText="false" indent="0" shrinkToFit="false"/>
      <protection locked="true" hidden="false"/>
    </xf>
    <xf numFmtId="164" fontId="4" fillId="0" borderId="24" xfId="23" applyFont="false" applyBorder="true" applyAlignment="false" applyProtection="true">
      <alignment horizontal="general" vertical="top" textRotation="0" wrapText="false" indent="0" shrinkToFit="false"/>
      <protection locked="true" hidden="false"/>
    </xf>
    <xf numFmtId="164" fontId="0" fillId="0" borderId="25" xfId="0" applyFont="false" applyBorder="true" applyAlignment="true" applyProtection="false">
      <alignment horizontal="center" vertical="bottom" textRotation="0" wrapText="false" indent="0" shrinkToFit="false"/>
      <protection locked="true" hidden="false"/>
    </xf>
    <xf numFmtId="164" fontId="8" fillId="13" borderId="1" xfId="40" applyFont="true" applyBorder="true" applyAlignment="false" applyProtection="false">
      <alignment horizontal="center" vertical="center" textRotation="0" wrapText="true" indent="0" shrinkToFit="false"/>
      <protection locked="true" hidden="false"/>
    </xf>
    <xf numFmtId="174" fontId="8" fillId="13" borderId="1" xfId="40" applyFont="fals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right" vertical="center" textRotation="0" wrapText="false" indent="0" shrinkToFit="false"/>
      <protection locked="true" hidden="false"/>
    </xf>
    <xf numFmtId="164" fontId="189" fillId="24" borderId="64" xfId="0" applyFont="true" applyBorder="true" applyAlignment="true" applyProtection="false">
      <alignment horizontal="center" vertical="center" textRotation="0" wrapText="false" indent="0" shrinkToFit="false"/>
      <protection locked="true" hidden="false"/>
    </xf>
    <xf numFmtId="167" fontId="190" fillId="0" borderId="0" xfId="0" applyFont="true" applyBorder="true" applyAlignment="true" applyProtection="false">
      <alignment horizontal="general" vertical="center" textRotation="0" wrapText="false" indent="0" shrinkToFit="false"/>
      <protection locked="true" hidden="false"/>
    </xf>
    <xf numFmtId="164" fontId="189" fillId="0" borderId="0" xfId="0" applyFont="true" applyBorder="true" applyAlignment="true" applyProtection="false">
      <alignment horizontal="center" vertical="center" textRotation="0" wrapText="false" indent="0" shrinkToFit="false"/>
      <protection locked="true" hidden="false"/>
    </xf>
    <xf numFmtId="167" fontId="190" fillId="0" borderId="0" xfId="0" applyFont="true" applyBorder="true" applyAlignment="true" applyProtection="false">
      <alignment horizontal="center" vertical="center" textRotation="0" wrapText="false" indent="0" shrinkToFit="false"/>
      <protection locked="true" hidden="false"/>
    </xf>
    <xf numFmtId="164" fontId="186" fillId="27" borderId="64" xfId="0" applyFont="true" applyBorder="true" applyAlignment="true" applyProtection="false">
      <alignment horizontal="center" vertical="center" textRotation="0" wrapText="false" indent="0" shrinkToFit="false"/>
      <protection locked="true" hidden="false"/>
    </xf>
    <xf numFmtId="164" fontId="8" fillId="0" borderId="74" xfId="0" applyFont="true" applyBorder="true" applyAlignment="true" applyProtection="false">
      <alignment horizontal="center" vertical="bottom" textRotation="0" wrapText="false" indent="0" shrinkToFit="false"/>
      <protection locked="true" hidden="false"/>
    </xf>
    <xf numFmtId="164" fontId="157" fillId="0" borderId="72" xfId="0" applyFont="true" applyBorder="true" applyAlignment="true" applyProtection="false">
      <alignment horizontal="center" vertical="center" textRotation="0" wrapText="false" indent="0" shrinkToFit="false"/>
      <protection locked="true" hidden="false"/>
    </xf>
    <xf numFmtId="164" fontId="157" fillId="0" borderId="84" xfId="0" applyFont="true" applyBorder="true" applyAlignment="true" applyProtection="false">
      <alignment horizontal="center" vertical="center" textRotation="0" wrapText="false" indent="0" shrinkToFit="false"/>
      <protection locked="true" hidden="false"/>
    </xf>
    <xf numFmtId="164" fontId="157" fillId="0" borderId="85" xfId="0" applyFont="true" applyBorder="true" applyAlignment="true" applyProtection="false">
      <alignment horizontal="center" vertical="center" textRotation="0" wrapText="false" indent="0" shrinkToFit="false"/>
      <protection locked="true" hidden="false"/>
    </xf>
    <xf numFmtId="164" fontId="157" fillId="0" borderId="109" xfId="0" applyFont="true" applyBorder="true" applyAlignment="true" applyProtection="false">
      <alignment horizontal="center" vertical="center" textRotation="0" wrapText="true" indent="0" shrinkToFit="false"/>
      <protection locked="true" hidden="false"/>
    </xf>
    <xf numFmtId="164" fontId="157" fillId="0" borderId="72" xfId="0" applyFont="true" applyBorder="true" applyAlignment="true" applyProtection="false">
      <alignment horizontal="center" vertical="center" textRotation="0" wrapText="true" indent="0" shrinkToFit="false"/>
      <protection locked="true" hidden="false"/>
    </xf>
    <xf numFmtId="164" fontId="191" fillId="15" borderId="64" xfId="38" applyFont="true" applyBorder="true" applyAlignment="true" applyProtection="false">
      <alignment horizontal="center" vertical="center" textRotation="90" wrapText="true" indent="0" shrinkToFit="false"/>
      <protection locked="true" hidden="false"/>
    </xf>
    <xf numFmtId="164" fontId="5" fillId="5" borderId="151" xfId="24" applyFont="true" applyBorder="true" applyAlignment="true" applyProtection="false">
      <alignment horizontal="center" vertical="center" textRotation="0" wrapText="true" indent="0" shrinkToFit="false"/>
      <protection locked="true" hidden="false"/>
    </xf>
    <xf numFmtId="170" fontId="103" fillId="0" borderId="112" xfId="0" applyFont="true" applyBorder="true" applyAlignment="true" applyProtection="false">
      <alignment horizontal="left" vertical="center" textRotation="0" wrapText="false" indent="0" shrinkToFit="false"/>
      <protection locked="true" hidden="false"/>
    </xf>
    <xf numFmtId="170" fontId="103" fillId="0" borderId="136" xfId="0" applyFont="true" applyBorder="true" applyAlignment="true" applyProtection="false">
      <alignment horizontal="center" vertical="center" textRotation="0" wrapText="true" indent="0" shrinkToFit="false"/>
      <protection locked="true" hidden="false"/>
    </xf>
    <xf numFmtId="174" fontId="69" fillId="0" borderId="18" xfId="0" applyFont="true" applyBorder="true" applyAlignment="true" applyProtection="false">
      <alignment horizontal="right" vertical="center" textRotation="0" wrapText="false" indent="0" shrinkToFit="false"/>
      <protection locked="true" hidden="false"/>
    </xf>
    <xf numFmtId="164" fontId="0" fillId="0" borderId="19" xfId="0" applyFont="true" applyBorder="true" applyAlignment="true" applyProtection="false">
      <alignment horizontal="center" vertical="center" textRotation="0" wrapText="false" indent="0" shrinkToFit="false"/>
      <protection locked="true" hidden="false"/>
    </xf>
    <xf numFmtId="172" fontId="69" fillId="0" borderId="20" xfId="0" applyFont="true" applyBorder="true" applyAlignment="true" applyProtection="false">
      <alignment horizontal="left" vertical="center" textRotation="0" wrapText="false" indent="0" shrinkToFit="false"/>
      <protection locked="true" hidden="false"/>
    </xf>
    <xf numFmtId="174" fontId="23" fillId="0" borderId="165" xfId="0" applyFont="true" applyBorder="true" applyAlignment="true" applyProtection="false">
      <alignment horizontal="right" vertical="center" textRotation="0" wrapText="false" indent="0" shrinkToFit="false"/>
      <protection locked="true" hidden="false"/>
    </xf>
    <xf numFmtId="164" fontId="23" fillId="0" borderId="165" xfId="0" applyFont="true" applyBorder="true" applyAlignment="true" applyProtection="false">
      <alignment horizontal="center" vertical="center" textRotation="0" wrapText="false" indent="0" shrinkToFit="false"/>
      <protection locked="true" hidden="false"/>
    </xf>
    <xf numFmtId="164" fontId="23" fillId="0" borderId="262" xfId="0" applyFont="true" applyBorder="true" applyAlignment="true" applyProtection="false">
      <alignment horizontal="left" vertical="center" textRotation="0" wrapText="false" indent="0" shrinkToFit="false"/>
      <protection locked="true" hidden="false"/>
    </xf>
    <xf numFmtId="170" fontId="103" fillId="0" borderId="6" xfId="0" applyFont="true" applyBorder="true" applyAlignment="true" applyProtection="false">
      <alignment horizontal="left" vertical="center" textRotation="0" wrapText="false" indent="0" shrinkToFit="false"/>
      <protection locked="true" hidden="false"/>
    </xf>
    <xf numFmtId="170" fontId="103" fillId="0" borderId="7" xfId="0" applyFont="true" applyBorder="true" applyAlignment="true" applyProtection="false">
      <alignment horizontal="center" vertical="center" textRotation="0" wrapText="true" indent="0" shrinkToFit="false"/>
      <protection locked="true" hidden="false"/>
    </xf>
    <xf numFmtId="174" fontId="69" fillId="0" borderId="21" xfId="0" applyFont="true" applyBorder="true" applyAlignment="true" applyProtection="false">
      <alignment horizontal="right" vertical="center" textRotation="0" wrapText="false" indent="0" shrinkToFit="false"/>
      <protection locked="true" hidden="false"/>
    </xf>
    <xf numFmtId="172" fontId="69" fillId="0" borderId="22" xfId="0" applyFont="true" applyBorder="true" applyAlignment="true" applyProtection="false">
      <alignment horizontal="left" vertical="center" textRotation="0" wrapText="false" indent="0" shrinkToFit="false"/>
      <protection locked="true" hidden="false"/>
    </xf>
    <xf numFmtId="164" fontId="69" fillId="0" borderId="105" xfId="0" applyFont="true" applyBorder="true" applyAlignment="true" applyProtection="false">
      <alignment horizontal="left" vertical="center" textRotation="0" wrapText="false" indent="0" shrinkToFit="true"/>
      <protection locked="true" hidden="false"/>
    </xf>
    <xf numFmtId="170" fontId="103" fillId="0" borderId="133" xfId="0" applyFont="true" applyBorder="true" applyAlignment="true" applyProtection="false">
      <alignment horizontal="center" vertical="center" textRotation="0" wrapText="true" indent="0" shrinkToFit="false"/>
      <protection locked="true" hidden="false"/>
    </xf>
    <xf numFmtId="174" fontId="69" fillId="0" borderId="23" xfId="0" applyFont="true" applyBorder="true" applyAlignment="true" applyProtection="false">
      <alignment horizontal="right" vertical="center" textRotation="0" wrapText="false" indent="0" shrinkToFit="false"/>
      <protection locked="true" hidden="false"/>
    </xf>
    <xf numFmtId="164" fontId="0" fillId="0" borderId="24" xfId="0" applyFont="true" applyBorder="true" applyAlignment="true" applyProtection="false">
      <alignment horizontal="center" vertical="center" textRotation="0" wrapText="false" indent="0" shrinkToFit="false"/>
      <protection locked="true" hidden="false"/>
    </xf>
    <xf numFmtId="172" fontId="69" fillId="0" borderId="25" xfId="0" applyFont="true" applyBorder="true" applyAlignment="true" applyProtection="false">
      <alignment horizontal="left" vertical="center" textRotation="0" wrapText="false" indent="0" shrinkToFit="false"/>
      <protection locked="true" hidden="false"/>
    </xf>
    <xf numFmtId="164" fontId="5" fillId="6" borderId="263" xfId="25" applyFont="true" applyBorder="true" applyAlignment="true" applyProtection="false">
      <alignment horizontal="center" vertical="center" textRotation="0" wrapText="true" indent="0" shrinkToFit="false"/>
      <protection locked="true" hidden="false"/>
    </xf>
    <xf numFmtId="170" fontId="103" fillId="0" borderId="112" xfId="0" applyFont="true" applyBorder="true" applyAlignment="true" applyProtection="false">
      <alignment horizontal="left" vertical="center" textRotation="0" wrapText="true" indent="0" shrinkToFit="false"/>
      <protection locked="true" hidden="false"/>
    </xf>
    <xf numFmtId="170" fontId="103" fillId="0" borderId="6" xfId="0" applyFont="true" applyBorder="true" applyAlignment="true" applyProtection="false">
      <alignment horizontal="left" vertical="center" textRotation="0" wrapText="true" indent="0" shrinkToFit="false"/>
      <protection locked="true" hidden="false"/>
    </xf>
    <xf numFmtId="170" fontId="103" fillId="0" borderId="105" xfId="0" applyFont="true" applyBorder="true" applyAlignment="true" applyProtection="false">
      <alignment horizontal="left" vertical="center" textRotation="0" wrapText="true" indent="0" shrinkToFit="false"/>
      <protection locked="true" hidden="false"/>
    </xf>
    <xf numFmtId="164" fontId="6" fillId="2" borderId="263" xfId="27" applyFont="true" applyBorder="true" applyAlignment="true" applyProtection="false">
      <alignment horizontal="center" vertical="center" textRotation="0" wrapText="true" indent="0" shrinkToFit="false"/>
      <protection locked="true" hidden="false"/>
    </xf>
    <xf numFmtId="170" fontId="103" fillId="0" borderId="79" xfId="0" applyFont="true" applyBorder="true" applyAlignment="true" applyProtection="false">
      <alignment horizontal="left" vertical="center" textRotation="0" wrapText="false" indent="0" shrinkToFit="false"/>
      <protection locked="true" hidden="false"/>
    </xf>
    <xf numFmtId="164" fontId="69" fillId="0" borderId="176" xfId="0" applyFont="true" applyBorder="true" applyAlignment="true" applyProtection="false">
      <alignment horizontal="center" vertical="bottom" textRotation="0" wrapText="false" indent="0" shrinkToFit="false"/>
      <protection locked="true" hidden="false"/>
    </xf>
    <xf numFmtId="170" fontId="103" fillId="0" borderId="26" xfId="0" applyFont="true" applyBorder="true" applyAlignment="true" applyProtection="false">
      <alignment horizontal="left" vertical="center" textRotation="0" wrapText="true" indent="0" shrinkToFit="false"/>
      <protection locked="true" hidden="false"/>
    </xf>
    <xf numFmtId="164" fontId="69" fillId="0" borderId="37" xfId="0" applyFont="true" applyBorder="true" applyAlignment="true" applyProtection="false">
      <alignment horizontal="center" vertical="bottom" textRotation="0" wrapText="false" indent="0" shrinkToFit="false"/>
      <protection locked="true" hidden="false"/>
    </xf>
    <xf numFmtId="164" fontId="69" fillId="0" borderId="85" xfId="0" applyFont="true" applyBorder="true" applyAlignment="true" applyProtection="false">
      <alignment horizontal="left" vertical="center" textRotation="0" wrapText="false" indent="0" shrinkToFit="false"/>
      <protection locked="true" hidden="false"/>
    </xf>
    <xf numFmtId="164" fontId="69" fillId="0" borderId="86" xfId="0" applyFont="true" applyBorder="true" applyAlignment="true" applyProtection="false">
      <alignment horizontal="center" vertical="bottom" textRotation="0" wrapText="false" indent="0" shrinkToFit="false"/>
      <protection locked="true" hidden="false"/>
    </xf>
    <xf numFmtId="164" fontId="6" fillId="7" borderId="263" xfId="26" applyFont="true" applyBorder="true" applyAlignment="true" applyProtection="false">
      <alignment horizontal="center" vertical="center" textRotation="0" wrapText="true" indent="0" shrinkToFit="false"/>
      <protection locked="true" hidden="false"/>
    </xf>
    <xf numFmtId="170" fontId="103" fillId="23" borderId="105" xfId="0" applyFont="true" applyBorder="true" applyAlignment="true" applyProtection="false">
      <alignment horizontal="left" vertical="center" textRotation="0" wrapText="true" indent="0" shrinkToFit="false"/>
      <protection locked="true" hidden="false"/>
    </xf>
    <xf numFmtId="164" fontId="6" fillId="8" borderId="64" xfId="28" applyFont="true" applyBorder="true" applyAlignment="true" applyProtection="false">
      <alignment horizontal="center" vertical="center" textRotation="0" wrapText="true" indent="0" shrinkToFit="false"/>
      <protection locked="true" hidden="false"/>
    </xf>
    <xf numFmtId="170" fontId="103" fillId="0" borderId="79" xfId="0" applyFont="true" applyBorder="true" applyAlignment="true" applyProtection="false">
      <alignment horizontal="left" vertical="center" textRotation="0" wrapText="true" indent="0" shrinkToFit="false"/>
      <protection locked="true" hidden="false"/>
    </xf>
    <xf numFmtId="164" fontId="69" fillId="0" borderId="176" xfId="0" applyFont="true" applyBorder="true" applyAlignment="true" applyProtection="false">
      <alignment horizontal="center" vertical="center" textRotation="0" wrapText="false" indent="0" shrinkToFit="false"/>
      <protection locked="true" hidden="false"/>
    </xf>
    <xf numFmtId="164" fontId="69" fillId="0" borderId="37" xfId="0" applyFont="true" applyBorder="true" applyAlignment="true" applyProtection="false">
      <alignment horizontal="center" vertical="center" textRotation="0" wrapText="false" indent="0" shrinkToFit="false"/>
      <protection locked="true" hidden="false"/>
    </xf>
    <xf numFmtId="172" fontId="69" fillId="0" borderId="21" xfId="0" applyFont="true" applyBorder="true" applyAlignment="true" applyProtection="false">
      <alignment horizontal="right" vertical="center" textRotation="0" wrapText="false" indent="0" shrinkToFit="false"/>
      <protection locked="true" hidden="false"/>
    </xf>
    <xf numFmtId="164" fontId="69" fillId="0" borderId="85" xfId="0" applyFont="true" applyBorder="true" applyAlignment="true" applyProtection="false">
      <alignment horizontal="left" vertical="center" textRotation="0" wrapText="true" indent="0" shrinkToFit="false"/>
      <protection locked="true" hidden="false"/>
    </xf>
    <xf numFmtId="164" fontId="69" fillId="0" borderId="86" xfId="0" applyFont="true" applyBorder="true" applyAlignment="true" applyProtection="false">
      <alignment horizontal="center" vertical="center" textRotation="0" wrapText="false" indent="0" shrinkToFit="false"/>
      <protection locked="true" hidden="false"/>
    </xf>
    <xf numFmtId="164" fontId="79" fillId="17" borderId="23" xfId="0" applyFont="true" applyBorder="true" applyAlignment="true" applyProtection="false">
      <alignment horizontal="center" vertical="bottom" textRotation="0" wrapText="false" indent="0" shrinkToFit="false"/>
      <protection locked="true" hidden="false"/>
    </xf>
    <xf numFmtId="174" fontId="79" fillId="17" borderId="175" xfId="0" applyFont="true" applyBorder="true" applyAlignment="true" applyProtection="false">
      <alignment horizontal="right" vertical="center" textRotation="0" wrapText="false" indent="0" shrinkToFit="false"/>
      <protection locked="true" hidden="false"/>
    </xf>
    <xf numFmtId="164" fontId="79" fillId="17" borderId="165" xfId="0" applyFont="true" applyBorder="true" applyAlignment="true" applyProtection="false">
      <alignment horizontal="center" vertical="center" textRotation="0" wrapText="false" indent="0" shrinkToFit="false"/>
      <protection locked="true" hidden="false"/>
    </xf>
    <xf numFmtId="164" fontId="79" fillId="17" borderId="262" xfId="0" applyFont="true" applyBorder="true" applyAlignment="true" applyProtection="false">
      <alignment horizontal="left" vertical="center" textRotation="0" wrapText="false" indent="0" shrinkToFit="false"/>
      <protection locked="true" hidden="false"/>
    </xf>
    <xf numFmtId="167" fontId="192" fillId="0" borderId="0" xfId="0" applyFont="true" applyBorder="false" applyAlignment="false" applyProtection="false">
      <alignment horizontal="general" vertical="bottom" textRotation="0" wrapText="false" indent="0" shrinkToFit="false"/>
      <protection locked="true" hidden="false"/>
    </xf>
    <xf numFmtId="164" fontId="69" fillId="0" borderId="0" xfId="0" applyFont="true" applyBorder="false" applyAlignment="true" applyProtection="false">
      <alignment horizontal="right" vertical="center" textRotation="0" wrapText="false" indent="0" shrinkToFit="false"/>
      <protection locked="true" hidden="false"/>
    </xf>
    <xf numFmtId="164" fontId="191" fillId="16" borderId="64" xfId="39" applyFont="true" applyBorder="true" applyAlignment="true" applyProtection="false">
      <alignment horizontal="center" vertical="center" textRotation="90" wrapText="true" indent="0" shrinkToFit="false"/>
      <protection locked="true" hidden="false"/>
    </xf>
    <xf numFmtId="164" fontId="6" fillId="9" borderId="151" xfId="29" applyFont="true" applyBorder="true" applyAlignment="true" applyProtection="false">
      <alignment horizontal="center" vertical="center" textRotation="0" wrapText="true" indent="0" shrinkToFit="false"/>
      <protection locked="true" hidden="false"/>
    </xf>
    <xf numFmtId="164" fontId="103" fillId="23" borderId="112" xfId="0" applyFont="true" applyBorder="true" applyAlignment="true" applyProtection="false">
      <alignment horizontal="left" vertical="center" textRotation="0" wrapText="true" indent="0" shrinkToFit="false"/>
      <protection locked="true" hidden="false"/>
    </xf>
    <xf numFmtId="164" fontId="69" fillId="0" borderId="136" xfId="0" applyFont="true" applyBorder="true" applyAlignment="true" applyProtection="false">
      <alignment horizontal="center" vertical="bottom" textRotation="0" wrapText="false" indent="0" shrinkToFit="false"/>
      <protection locked="true" hidden="false"/>
    </xf>
    <xf numFmtId="172" fontId="69" fillId="0" borderId="19" xfId="0" applyFont="true" applyBorder="true" applyAlignment="true" applyProtection="false">
      <alignment horizontal="left" vertical="center" textRotation="0" wrapText="false" indent="0" shrinkToFit="false"/>
      <protection locked="true" hidden="false"/>
    </xf>
    <xf numFmtId="174" fontId="23" fillId="0" borderId="175" xfId="0" applyFont="true" applyBorder="true" applyAlignment="true" applyProtection="false">
      <alignment horizontal="right" vertical="center" textRotation="0" wrapText="false" indent="0" shrinkToFit="false"/>
      <protection locked="true" hidden="false"/>
    </xf>
    <xf numFmtId="164" fontId="103" fillId="23" borderId="6" xfId="0" applyFont="true" applyBorder="true" applyAlignment="true" applyProtection="false">
      <alignment horizontal="left" vertical="center" textRotation="0" wrapText="true" indent="0" shrinkToFit="false"/>
      <protection locked="true" hidden="false"/>
    </xf>
    <xf numFmtId="164" fontId="69" fillId="0" borderId="7" xfId="0" applyFont="true" applyBorder="true" applyAlignment="true" applyProtection="false">
      <alignment horizontal="center" vertical="bottom" textRotation="0" wrapText="false" indent="0" shrinkToFit="false"/>
      <protection locked="true" hidden="false"/>
    </xf>
    <xf numFmtId="172" fontId="69" fillId="0" borderId="0" xfId="0" applyFont="true" applyBorder="true" applyAlignment="true" applyProtection="false">
      <alignment horizontal="left" vertical="center" textRotation="0" wrapText="false" indent="0" shrinkToFit="false"/>
      <protection locked="true" hidden="false"/>
    </xf>
    <xf numFmtId="164" fontId="193" fillId="23" borderId="105" xfId="0" applyFont="true" applyBorder="true" applyAlignment="true" applyProtection="false">
      <alignment horizontal="left" vertical="center" textRotation="0" wrapText="true" indent="0" shrinkToFit="false"/>
      <protection locked="true" hidden="false"/>
    </xf>
    <xf numFmtId="164" fontId="69" fillId="0" borderId="133" xfId="0" applyFont="true" applyBorder="true" applyAlignment="true" applyProtection="false">
      <alignment horizontal="center" vertical="bottom" textRotation="0" wrapText="false" indent="0" shrinkToFit="false"/>
      <protection locked="true" hidden="false"/>
    </xf>
    <xf numFmtId="172" fontId="69" fillId="0" borderId="24" xfId="0" applyFont="true" applyBorder="true" applyAlignment="true" applyProtection="false">
      <alignment horizontal="left" vertical="center" textRotation="0" wrapText="false" indent="0" shrinkToFit="false"/>
      <protection locked="true" hidden="false"/>
    </xf>
    <xf numFmtId="164" fontId="6" fillId="10" borderId="263" xfId="30" applyFont="true" applyBorder="true" applyAlignment="true" applyProtection="false">
      <alignment horizontal="center" vertical="center" textRotation="0" wrapText="true" indent="0" shrinkToFit="false"/>
      <protection locked="true" hidden="false"/>
    </xf>
    <xf numFmtId="164" fontId="69" fillId="23" borderId="112" xfId="0" applyFont="true" applyBorder="true" applyAlignment="true" applyProtection="false">
      <alignment horizontal="left" vertical="center" textRotation="0" wrapText="true" indent="0" shrinkToFit="false"/>
      <protection locked="true" hidden="false"/>
    </xf>
    <xf numFmtId="164" fontId="69" fillId="23" borderId="136" xfId="0" applyFont="true" applyBorder="true" applyAlignment="true" applyProtection="false">
      <alignment horizontal="center" vertical="center" textRotation="0" wrapText="true" indent="0" shrinkToFit="false"/>
      <protection locked="true" hidden="false"/>
    </xf>
    <xf numFmtId="172" fontId="69" fillId="0" borderId="18" xfId="0" applyFont="true" applyBorder="true" applyAlignment="true" applyProtection="false">
      <alignment horizontal="right" vertical="center" textRotation="0" wrapText="false" indent="0" shrinkToFit="false"/>
      <protection locked="true" hidden="false"/>
    </xf>
    <xf numFmtId="172" fontId="23" fillId="0" borderId="175" xfId="0" applyFont="true" applyBorder="true" applyAlignment="true" applyProtection="false">
      <alignment horizontal="right" vertical="center" textRotation="0" wrapText="false" indent="0" shrinkToFit="false"/>
      <protection locked="true" hidden="false"/>
    </xf>
    <xf numFmtId="164" fontId="69" fillId="23" borderId="6" xfId="0" applyFont="true" applyBorder="true" applyAlignment="true" applyProtection="false">
      <alignment horizontal="left" vertical="center" textRotation="0" wrapText="true" indent="0" shrinkToFit="false"/>
      <protection locked="true" hidden="false"/>
    </xf>
    <xf numFmtId="164" fontId="103" fillId="23" borderId="7" xfId="0" applyFont="true" applyBorder="true" applyAlignment="true" applyProtection="false">
      <alignment horizontal="center" vertical="center" textRotation="0" wrapText="false" indent="0" shrinkToFit="false"/>
      <protection locked="true" hidden="false"/>
    </xf>
    <xf numFmtId="164" fontId="69" fillId="23" borderId="105" xfId="0" applyFont="true" applyBorder="true" applyAlignment="true" applyProtection="false">
      <alignment horizontal="left" vertical="center" textRotation="0" wrapText="true" indent="0" shrinkToFit="false"/>
      <protection locked="true" hidden="false"/>
    </xf>
    <xf numFmtId="164" fontId="103" fillId="23" borderId="133" xfId="0" applyFont="true" applyBorder="true" applyAlignment="true" applyProtection="false">
      <alignment horizontal="center" vertical="center" textRotation="0" wrapText="false" indent="0" shrinkToFit="false"/>
      <protection locked="true" hidden="false"/>
    </xf>
    <xf numFmtId="164" fontId="6" fillId="11" borderId="263" xfId="31" applyFont="true" applyBorder="true" applyAlignment="true" applyProtection="false">
      <alignment horizontal="center" vertical="center" textRotation="0" wrapText="true" indent="0" shrinkToFit="false"/>
      <protection locked="true" hidden="false"/>
    </xf>
    <xf numFmtId="164" fontId="6" fillId="12" borderId="64" xfId="32" applyFont="true" applyBorder="true" applyAlignment="true" applyProtection="false">
      <alignment horizontal="center" vertical="center" textRotation="0" wrapText="true" indent="0" shrinkToFit="false"/>
      <protection locked="true" hidden="false"/>
    </xf>
    <xf numFmtId="164" fontId="69" fillId="23" borderId="264" xfId="0" applyFont="true" applyBorder="true" applyAlignment="true" applyProtection="false">
      <alignment horizontal="left" vertical="center" textRotation="0" wrapText="true" indent="0" shrinkToFit="false"/>
      <protection locked="true" hidden="false"/>
    </xf>
    <xf numFmtId="164" fontId="103" fillId="23" borderId="136" xfId="0" applyFont="true" applyBorder="true" applyAlignment="true" applyProtection="false">
      <alignment horizontal="center" vertical="center" textRotation="0" wrapText="false" indent="0" shrinkToFit="false"/>
      <protection locked="true" hidden="false"/>
    </xf>
    <xf numFmtId="164" fontId="69" fillId="23" borderId="8" xfId="0" applyFont="true" applyBorder="true" applyAlignment="true" applyProtection="false">
      <alignment horizontal="left" vertical="center" textRotation="0" wrapText="true" indent="0" shrinkToFit="false"/>
      <protection locked="true" hidden="false"/>
    </xf>
    <xf numFmtId="164" fontId="69" fillId="23" borderId="265" xfId="0" applyFont="true" applyBorder="true" applyAlignment="true" applyProtection="false">
      <alignment horizontal="left" vertical="center" textRotation="0" wrapText="true" indent="0" shrinkToFit="false"/>
      <protection locked="true" hidden="false"/>
    </xf>
    <xf numFmtId="174" fontId="79" fillId="17" borderId="23" xfId="0" applyFont="true" applyBorder="true" applyAlignment="true" applyProtection="false">
      <alignment horizontal="right" vertical="center" textRotation="0" wrapText="false" indent="0" shrinkToFit="false"/>
      <protection locked="true" hidden="false"/>
    </xf>
    <xf numFmtId="164" fontId="79" fillId="17" borderId="24" xfId="0" applyFont="true" applyBorder="true" applyAlignment="true" applyProtection="false">
      <alignment horizontal="center" vertical="center" textRotation="0" wrapText="false" indent="0" shrinkToFit="false"/>
      <protection locked="true" hidden="false"/>
    </xf>
    <xf numFmtId="164" fontId="79" fillId="17" borderId="25" xfId="0" applyFont="true" applyBorder="true" applyAlignment="true" applyProtection="false">
      <alignment horizontal="left" vertical="center" textRotation="0" wrapText="false" indent="0" shrinkToFit="false"/>
      <protection locked="true" hidden="false"/>
    </xf>
    <xf numFmtId="172" fontId="79" fillId="0" borderId="0" xfId="0" applyFont="true" applyBorder="true" applyAlignment="true" applyProtection="false">
      <alignment horizontal="right" vertical="center" textRotation="0" wrapText="false" indent="0" shrinkToFit="false"/>
      <protection locked="true" hidden="false"/>
    </xf>
    <xf numFmtId="164" fontId="153" fillId="13" borderId="64" xfId="40" applyFont="true" applyBorder="true" applyAlignment="true" applyProtection="false">
      <alignment horizontal="center" vertical="center" textRotation="90" wrapText="true" indent="0" shrinkToFit="false"/>
      <protection locked="true" hidden="false"/>
    </xf>
    <xf numFmtId="164" fontId="5" fillId="13" borderId="151" xfId="33" applyFont="true" applyBorder="true" applyAlignment="true" applyProtection="false">
      <alignment horizontal="center" vertical="center" textRotation="0" wrapText="true" indent="0" shrinkToFit="false"/>
      <protection locked="true" hidden="false"/>
    </xf>
    <xf numFmtId="164" fontId="69" fillId="0" borderId="264" xfId="0" applyFont="true" applyBorder="true" applyAlignment="false" applyProtection="false">
      <alignment horizontal="general" vertical="bottom" textRotation="0" wrapText="false" indent="0" shrinkToFit="false"/>
      <protection locked="true" hidden="false"/>
    </xf>
    <xf numFmtId="174" fontId="79" fillId="0" borderId="165" xfId="0" applyFont="true" applyBorder="true" applyAlignment="true" applyProtection="false">
      <alignment horizontal="right" vertical="center" textRotation="0" wrapText="false" indent="0" shrinkToFit="false"/>
      <protection locked="true" hidden="false"/>
    </xf>
    <xf numFmtId="164" fontId="69" fillId="0" borderId="8" xfId="0" applyFont="true" applyBorder="true" applyAlignment="false" applyProtection="false">
      <alignment horizontal="general" vertical="bottom" textRotation="0" wrapText="false" indent="0" shrinkToFit="false"/>
      <protection locked="true" hidden="false"/>
    </xf>
    <xf numFmtId="164" fontId="69" fillId="0" borderId="265" xfId="0" applyFont="true" applyBorder="true" applyAlignment="false" applyProtection="false">
      <alignment horizontal="general" vertical="bottom" textRotation="0" wrapText="false" indent="0" shrinkToFit="false"/>
      <protection locked="true" hidden="false"/>
    </xf>
    <xf numFmtId="164" fontId="5" fillId="13" borderId="263" xfId="34" applyFont="true" applyBorder="true" applyAlignment="true" applyProtection="false">
      <alignment horizontal="center" vertical="center" textRotation="0" wrapText="false" indent="0" shrinkToFit="false"/>
      <protection locked="true" hidden="false"/>
    </xf>
    <xf numFmtId="164" fontId="5" fillId="4" borderId="263" xfId="35" applyFont="true" applyBorder="true" applyAlignment="true" applyProtection="false">
      <alignment horizontal="center" vertical="center" textRotation="0" wrapText="false" indent="0" shrinkToFit="false"/>
      <protection locked="true" hidden="false"/>
    </xf>
    <xf numFmtId="172" fontId="79" fillId="0" borderId="165" xfId="0" applyFont="true" applyBorder="true" applyAlignment="true" applyProtection="false">
      <alignment horizontal="right" vertical="center" textRotation="0" wrapText="false" indent="0" shrinkToFit="false"/>
      <protection locked="true" hidden="false"/>
    </xf>
    <xf numFmtId="172" fontId="69" fillId="0" borderId="23" xfId="0" applyFont="true" applyBorder="true" applyAlignment="true" applyProtection="false">
      <alignment horizontal="right" vertical="center" textRotation="0" wrapText="false" indent="0" shrinkToFit="false"/>
      <protection locked="true" hidden="false"/>
    </xf>
    <xf numFmtId="164" fontId="5" fillId="14" borderId="64" xfId="36" applyFont="true" applyBorder="true" applyAlignment="true" applyProtection="false">
      <alignment horizontal="center" vertical="center" textRotation="0" wrapText="false" indent="0" shrinkToFit="false"/>
      <protection locked="true" hidden="false"/>
    </xf>
    <xf numFmtId="172" fontId="69" fillId="0" borderId="0" xfId="0" applyFont="true" applyBorder="true" applyAlignment="true" applyProtection="false">
      <alignment horizontal="right" vertical="center" textRotation="0" wrapText="false" indent="0" shrinkToFit="false"/>
      <protection locked="true" hidden="false"/>
    </xf>
    <xf numFmtId="164" fontId="79" fillId="17" borderId="64" xfId="0" applyFont="true" applyBorder="true" applyAlignment="true" applyProtection="false">
      <alignment horizontal="center" vertical="center" textRotation="0" wrapText="true" indent="0" shrinkToFit="false"/>
      <protection locked="true" hidden="false"/>
    </xf>
    <xf numFmtId="164" fontId="192" fillId="0" borderId="0" xfId="0" applyFont="true" applyBorder="true" applyAlignment="true" applyProtection="false">
      <alignment horizontal="right" vertical="bottom" textRotation="0" wrapText="false" indent="0" shrinkToFit="false"/>
      <protection locked="true" hidden="false"/>
    </xf>
    <xf numFmtId="164" fontId="192" fillId="0" borderId="0" xfId="0" applyFont="true" applyBorder="false" applyAlignment="false" applyProtection="false">
      <alignment horizontal="general" vertical="bottom" textRotation="0" wrapText="false" indent="0" shrinkToFit="false"/>
      <protection locked="true" hidden="false"/>
    </xf>
    <xf numFmtId="164" fontId="194" fillId="0" borderId="0" xfId="0" applyFont="true" applyBorder="true" applyAlignment="true" applyProtection="false">
      <alignment horizontal="left" vertical="bottom" textRotation="0" wrapText="false" indent="0" shrinkToFit="false"/>
      <protection locked="true" hidden="false"/>
    </xf>
    <xf numFmtId="164" fontId="192" fillId="0" borderId="0" xfId="0" applyFont="true" applyBorder="true" applyAlignment="true" applyProtection="false">
      <alignment horizontal="left" vertical="bottom" textRotation="0" wrapText="false" indent="0" shrinkToFit="false"/>
      <protection locked="true" hidden="false"/>
    </xf>
    <xf numFmtId="172" fontId="192" fillId="0" borderId="0" xfId="0" applyFont="true" applyBorder="true" applyAlignment="true" applyProtection="false">
      <alignment horizontal="right" vertical="bottom" textRotation="0" wrapText="false" indent="0" shrinkToFit="false"/>
      <protection locked="true" hidden="false"/>
    </xf>
    <xf numFmtId="172" fontId="192" fillId="0" borderId="0" xfId="0" applyFont="true" applyBorder="true" applyAlignment="true" applyProtection="false">
      <alignment horizontal="left" vertical="bottom" textRotation="0" wrapText="false" indent="0" shrinkToFit="false"/>
      <protection locked="true" hidden="false"/>
    </xf>
    <xf numFmtId="164" fontId="192" fillId="0" borderId="0" xfId="0" applyFont="true" applyBorder="true" applyAlignment="true" applyProtection="false">
      <alignment horizontal="right" vertical="center" textRotation="0" wrapText="false" indent="0" shrinkToFit="false"/>
      <protection locked="true" hidden="false"/>
    </xf>
    <xf numFmtId="164" fontId="192" fillId="0" borderId="0" xfId="0" applyFont="true" applyBorder="true" applyAlignment="true" applyProtection="false">
      <alignment horizontal="center" vertical="center" textRotation="0" wrapText="true" indent="0" shrinkToFit="false"/>
      <protection locked="true" hidden="false"/>
    </xf>
    <xf numFmtId="174" fontId="192" fillId="0" borderId="0" xfId="0" applyFont="true" applyBorder="true" applyAlignment="true" applyProtection="false">
      <alignment horizontal="general" vertical="bottom" textRotation="0" wrapText="false" indent="0" shrinkToFit="false"/>
      <protection locked="true" hidden="false"/>
    </xf>
    <xf numFmtId="164" fontId="192" fillId="0" borderId="0" xfId="0" applyFont="true" applyBorder="false" applyAlignment="true" applyProtection="false">
      <alignment horizontal="center" vertical="bottom" textRotation="0" wrapText="false" indent="0" shrinkToFit="false"/>
      <protection locked="true" hidden="false"/>
    </xf>
    <xf numFmtId="164" fontId="192" fillId="0" borderId="0" xfId="0" applyFont="true" applyBorder="false" applyAlignment="true" applyProtection="false">
      <alignment horizontal="left" vertical="bottom" textRotation="0" wrapText="false" indent="0" shrinkToFit="false"/>
      <protection locked="true" hidden="false"/>
    </xf>
    <xf numFmtId="172" fontId="192" fillId="0" borderId="0" xfId="0" applyFont="true" applyBorder="false" applyAlignment="true" applyProtection="false">
      <alignment horizontal="center" vertical="bottom" textRotation="0" wrapText="false" indent="0" shrinkToFit="false"/>
      <protection locked="true" hidden="false"/>
    </xf>
    <xf numFmtId="174" fontId="192" fillId="0" borderId="0" xfId="0" applyFont="true" applyBorder="true" applyAlignment="true" applyProtection="true">
      <alignment horizontal="general" vertical="bottom" textRotation="0" wrapText="false" indent="0" shrinkToFit="false"/>
      <protection locked="false" hidden="false"/>
    </xf>
    <xf numFmtId="172" fontId="192" fillId="0" borderId="0" xfId="0" applyFont="true" applyBorder="true" applyAlignment="true" applyProtection="false">
      <alignment horizontal="general" vertical="bottom" textRotation="0" wrapText="false" indent="0" shrinkToFit="false"/>
      <protection locked="true" hidden="false"/>
    </xf>
    <xf numFmtId="164" fontId="192" fillId="0" borderId="0" xfId="0" applyFont="true" applyBorder="false" applyAlignment="true" applyProtection="false">
      <alignment horizontal="right" vertical="bottom" textRotation="0" wrapText="false" indent="0" shrinkToFit="false"/>
      <protection locked="true" hidden="false"/>
    </xf>
    <xf numFmtId="172" fontId="192" fillId="0" borderId="0" xfId="0" applyFont="true" applyBorder="false" applyAlignment="true" applyProtection="false">
      <alignment horizontal="general" vertical="bottom" textRotation="0" wrapText="false" indent="0" shrinkToFit="false"/>
      <protection locked="true" hidden="false"/>
    </xf>
    <xf numFmtId="167" fontId="192" fillId="0" borderId="0" xfId="0" applyFont="true" applyBorder="false" applyAlignment="true" applyProtection="false">
      <alignment horizontal="center" vertical="center" textRotation="0" wrapText="false" indent="0" shrinkToFit="false"/>
      <protection locked="true" hidden="false"/>
    </xf>
    <xf numFmtId="164" fontId="181" fillId="0" borderId="0" xfId="0" applyFont="true" applyBorder="false" applyAlignment="false" applyProtection="false">
      <alignment horizontal="general" vertical="bottom" textRotation="0" wrapText="false" indent="0" shrinkToFit="false"/>
      <protection locked="true" hidden="false"/>
    </xf>
    <xf numFmtId="164" fontId="181" fillId="0" borderId="0" xfId="0" applyFont="true" applyBorder="false" applyAlignment="true" applyProtection="false">
      <alignment horizontal="right" vertical="center" textRotation="0" wrapText="false" indent="0" shrinkToFit="false"/>
      <protection locked="true" hidden="false"/>
    </xf>
    <xf numFmtId="164" fontId="181" fillId="0" borderId="0" xfId="0" applyFont="true" applyBorder="false" applyAlignment="true" applyProtection="false">
      <alignment horizontal="center" vertical="center" textRotation="0" wrapText="false" indent="0" shrinkToFit="false"/>
      <protection locked="true" hidden="false"/>
    </xf>
    <xf numFmtId="164" fontId="181" fillId="0" borderId="0" xfId="0" applyFont="true" applyBorder="false" applyAlignment="true" applyProtection="false">
      <alignment horizontal="left" vertical="center" textRotation="0" wrapText="false" indent="0" shrinkToFit="false"/>
      <protection locked="true" hidden="false"/>
    </xf>
    <xf numFmtId="164" fontId="181" fillId="0" borderId="0" xfId="0" applyFont="true" applyBorder="false" applyAlignment="true" applyProtection="false">
      <alignment horizontal="right" vertical="bottom" textRotation="0" wrapText="false" indent="0" shrinkToFit="false"/>
      <protection locked="true" hidden="false"/>
    </xf>
    <xf numFmtId="164" fontId="181" fillId="0" borderId="0" xfId="0" applyFont="true" applyBorder="false" applyAlignment="true" applyProtection="false">
      <alignment horizontal="center" vertical="bottom" textRotation="0" wrapText="false" indent="0" shrinkToFit="false"/>
      <protection locked="true" hidden="false"/>
    </xf>
    <xf numFmtId="164" fontId="181" fillId="0" borderId="0" xfId="0" applyFont="true" applyBorder="false" applyAlignment="true" applyProtection="false">
      <alignment horizontal="left" vertical="bottom" textRotation="0" wrapText="false" indent="0" shrinkToFit="false"/>
      <protection locked="true" hidden="false"/>
    </xf>
    <xf numFmtId="164" fontId="195" fillId="0" borderId="0" xfId="0" applyFont="true" applyBorder="true" applyAlignment="true" applyProtection="false">
      <alignment horizontal="right" vertical="bottom" textRotation="0" wrapText="false" indent="0" shrinkToFit="false"/>
      <protection locked="true" hidden="false"/>
    </xf>
    <xf numFmtId="167" fontId="195" fillId="0" borderId="0" xfId="0" applyFont="true" applyBorder="false" applyAlignment="false" applyProtection="false">
      <alignment horizontal="general" vertical="bottom" textRotation="0" wrapText="false" indent="0" shrinkToFit="false"/>
      <protection locked="true" hidden="false"/>
    </xf>
    <xf numFmtId="164" fontId="195" fillId="0" borderId="0" xfId="0" applyFont="true" applyBorder="true" applyAlignment="true" applyProtection="false">
      <alignment horizontal="center" vertical="center" textRotation="0" wrapText="false" indent="0" shrinkToFit="false"/>
      <protection locked="true" hidden="false"/>
    </xf>
    <xf numFmtId="164" fontId="195" fillId="0" borderId="0" xfId="0" applyFont="true" applyBorder="true" applyAlignment="true" applyProtection="false">
      <alignment horizontal="center" vertical="center" textRotation="0" wrapText="true" indent="0" shrinkToFit="false"/>
      <protection locked="true" hidden="false"/>
    </xf>
    <xf numFmtId="164" fontId="195" fillId="0" borderId="0" xfId="0" applyFont="true" applyBorder="false" applyAlignment="true" applyProtection="false">
      <alignment horizontal="center" vertical="bottom" textRotation="0" wrapText="false" indent="0" shrinkToFit="false"/>
      <protection locked="true" hidden="false"/>
    </xf>
    <xf numFmtId="164" fontId="4" fillId="0" borderId="0" xfId="42" applyFont="false" applyBorder="false" applyAlignment="false" applyProtection="false">
      <alignment horizontal="general" vertical="bottom" textRotation="0" wrapText="false" indent="0" shrinkToFit="false"/>
      <protection locked="true" hidden="false"/>
    </xf>
    <xf numFmtId="164" fontId="23" fillId="24" borderId="64" xfId="0" applyFont="true" applyBorder="true" applyAlignment="true" applyProtection="false">
      <alignment horizontal="center" vertical="bottom" textRotation="0" wrapText="true" indent="0" shrinkToFit="false"/>
      <protection locked="true" hidden="false"/>
    </xf>
    <xf numFmtId="164" fontId="5" fillId="17" borderId="64" xfId="0" applyFont="true" applyBorder="true" applyAlignment="true" applyProtection="false">
      <alignment horizontal="center" vertical="bottom" textRotation="0" wrapText="false" indent="0" shrinkToFit="false"/>
      <protection locked="true" hidden="false"/>
    </xf>
    <xf numFmtId="164" fontId="5" fillId="17" borderId="165" xfId="0" applyFont="true" applyBorder="true" applyAlignment="true" applyProtection="false">
      <alignment horizontal="center" vertical="bottom" textRotation="0" wrapText="false" indent="0" shrinkToFit="false"/>
      <protection locked="true" hidden="false"/>
    </xf>
    <xf numFmtId="164" fontId="5" fillId="17" borderId="65" xfId="0" applyFont="true" applyBorder="true" applyAlignment="true" applyProtection="false">
      <alignment horizontal="center" vertical="bottom" textRotation="0" wrapText="false" indent="0" shrinkToFit="false"/>
      <protection locked="true" hidden="false"/>
    </xf>
    <xf numFmtId="164" fontId="5" fillId="17" borderId="18" xfId="0" applyFont="true" applyBorder="true" applyAlignment="true" applyProtection="false">
      <alignment horizontal="center" vertical="bottom" textRotation="0" wrapText="false" indent="0" shrinkToFit="false"/>
      <protection locked="true" hidden="false"/>
    </xf>
    <xf numFmtId="164" fontId="6" fillId="17" borderId="64" xfId="42" applyFont="true" applyBorder="true" applyAlignment="true" applyProtection="false">
      <alignment horizontal="center" vertical="bottom" textRotation="0" wrapText="false" indent="0" shrinkToFit="false"/>
      <protection locked="true" hidden="false"/>
    </xf>
    <xf numFmtId="164" fontId="5" fillId="17" borderId="19" xfId="0" applyFont="true" applyBorder="true" applyAlignment="true" applyProtection="false">
      <alignment horizontal="center" vertical="bottom" textRotation="0" wrapText="false" indent="0" shrinkToFit="false"/>
      <protection locked="true" hidden="false"/>
    </xf>
    <xf numFmtId="170" fontId="17" fillId="0" borderId="48" xfId="0" applyFont="true" applyBorder="true" applyAlignment="true" applyProtection="false">
      <alignment horizontal="center" vertical="center" textRotation="0" wrapText="true" indent="0" shrinkToFit="false"/>
      <protection locked="true" hidden="false"/>
    </xf>
    <xf numFmtId="170" fontId="17" fillId="0" borderId="266" xfId="0" applyFont="true" applyBorder="true" applyAlignment="true" applyProtection="false">
      <alignment horizontal="center" vertical="center" textRotation="0" wrapText="true" indent="0" shrinkToFit="false"/>
      <protection locked="true" hidden="false"/>
    </xf>
    <xf numFmtId="164" fontId="0" fillId="0" borderId="74" xfId="0" applyFont="true" applyBorder="true" applyAlignment="true" applyProtection="false">
      <alignment horizontal="center" vertical="bottom" textRotation="0" wrapText="false" indent="0" shrinkToFit="false"/>
      <protection locked="true" hidden="false"/>
    </xf>
    <xf numFmtId="164" fontId="0" fillId="0" borderId="116" xfId="0" applyFont="true" applyBorder="true" applyAlignment="false" applyProtection="false">
      <alignment horizontal="general" vertical="bottom" textRotation="0" wrapText="false" indent="0" shrinkToFit="false"/>
      <protection locked="true" hidden="false"/>
    </xf>
    <xf numFmtId="164" fontId="4" fillId="0" borderId="67" xfId="42" applyFont="true" applyBorder="true" applyAlignment="true" applyProtection="false">
      <alignment horizontal="general" vertical="bottom" textRotation="0" wrapText="false" indent="0" shrinkToFit="false"/>
      <protection locked="true" hidden="false"/>
    </xf>
    <xf numFmtId="174" fontId="0" fillId="0" borderId="267" xfId="0" applyFont="false" applyBorder="true" applyAlignment="true" applyProtection="false">
      <alignment horizontal="center" vertical="bottom" textRotation="0" wrapText="false" indent="0" shrinkToFit="false"/>
      <protection locked="true" hidden="false"/>
    </xf>
    <xf numFmtId="174" fontId="0" fillId="0" borderId="67" xfId="0" applyFont="false" applyBorder="true" applyAlignment="true" applyProtection="false">
      <alignment horizontal="center" vertical="bottom" textRotation="0" wrapText="false" indent="0" shrinkToFit="false"/>
      <protection locked="true" hidden="false"/>
    </xf>
    <xf numFmtId="170" fontId="17" fillId="0" borderId="54" xfId="0" applyFont="true" applyBorder="true" applyAlignment="true" applyProtection="false">
      <alignment horizontal="center" vertical="center" textRotation="0" wrapText="true" indent="0" shrinkToFit="false"/>
      <protection locked="true" hidden="false"/>
    </xf>
    <xf numFmtId="170" fontId="17" fillId="0" borderId="100" xfId="0" applyFont="true" applyBorder="true" applyAlignment="true" applyProtection="false">
      <alignment horizontal="center" vertical="center" textRotation="0" wrapText="true" indent="0" shrinkToFit="false"/>
      <protection locked="true" hidden="false"/>
    </xf>
    <xf numFmtId="164" fontId="0" fillId="0" borderId="71" xfId="0" applyFont="true" applyBorder="true" applyAlignment="true" applyProtection="false">
      <alignment horizontal="center" vertical="bottom" textRotation="0" wrapText="false" indent="0" shrinkToFit="false"/>
      <protection locked="true" hidden="false"/>
    </xf>
    <xf numFmtId="164" fontId="0" fillId="0" borderId="117" xfId="0" applyFont="true" applyBorder="true" applyAlignment="false" applyProtection="false">
      <alignment horizontal="general" vertical="bottom" textRotation="0" wrapText="false" indent="0" shrinkToFit="false"/>
      <protection locked="true" hidden="false"/>
    </xf>
    <xf numFmtId="164" fontId="4" fillId="0" borderId="71" xfId="42" applyFont="true" applyBorder="true" applyAlignment="true" applyProtection="false">
      <alignment horizontal="general" vertical="bottom" textRotation="0" wrapText="false" indent="0" shrinkToFit="false"/>
      <protection locked="true" hidden="false"/>
    </xf>
    <xf numFmtId="174" fontId="0" fillId="0" borderId="39" xfId="0" applyFont="false" applyBorder="true" applyAlignment="true" applyProtection="false">
      <alignment horizontal="center" vertical="bottom" textRotation="0" wrapText="false" indent="0" shrinkToFit="false"/>
      <protection locked="true" hidden="false"/>
    </xf>
    <xf numFmtId="170" fontId="17" fillId="0" borderId="125" xfId="0" applyFont="true" applyBorder="true" applyAlignment="true" applyProtection="false">
      <alignment horizontal="center" vertical="center" textRotation="0" wrapText="true" indent="0" shrinkToFit="false"/>
      <protection locked="true" hidden="false"/>
    </xf>
    <xf numFmtId="170" fontId="17" fillId="0" borderId="158" xfId="0" applyFont="true" applyBorder="true" applyAlignment="true" applyProtection="false">
      <alignment horizontal="center" vertical="center" textRotation="0" wrapText="true" indent="0" shrinkToFit="false"/>
      <protection locked="true" hidden="false"/>
    </xf>
    <xf numFmtId="164" fontId="0" fillId="0" borderId="71" xfId="0" applyFont="true" applyBorder="true" applyAlignment="true" applyProtection="false">
      <alignment horizontal="center" vertical="center" textRotation="0" wrapText="false" indent="0" shrinkToFit="false"/>
      <protection locked="true" hidden="false"/>
    </xf>
    <xf numFmtId="164" fontId="0" fillId="0" borderId="117" xfId="0" applyFont="true" applyBorder="true" applyAlignment="true" applyProtection="false">
      <alignment horizontal="general" vertical="center" textRotation="0" wrapText="false" indent="0" shrinkToFit="false"/>
      <protection locked="true" hidden="false"/>
    </xf>
    <xf numFmtId="164" fontId="4" fillId="0" borderId="71" xfId="42" applyFont="true" applyBorder="true" applyAlignment="true" applyProtection="false">
      <alignment horizontal="general" vertical="center" textRotation="0" wrapText="true" indent="0" shrinkToFit="false"/>
      <protection locked="true" hidden="false"/>
    </xf>
    <xf numFmtId="174" fontId="0" fillId="0" borderId="39" xfId="0" applyFont="false" applyBorder="true" applyAlignment="true" applyProtection="false">
      <alignment horizontal="center" vertical="center" textRotation="0" wrapText="false" indent="0" shrinkToFit="false"/>
      <protection locked="true" hidden="false"/>
    </xf>
    <xf numFmtId="164" fontId="27" fillId="0" borderId="74" xfId="0" applyFont="true" applyBorder="true" applyAlignment="true" applyProtection="false">
      <alignment horizontal="center" vertical="bottom" textRotation="0" wrapText="false" indent="0" shrinkToFit="false"/>
      <protection locked="true" hidden="false"/>
    </xf>
    <xf numFmtId="174" fontId="27" fillId="0" borderId="267" xfId="0" applyFont="true" applyBorder="true" applyAlignment="true" applyProtection="false">
      <alignment horizontal="center" vertical="bottom" textRotation="0" wrapText="false" indent="0" shrinkToFit="false"/>
      <protection locked="true" hidden="false"/>
    </xf>
    <xf numFmtId="164" fontId="27" fillId="0" borderId="71" xfId="0" applyFont="true" applyBorder="true" applyAlignment="true" applyProtection="false">
      <alignment horizontal="center" vertical="bottom" textRotation="0" wrapText="false" indent="0" shrinkToFit="false"/>
      <protection locked="true" hidden="false"/>
    </xf>
    <xf numFmtId="174" fontId="27" fillId="0" borderId="39" xfId="0" applyFont="true" applyBorder="true" applyAlignment="true" applyProtection="false">
      <alignment horizontal="center" vertical="bottom" textRotation="0" wrapText="false" indent="0" shrinkToFit="false"/>
      <protection locked="true" hidden="false"/>
    </xf>
    <xf numFmtId="164" fontId="27" fillId="0" borderId="72" xfId="0" applyFont="true" applyBorder="true" applyAlignment="true" applyProtection="false">
      <alignment horizontal="center" vertical="bottom" textRotation="0" wrapText="false" indent="0" shrinkToFit="false"/>
      <protection locked="true" hidden="false"/>
    </xf>
    <xf numFmtId="174" fontId="27" fillId="0" borderId="268" xfId="0" applyFont="true" applyBorder="true" applyAlignment="true" applyProtection="false">
      <alignment horizontal="center" vertical="bottom" textRotation="0" wrapText="false" indent="0" shrinkToFit="false"/>
      <protection locked="true" hidden="false"/>
    </xf>
    <xf numFmtId="164" fontId="27" fillId="0" borderId="74" xfId="0" applyFont="true" applyBorder="true" applyAlignment="true" applyProtection="false">
      <alignment horizontal="center" vertical="center" textRotation="0" wrapText="false" indent="0" shrinkToFit="false"/>
      <protection locked="true" hidden="false"/>
    </xf>
    <xf numFmtId="174" fontId="27" fillId="0" borderId="267" xfId="0" applyFont="true" applyBorder="true" applyAlignment="true" applyProtection="false">
      <alignment horizontal="center" vertical="center" textRotation="0" wrapText="false" indent="0" shrinkToFit="false"/>
      <protection locked="true" hidden="false"/>
    </xf>
    <xf numFmtId="164" fontId="27" fillId="0" borderId="71" xfId="0" applyFont="true" applyBorder="true" applyAlignment="true" applyProtection="false">
      <alignment horizontal="center" vertical="center" textRotation="0" wrapText="false" indent="0" shrinkToFit="false"/>
      <protection locked="true" hidden="false"/>
    </xf>
    <xf numFmtId="174" fontId="27" fillId="0" borderId="39" xfId="0" applyFont="true" applyBorder="true" applyAlignment="true" applyProtection="false">
      <alignment horizontal="center" vertical="center" textRotation="0" wrapText="false" indent="0" shrinkToFit="false"/>
      <protection locked="true" hidden="false"/>
    </xf>
    <xf numFmtId="164" fontId="0" fillId="0" borderId="72" xfId="0" applyFont="true" applyBorder="true" applyAlignment="true" applyProtection="false">
      <alignment horizontal="center" vertical="bottom" textRotation="0" wrapText="false" indent="0" shrinkToFit="false"/>
      <protection locked="true" hidden="false"/>
    </xf>
    <xf numFmtId="164" fontId="0" fillId="0" borderId="177" xfId="0" applyFont="true" applyBorder="true" applyAlignment="false" applyProtection="false">
      <alignment horizontal="general" vertical="bottom" textRotation="0" wrapText="false" indent="0" shrinkToFit="false"/>
      <protection locked="true" hidden="false"/>
    </xf>
    <xf numFmtId="164" fontId="4" fillId="0" borderId="72" xfId="42" applyFont="true" applyBorder="true" applyAlignment="true" applyProtection="false">
      <alignment horizontal="general" vertical="bottom" textRotation="0" wrapText="false" indent="0" shrinkToFit="false"/>
      <protection locked="true" hidden="false"/>
    </xf>
    <xf numFmtId="174" fontId="0" fillId="0" borderId="268" xfId="0" applyFont="false" applyBorder="true" applyAlignment="true" applyProtection="false">
      <alignment horizontal="center" vertical="bottom" textRotation="0" wrapText="false" indent="0" shrinkToFit="false"/>
      <protection locked="true" hidden="false"/>
    </xf>
    <xf numFmtId="164" fontId="27" fillId="0" borderId="72" xfId="0" applyFont="true" applyBorder="true" applyAlignment="true" applyProtection="false">
      <alignment horizontal="center" vertical="center" textRotation="0" wrapText="false" indent="0" shrinkToFit="false"/>
      <protection locked="true" hidden="false"/>
    </xf>
    <xf numFmtId="174" fontId="27" fillId="0" borderId="268" xfId="0" applyFont="true" applyBorder="true" applyAlignment="true" applyProtection="false">
      <alignment horizontal="center" vertical="center" textRotation="0" wrapText="false" indent="0" shrinkToFit="false"/>
      <protection locked="true" hidden="false"/>
    </xf>
    <xf numFmtId="164" fontId="27" fillId="0" borderId="185" xfId="0" applyFont="true" applyBorder="true" applyAlignment="true" applyProtection="false">
      <alignment horizontal="center" vertical="bottom" textRotation="0" wrapText="false" indent="0" shrinkToFit="false"/>
      <protection locked="true" hidden="false"/>
    </xf>
    <xf numFmtId="174" fontId="27" fillId="0" borderId="48" xfId="0" applyFont="true" applyBorder="true" applyAlignment="true" applyProtection="false">
      <alignment horizontal="center" vertical="bottom" textRotation="0" wrapText="false" indent="0" shrinkToFit="false"/>
      <protection locked="true" hidden="false"/>
    </xf>
    <xf numFmtId="164" fontId="27" fillId="0" borderId="59" xfId="0" applyFont="true" applyBorder="true" applyAlignment="true" applyProtection="false">
      <alignment horizontal="center" vertical="bottom" textRotation="0" wrapText="false" indent="0" shrinkToFit="false"/>
      <protection locked="true" hidden="false"/>
    </xf>
    <xf numFmtId="174" fontId="27" fillId="0" borderId="54" xfId="0" applyFont="true" applyBorder="true" applyAlignment="true" applyProtection="false">
      <alignment horizontal="center" vertical="bottom" textRotation="0" wrapText="false" indent="0" shrinkToFit="false"/>
      <protection locked="true" hidden="false"/>
    </xf>
    <xf numFmtId="164" fontId="0" fillId="0" borderId="116" xfId="0" applyFont="true" applyBorder="true" applyAlignment="true" applyProtection="false">
      <alignment horizontal="center" vertical="bottom" textRotation="0" wrapText="false" indent="0" shrinkToFit="false"/>
      <protection locked="true" hidden="false"/>
    </xf>
    <xf numFmtId="164" fontId="4" fillId="0" borderId="76" xfId="42" applyFont="true" applyBorder="true" applyAlignment="true" applyProtection="false">
      <alignment horizontal="general" vertical="center" textRotation="0" wrapText="false" indent="0" shrinkToFit="false"/>
      <protection locked="true" hidden="false"/>
    </xf>
    <xf numFmtId="164" fontId="0" fillId="0" borderId="117" xfId="0" applyFont="true" applyBorder="true" applyAlignment="true" applyProtection="false">
      <alignment horizontal="center" vertical="bottom" textRotation="0" wrapText="false" indent="0" shrinkToFit="false"/>
      <protection locked="true" hidden="false"/>
    </xf>
    <xf numFmtId="164" fontId="4" fillId="0" borderId="80" xfId="42" applyFont="true" applyBorder="true" applyAlignment="true" applyProtection="false">
      <alignment horizontal="general" vertical="center" textRotation="0" wrapText="false" indent="0" shrinkToFit="false"/>
      <protection locked="true" hidden="false"/>
    </xf>
    <xf numFmtId="164" fontId="4" fillId="0" borderId="37" xfId="42" applyFont="true" applyBorder="true" applyAlignment="true" applyProtection="false">
      <alignment horizontal="center" vertical="center" textRotation="0" wrapText="false" indent="0" shrinkToFit="false"/>
      <protection locked="true" hidden="false"/>
    </xf>
    <xf numFmtId="164" fontId="27" fillId="0" borderId="157" xfId="0" applyFont="true" applyBorder="true" applyAlignment="true" applyProtection="false">
      <alignment horizontal="center" vertical="bottom" textRotation="0" wrapText="false" indent="0" shrinkToFit="false"/>
      <protection locked="true" hidden="false"/>
    </xf>
    <xf numFmtId="174" fontId="27" fillId="0" borderId="125" xfId="0" applyFont="true" applyBorder="true" applyAlignment="true" applyProtection="false">
      <alignment horizontal="center" vertical="bottom" textRotation="0" wrapText="false" indent="0" shrinkToFit="false"/>
      <protection locked="true" hidden="false"/>
    </xf>
    <xf numFmtId="164" fontId="27" fillId="23" borderId="185" xfId="0" applyFont="true" applyBorder="true" applyAlignment="true" applyProtection="false">
      <alignment horizontal="center" vertical="center" textRotation="0" wrapText="true" indent="0" shrinkToFit="false"/>
      <protection locked="true" hidden="false"/>
    </xf>
    <xf numFmtId="174" fontId="27" fillId="23" borderId="48" xfId="0" applyFont="true" applyBorder="true" applyAlignment="true" applyProtection="false">
      <alignment horizontal="center" vertical="center" textRotation="0" wrapText="true" indent="0" shrinkToFit="false"/>
      <protection locked="true" hidden="false"/>
    </xf>
    <xf numFmtId="164" fontId="17" fillId="23" borderId="59" xfId="0" applyFont="true" applyBorder="true" applyAlignment="true" applyProtection="false">
      <alignment horizontal="center" vertical="center" textRotation="0" wrapText="false" indent="0" shrinkToFit="false"/>
      <protection locked="true" hidden="false"/>
    </xf>
    <xf numFmtId="174" fontId="17" fillId="23" borderId="54" xfId="0" applyFont="true" applyBorder="true" applyAlignment="true" applyProtection="false">
      <alignment horizontal="center" vertical="center" textRotation="0" wrapText="false" indent="0" shrinkToFit="false"/>
      <protection locked="true" hidden="false"/>
    </xf>
    <xf numFmtId="164" fontId="17" fillId="23" borderId="157" xfId="0" applyFont="true" applyBorder="true" applyAlignment="true" applyProtection="false">
      <alignment horizontal="center" vertical="center" textRotation="0" wrapText="false" indent="0" shrinkToFit="false"/>
      <protection locked="true" hidden="false"/>
    </xf>
    <xf numFmtId="174" fontId="17" fillId="23" borderId="125" xfId="0" applyFont="true" applyBorder="true" applyAlignment="true" applyProtection="false">
      <alignment horizontal="center" vertical="center" textRotation="0" wrapText="false" indent="0" shrinkToFit="false"/>
      <protection locked="true" hidden="false"/>
    </xf>
    <xf numFmtId="164" fontId="17" fillId="23" borderId="185" xfId="0" applyFont="true" applyBorder="true" applyAlignment="true" applyProtection="false">
      <alignment horizontal="center" vertical="center" textRotation="0" wrapText="false" indent="0" shrinkToFit="false"/>
      <protection locked="true" hidden="false"/>
    </xf>
    <xf numFmtId="174" fontId="17" fillId="23" borderId="48" xfId="0" applyFont="true" applyBorder="true" applyAlignment="true" applyProtection="false">
      <alignment horizontal="center" vertical="center" textRotation="0" wrapText="false" indent="0" shrinkToFit="false"/>
      <protection locked="true" hidden="false"/>
    </xf>
    <xf numFmtId="174" fontId="27" fillId="0" borderId="266" xfId="0" applyFont="true" applyBorder="true" applyAlignment="true" applyProtection="false">
      <alignment horizontal="center" vertical="bottom" textRotation="0" wrapText="false" indent="0" shrinkToFit="false"/>
      <protection locked="true" hidden="false"/>
    </xf>
    <xf numFmtId="174" fontId="27" fillId="0" borderId="100" xfId="0" applyFont="true" applyBorder="true" applyAlignment="true" applyProtection="false">
      <alignment horizontal="center" vertical="bottom" textRotation="0" wrapText="false" indent="0" shrinkToFit="false"/>
      <protection locked="true" hidden="false"/>
    </xf>
    <xf numFmtId="174" fontId="27" fillId="0" borderId="158" xfId="0" applyFont="true" applyBorder="true" applyAlignment="true" applyProtection="false">
      <alignment horizontal="center" vertical="bottom" textRotation="0" wrapText="false" indent="0" shrinkToFit="false"/>
      <protection locked="true" hidden="false"/>
    </xf>
    <xf numFmtId="172" fontId="0" fillId="0" borderId="71" xfId="0" applyFont="false" applyBorder="true" applyAlignment="true" applyProtection="false">
      <alignment horizontal="center" vertical="bottom" textRotation="0" wrapText="false" indent="0" shrinkToFit="false"/>
      <protection locked="true" hidden="false"/>
    </xf>
    <xf numFmtId="164" fontId="4" fillId="0" borderId="84" xfId="42" applyFont="true" applyBorder="true" applyAlignment="true" applyProtection="false">
      <alignment horizontal="general" vertical="center" textRotation="0" wrapText="false" indent="0" shrinkToFit="false"/>
      <protection locked="true" hidden="false"/>
    </xf>
    <xf numFmtId="164" fontId="4" fillId="0" borderId="86" xfId="42" applyFont="true" applyBorder="true" applyAlignment="true" applyProtection="false">
      <alignment horizontal="center" vertical="center" textRotation="0" wrapText="false" indent="0" shrinkToFit="false"/>
      <protection locked="true" hidden="false"/>
    </xf>
  </cellXfs>
  <cellStyles count="39">
    <cellStyle name="Normal" xfId="0" builtinId="0"/>
    <cellStyle name="Comma" xfId="15" builtinId="3"/>
    <cellStyle name="Comma [0]" xfId="16" builtinId="6"/>
    <cellStyle name="Currency" xfId="17" builtinId="4"/>
    <cellStyle name="Currency [0]" xfId="18" builtinId="7"/>
    <cellStyle name="Percent" xfId="19" builtinId="5"/>
    <cellStyle name="20 % - Dim A" xfId="21"/>
    <cellStyle name="20 % - Dim B" xfId="22"/>
    <cellStyle name="20 % - Dim C" xfId="23"/>
    <cellStyle name="A compo 1" xfId="24"/>
    <cellStyle name="A compo 2" xfId="25"/>
    <cellStyle name="A compo 3" xfId="26"/>
    <cellStyle name="A compo 4" xfId="27"/>
    <cellStyle name="A compo 5" xfId="28"/>
    <cellStyle name="B compo 1" xfId="29"/>
    <cellStyle name="B compo 2" xfId="30"/>
    <cellStyle name="B compo 3" xfId="31"/>
    <cellStyle name="B compo 4" xfId="32"/>
    <cellStyle name="C compo 1" xfId="33"/>
    <cellStyle name="C compo 2" xfId="34"/>
    <cellStyle name="C compo 3" xfId="35"/>
    <cellStyle name="C compo 4" xfId="36"/>
    <cellStyle name="Coef" xfId="37"/>
    <cellStyle name="Dim A" xfId="38"/>
    <cellStyle name="Dim B" xfId="39"/>
    <cellStyle name="Dim C" xfId="40"/>
    <cellStyle name="Gris" xfId="41"/>
    <cellStyle name="Normal 2" xfId="42"/>
    <cellStyle name="Notes" xfId="43"/>
    <cellStyle name="Result inte." xfId="44"/>
    <cellStyle name="Saisie" xfId="45"/>
    <cellStyle name="Style 1" xfId="46"/>
    <cellStyle name="Style 1 2" xfId="47"/>
    <cellStyle name="Titre orange" xfId="48"/>
    <cellStyle name="Titre tableau" xfId="49"/>
    <cellStyle name="Unité" xfId="50"/>
    <cellStyle name="Excel_BuiltIn_Accent1" xfId="51"/>
    <cellStyle name="*unknown*" xfId="20" builtinId="8"/>
    <cellStyle name="Excel_BuiltIn_Commentaire" xfId="52"/>
  </cellStyles>
  <colors>
    <indexedColors>
      <rgbColor rgb="FF000000"/>
      <rgbColor rgb="FFFFFFFF"/>
      <rgbColor rgb="FFFF0000"/>
      <rgbColor rgb="FF00FF00"/>
      <rgbColor rgb="FF0000FF"/>
      <rgbColor rgb="FFFFFF00"/>
      <rgbColor rgb="FFFF00FF"/>
      <rgbColor rgb="FF92D050"/>
      <rgbColor rgb="FF800000"/>
      <rgbColor rgb="FF008000"/>
      <rgbColor rgb="FF000080"/>
      <rgbColor rgb="FF808000"/>
      <rgbColor rgb="FF800080"/>
      <rgbColor rgb="FF008080"/>
      <rgbColor rgb="FFC0C0C0"/>
      <rgbColor rgb="FF808080"/>
      <rgbColor rgb="FFB9CDE5"/>
      <rgbColor rgb="FFC0504D"/>
      <rgbColor rgb="FFFFFFCC"/>
      <rgbColor rgb="FFCCFFFF"/>
      <rgbColor rgb="FF660066"/>
      <rgbColor rgb="FFFF8080"/>
      <rgbColor rgb="FF0066CC"/>
      <rgbColor rgb="FFCCCCFF"/>
      <rgbColor rgb="FF000080"/>
      <rgbColor rgb="FFFCD5B5"/>
      <rgbColor rgb="FFFFC000"/>
      <rgbColor rgb="FFD7E4BD"/>
      <rgbColor rgb="FF600C7A"/>
      <rgbColor rgb="FFFEFEFE"/>
      <rgbColor rgb="FF9BBB59"/>
      <rgbColor rgb="FF0000FF"/>
      <rgbColor rgb="FF00CCFF"/>
      <rgbColor rgb="FFEBF1DE"/>
      <rgbColor rgb="FFCCFFCC"/>
      <rgbColor rgb="FFFFFF99"/>
      <rgbColor rgb="FF99CCFF"/>
      <rgbColor rgb="FFFF99CC"/>
      <rgbColor rgb="FFCC99FF"/>
      <rgbColor rgb="FFFFCC99"/>
      <rgbColor rgb="FF3366FF"/>
      <rgbColor rgb="FF33CCCC"/>
      <rgbColor rgb="FF99CC00"/>
      <rgbColor rgb="FFFFCC00"/>
      <rgbColor rgb="FFFF9900"/>
      <rgbColor rgb="FFFF6600"/>
      <rgbColor rgb="FF4F81BD"/>
      <rgbColor rgb="FF969696"/>
      <rgbColor rgb="FF003366"/>
      <rgbColor rgb="FF339966"/>
      <rgbColor rgb="FF17375E"/>
      <rgbColor rgb="FF333300"/>
      <rgbColor rgb="FFE46C0A"/>
      <rgbColor rgb="FFFFCC98"/>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200" spc="-1" strike="noStrike">
                <a:solidFill>
                  <a:srgbClr val="000000"/>
                </a:solidFill>
                <a:latin typeface="Calibri"/>
              </a:defRPr>
            </a:pPr>
            <a:r>
              <a:rPr b="1" sz="1200" spc="-1" strike="noStrike">
                <a:solidFill>
                  <a:srgbClr val="000000"/>
                </a:solidFill>
                <a:latin typeface="Calibri"/>
              </a:rPr>
              <a:t>Représentation graphique des dimensions de la durabilité de l'exploitation agricole</a:t>
            </a:r>
          </a:p>
        </c:rich>
      </c:tx>
      <c:layout>
        <c:manualLayout>
          <c:xMode val="edge"/>
          <c:yMode val="edge"/>
          <c:x val="0.147452062615978"/>
          <c:y val="0.0949439270100741"/>
        </c:manualLayout>
      </c:layout>
      <c:overlay val="0"/>
      <c:spPr>
        <a:noFill/>
        <a:ln>
          <a:noFill/>
        </a:ln>
      </c:spPr>
    </c:title>
    <c:autoTitleDeleted val="0"/>
    <c:plotArea>
      <c:layout>
        <c:manualLayout>
          <c:xMode val="edge"/>
          <c:yMode val="edge"/>
          <c:x val="0.053623257363087"/>
          <c:y val="0.249952480517012"/>
          <c:w val="0.924584859875339"/>
          <c:h val="0.729994297662041"/>
        </c:manualLayout>
      </c:layout>
      <c:barChart>
        <c:barDir val="col"/>
        <c:grouping val="stacked"/>
        <c:varyColors val="0"/>
        <c:ser>
          <c:idx val="0"/>
          <c:order val="0"/>
          <c:spPr>
            <a:gradFill>
              <a:gsLst>
                <a:gs pos="0">
                  <a:srgbClr val="ffcc98"/>
                </a:gs>
                <a:gs pos="100000">
                  <a:srgbClr val="ffc000"/>
                </a:gs>
              </a:gsLst>
              <a:lin ang="5400000"/>
            </a:gradFill>
            <a:ln w="12600">
              <a:solidFill>
                <a:srgbClr val="ffcc00"/>
              </a:solidFill>
              <a:round/>
            </a:ln>
          </c:spPr>
          <c:invertIfNegative val="0"/>
          <c:dLbls>
            <c:numFmt formatCode="0" sourceLinked="1"/>
            <c:txPr>
              <a:bodyPr/>
              <a:lstStyle/>
              <a:p>
                <a:pPr>
                  <a:defRPr b="0" sz="1000" spc="-1" strike="noStrike">
                    <a:solidFill>
                      <a:srgbClr val="000000"/>
                    </a:solidFill>
                    <a:latin typeface="Calibri"/>
                  </a:defRPr>
                </a:pPr>
              </a:p>
            </c:txPr>
            <c:dLblPos val="ctr"/>
            <c:showLegendKey val="0"/>
            <c:showVal val="1"/>
            <c:showCatName val="0"/>
            <c:showSerName val="0"/>
            <c:showPercent val="0"/>
            <c:separator>
</c:separator>
            <c:showLeaderLines val="0"/>
          </c:dLbls>
          <c:cat>
            <c:strRef>
              <c:f>'Bilan durabilité'!$D$85:$D$87</c:f>
              <c:strCache>
                <c:ptCount val="3"/>
                <c:pt idx="0">
                  <c:v>Durabilité agroécologique</c:v>
                </c:pt>
                <c:pt idx="1">
                  <c:v>Durabilité socioterritoriale</c:v>
                </c:pt>
                <c:pt idx="2">
                  <c:v>Durabilité économique</c:v>
                </c:pt>
              </c:strCache>
            </c:strRef>
          </c:cat>
          <c:val>
            <c:numRef>
              <c:f>'Bilan durabilité'!$E$85:$E$87</c:f>
              <c:numCache>
                <c:formatCode>General</c:formatCode>
                <c:ptCount val="3"/>
                <c:pt idx="0">
                  <c:v>52</c:v>
                </c:pt>
                <c:pt idx="1">
                  <c:v>72</c:v>
                </c:pt>
                <c:pt idx="2">
                  <c:v>68</c:v>
                </c:pt>
              </c:numCache>
            </c:numRef>
          </c:val>
        </c:ser>
        <c:gapWidth val="55"/>
        <c:overlap val="100"/>
        <c:axId val="47293748"/>
        <c:axId val="47133564"/>
      </c:barChart>
      <c:lineChart>
        <c:grouping val="stacked"/>
        <c:varyColors val="0"/>
        <c:ser>
          <c:idx val="1"/>
          <c:order val="1"/>
          <c:tx>
            <c:strRef>
              <c:f>'Bilan durabilité'!$D$88</c:f>
              <c:strCache>
                <c:ptCount val="1"/>
                <c:pt idx="0">
                  <c:v>Durabilité globale</c:v>
                </c:pt>
              </c:strCache>
            </c:strRef>
          </c:tx>
          <c:spPr>
            <a:solidFill>
              <a:srgbClr val="ff8080"/>
            </a:solidFill>
            <a:ln w="37800">
              <a:solidFill>
                <a:srgbClr val="ff8080"/>
              </a:solidFill>
              <a:round/>
            </a:ln>
          </c:spPr>
          <c:marker>
            <c:symbol val="dash"/>
            <c:size val="24"/>
            <c:spPr>
              <a:solidFill>
                <a:srgbClr val="ff8080"/>
              </a:solidFill>
            </c:spPr>
          </c:marker>
          <c:dLbls>
            <c:numFmt formatCode="General" sourceLinked="1"/>
            <c:txPr>
              <a:bodyPr/>
              <a:lstStyle/>
              <a:p>
                <a:pPr>
                  <a:defRPr b="0" sz="1000" spc="-1" strike="noStrike">
                    <a:latin typeface="Arial"/>
                  </a:defRPr>
                </a:pPr>
              </a:p>
            </c:txPr>
            <c:dLblPos val="r"/>
            <c:showLegendKey val="0"/>
            <c:showVal val="0"/>
            <c:showCatName val="0"/>
            <c:showSerName val="0"/>
            <c:showPercent val="0"/>
            <c:separator> </c:separator>
            <c:showLeaderLines val="0"/>
          </c:dLbls>
          <c:cat>
            <c:strRef>
              <c:f>'Bilan durabilité'!$D$85:$D$87</c:f>
              <c:strCache>
                <c:ptCount val="3"/>
                <c:pt idx="0">
                  <c:v>Durabilité agroécologique</c:v>
                </c:pt>
                <c:pt idx="1">
                  <c:v>Durabilité socioterritoriale</c:v>
                </c:pt>
                <c:pt idx="2">
                  <c:v>Durabilité économique</c:v>
                </c:pt>
              </c:strCache>
            </c:strRef>
          </c:cat>
          <c:val>
            <c:numRef>
              <c:f>'Bilan durabilité'!$D$81:$D$83</c:f>
              <c:numCache>
                <c:formatCode>General</c:formatCode>
                <c:ptCount val="3"/>
                <c:pt idx="0">
                  <c:v/>
                </c:pt>
                <c:pt idx="1">
                  <c:v/>
                </c:pt>
                <c:pt idx="2">
                  <c:v/>
                </c:pt>
              </c:numCache>
            </c:numRef>
          </c:val>
          <c:smooth val="0"/>
        </c:ser>
        <c:hiLowLines>
          <c:spPr>
            <a:ln>
              <a:noFill/>
            </a:ln>
          </c:spPr>
        </c:hiLowLines>
        <c:marker val="1"/>
        <c:axId val="47293748"/>
        <c:axId val="47133564"/>
      </c:lineChart>
      <c:catAx>
        <c:axId val="47293748"/>
        <c:scaling>
          <c:orientation val="minMax"/>
        </c:scaling>
        <c:delete val="0"/>
        <c:axPos val="b"/>
        <c:numFmt formatCode="General" sourceLinked="1"/>
        <c:majorTickMark val="none"/>
        <c:minorTickMark val="none"/>
        <c:tickLblPos val="nextTo"/>
        <c:spPr>
          <a:ln w="12600">
            <a:solidFill>
              <a:srgbClr val="808080"/>
            </a:solidFill>
            <a:round/>
          </a:ln>
        </c:spPr>
        <c:txPr>
          <a:bodyPr/>
          <a:lstStyle/>
          <a:p>
            <a:pPr>
              <a:defRPr b="0" sz="1000" spc="-1" strike="noStrike">
                <a:solidFill>
                  <a:srgbClr val="000000"/>
                </a:solidFill>
                <a:latin typeface="Calibri"/>
              </a:defRPr>
            </a:pPr>
          </a:p>
        </c:txPr>
        <c:crossAx val="47133564"/>
        <c:crosses val="autoZero"/>
        <c:auto val="1"/>
        <c:lblAlgn val="ctr"/>
        <c:lblOffset val="100"/>
      </c:catAx>
      <c:valAx>
        <c:axId val="47133564"/>
        <c:scaling>
          <c:orientation val="minMax"/>
          <c:max val="100"/>
        </c:scaling>
        <c:delete val="0"/>
        <c:axPos val="l"/>
        <c:majorGridlines>
          <c:spPr>
            <a:ln w="12600">
              <a:solidFill>
                <a:srgbClr val="808080"/>
              </a:solidFill>
              <a:round/>
            </a:ln>
          </c:spPr>
        </c:majorGridlines>
        <c:numFmt formatCode="General" sourceLinked="0"/>
        <c:majorTickMark val="none"/>
        <c:minorTickMark val="none"/>
        <c:tickLblPos val="nextTo"/>
        <c:spPr>
          <a:ln w="12600">
            <a:solidFill>
              <a:srgbClr val="808080"/>
            </a:solidFill>
            <a:round/>
          </a:ln>
        </c:spPr>
        <c:txPr>
          <a:bodyPr/>
          <a:lstStyle/>
          <a:p>
            <a:pPr>
              <a:defRPr b="0" sz="1000" spc="-1" strike="noStrike">
                <a:solidFill>
                  <a:srgbClr val="000000"/>
                </a:solidFill>
                <a:latin typeface="Calibri"/>
              </a:defRPr>
            </a:pPr>
          </a:p>
        </c:txPr>
        <c:crossAx val="47293748"/>
        <c:crossesAt val="1"/>
      </c:valAx>
      <c:spPr>
        <a:solidFill>
          <a:srgbClr val="ffffff"/>
        </a:solidFill>
        <a:ln>
          <a:noFill/>
        </a:ln>
      </c:spPr>
    </c:plotArea>
    <c:plotVisOnly val="1"/>
    <c:dispBlanksAs val="gap"/>
  </c:chart>
  <c:spPr>
    <a:solidFill>
      <a:srgbClr val="ffffff"/>
    </a:solidFill>
    <a:ln>
      <a:noFill/>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800" spc="-1" strike="noStrike">
                <a:solidFill>
                  <a:srgbClr val="000000"/>
                </a:solidFill>
                <a:latin typeface="Calibri"/>
              </a:defRPr>
            </a:pPr>
            <a:r>
              <a:rPr b="1" sz="1800" spc="-1" strike="noStrike">
                <a:solidFill>
                  <a:srgbClr val="000000"/>
                </a:solidFill>
                <a:latin typeface="Calibri"/>
              </a:rPr>
              <a:t>Résultats des indicateurs agroécologiques</a:t>
            </a:r>
          </a:p>
        </c:rich>
      </c:tx>
      <c:layout>
        <c:manualLayout>
          <c:xMode val="edge"/>
          <c:yMode val="edge"/>
          <c:x val="0.241325883844312"/>
          <c:y val="0.0420927884826406"/>
        </c:manualLayout>
      </c:layout>
      <c:overlay val="0"/>
      <c:spPr>
        <a:noFill/>
        <a:ln>
          <a:noFill/>
        </a:ln>
      </c:spPr>
    </c:title>
    <c:autoTitleDeleted val="0"/>
    <c:plotArea>
      <c:layout>
        <c:manualLayout>
          <c:xMode val="edge"/>
          <c:yMode val="edge"/>
          <c:x val="0"/>
          <c:y val="0.135188517754466"/>
          <c:w val="0.999953049438941"/>
          <c:h val="0.864284773734802"/>
        </c:manualLayout>
      </c:layout>
      <c:barChart>
        <c:barDir val="bar"/>
        <c:grouping val="stacked"/>
        <c:varyColors val="0"/>
        <c:ser>
          <c:idx val="0"/>
          <c:order val="0"/>
          <c:tx>
            <c:strRef>
              <c:f>"Note de l'exploitation"</c:f>
              <c:strCache>
                <c:ptCount val="1"/>
                <c:pt idx="0">
                  <c:v>Note de l'exploitation</c:v>
                </c:pt>
              </c:strCache>
            </c:strRef>
          </c:tx>
          <c:spPr>
            <a:solidFill>
              <a:srgbClr val="9bbb59"/>
            </a:solidFill>
            <a:ln>
              <a:noFill/>
            </a:ln>
          </c:spPr>
          <c:invertIfNegative val="0"/>
          <c:dLbls>
            <c:numFmt formatCode="General" sourceLinked="1"/>
            <c:txPr>
              <a:bodyPr/>
              <a:lstStyle/>
              <a:p>
                <a:pPr>
                  <a:defRPr b="0" sz="1000" spc="-1" strike="noStrike">
                    <a:latin typeface="Arial"/>
                  </a:defRPr>
                </a:pPr>
              </a:p>
            </c:txPr>
            <c:dLblPos val="ctr"/>
            <c:showLegendKey val="0"/>
            <c:showVal val="0"/>
            <c:showCatName val="0"/>
            <c:showSerName val="0"/>
            <c:showPercent val="0"/>
            <c:separator> </c:separator>
            <c:showLeaderLines val="0"/>
          </c:dLbls>
          <c:cat>
            <c:strRef>
              <c:f>'Bilan durabilité'!$D$151:$D$169</c:f>
              <c:strCache>
                <c:ptCount val="19"/>
                <c:pt idx="0">
                  <c:v>Diversité des espèces cultivées</c:v>
                </c:pt>
                <c:pt idx="1">
                  <c:v>Diversité génétique</c:v>
                </c:pt>
                <c:pt idx="2">
                  <c:v>Diversité temporelle des cultures</c:v>
                </c:pt>
                <c:pt idx="3">
                  <c:v>Qualité de l'organisation spatiale</c:v>
                </c:pt>
                <c:pt idx="4">
                  <c:v>Gestion des insectes pollinisateurs et des auxiliaires des cultures</c:v>
                </c:pt>
                <c:pt idx="5">
                  <c:v>Autonomie en énergie, matériaux, matériels, semences et plants</c:v>
                </c:pt>
                <c:pt idx="6">
                  <c:v>Autonomie alimentaire de l’élevage</c:v>
                </c:pt>
                <c:pt idx="7">
                  <c:v>Autonomie en azote</c:v>
                </c:pt>
                <c:pt idx="8">
                  <c:v>Sobriété dans l'usage de l'eau et partage de la ressource</c:v>
                </c:pt>
                <c:pt idx="9">
                  <c:v>Sobriété dans l'utilisation du phosphore</c:v>
                </c:pt>
                <c:pt idx="10">
                  <c:v>Sobriété dans la consommation en énergie</c:v>
                </c:pt>
                <c:pt idx="11">
                  <c:v>Raisonner l'utilisation de l'eau</c:v>
                </c:pt>
                <c:pt idx="12">
                  <c:v>Favoriser la fertilité du sol</c:v>
                </c:pt>
                <c:pt idx="13">
                  <c:v>Maintenir l'efficacité de la protection sanitaire 
des cultures et des animaux</c:v>
                </c:pt>
                <c:pt idx="14">
                  <c:v>Sécuriser la disponibilité des moyens matériels de production</c:v>
                </c:pt>
                <c:pt idx="15">
                  <c:v>Réduire l'impact des pratiques sur la qualité de l'eau</c:v>
                </c:pt>
                <c:pt idx="16">
                  <c:v>Réduire l'impact des pratiques sur la qualité de l'air</c:v>
                </c:pt>
                <c:pt idx="17">
                  <c:v>Réduire l'impact des pratiques sur le changement climatique</c:v>
                </c:pt>
                <c:pt idx="18">
                  <c:v>Réduire l'usage des produits phytosanitaires 
et des traitements vétérinaires</c:v>
                </c:pt>
              </c:strCache>
            </c:strRef>
          </c:cat>
          <c:val>
            <c:numRef>
              <c:f>'Bilan durabilité'!$F$151:$F$169</c:f>
              <c:numCache>
                <c:formatCode>General</c:formatCode>
                <c:ptCount val="19"/>
                <c:pt idx="0">
                  <c:v>3</c:v>
                </c:pt>
                <c:pt idx="1">
                  <c:v>2</c:v>
                </c:pt>
                <c:pt idx="2">
                  <c:v>0</c:v>
                </c:pt>
                <c:pt idx="3">
                  <c:v>1</c:v>
                </c:pt>
                <c:pt idx="4">
                  <c:v>2</c:v>
                </c:pt>
                <c:pt idx="5">
                  <c:v>2</c:v>
                </c:pt>
                <c:pt idx="6">
                  <c:v>0</c:v>
                </c:pt>
                <c:pt idx="7">
                  <c:v>3</c:v>
                </c:pt>
                <c:pt idx="8">
                  <c:v>0</c:v>
                </c:pt>
                <c:pt idx="9">
                  <c:v>6</c:v>
                </c:pt>
                <c:pt idx="10">
                  <c:v>5</c:v>
                </c:pt>
                <c:pt idx="11">
                  <c:v>8</c:v>
                </c:pt>
                <c:pt idx="12">
                  <c:v>2</c:v>
                </c:pt>
                <c:pt idx="13">
                  <c:v>2</c:v>
                </c:pt>
                <c:pt idx="14">
                  <c:v>4</c:v>
                </c:pt>
                <c:pt idx="15">
                  <c:v>1</c:v>
                </c:pt>
                <c:pt idx="16">
                  <c:v>3</c:v>
                </c:pt>
                <c:pt idx="17">
                  <c:v>5</c:v>
                </c:pt>
                <c:pt idx="18">
                  <c:v>3</c:v>
                </c:pt>
              </c:numCache>
            </c:numRef>
          </c:val>
        </c:ser>
        <c:ser>
          <c:idx val="1"/>
          <c:order val="1"/>
          <c:tx>
            <c:strRef>
              <c:f>"Note max"</c:f>
              <c:strCache>
                <c:ptCount val="1"/>
                <c:pt idx="0">
                  <c:v>Note max</c:v>
                </c:pt>
              </c:strCache>
            </c:strRef>
          </c:tx>
          <c:spPr>
            <a:solidFill>
              <a:srgbClr val="ebf1de"/>
            </a:solidFill>
            <a:ln>
              <a:noFill/>
            </a:ln>
          </c:spPr>
          <c:invertIfNegative val="0"/>
          <c:dLbls>
            <c:numFmt formatCode="General" sourceLinked="1"/>
            <c:txPr>
              <a:bodyPr/>
              <a:lstStyle/>
              <a:p>
                <a:pPr>
                  <a:defRPr b="0" sz="1000" spc="-1" strike="noStrike">
                    <a:latin typeface="Arial"/>
                  </a:defRPr>
                </a:pPr>
              </a:p>
            </c:txPr>
            <c:dLblPos val="ctr"/>
            <c:showLegendKey val="0"/>
            <c:showVal val="0"/>
            <c:showCatName val="0"/>
            <c:showSerName val="0"/>
            <c:showPercent val="0"/>
            <c:separator> </c:separator>
            <c:showLeaderLines val="0"/>
          </c:dLbls>
          <c:cat>
            <c:strRef>
              <c:f>'Bilan durabilité'!$D$151:$D$169</c:f>
              <c:strCache>
                <c:ptCount val="19"/>
                <c:pt idx="0">
                  <c:v>Diversité des espèces cultivées</c:v>
                </c:pt>
                <c:pt idx="1">
                  <c:v>Diversité génétique</c:v>
                </c:pt>
                <c:pt idx="2">
                  <c:v>Diversité temporelle des cultures</c:v>
                </c:pt>
                <c:pt idx="3">
                  <c:v>Qualité de l'organisation spatiale</c:v>
                </c:pt>
                <c:pt idx="4">
                  <c:v>Gestion des insectes pollinisateurs et des auxiliaires des cultures</c:v>
                </c:pt>
                <c:pt idx="5">
                  <c:v>Autonomie en énergie, matériaux, matériels, semences et plants</c:v>
                </c:pt>
                <c:pt idx="6">
                  <c:v>Autonomie alimentaire de l’élevage</c:v>
                </c:pt>
                <c:pt idx="7">
                  <c:v>Autonomie en azote</c:v>
                </c:pt>
                <c:pt idx="8">
                  <c:v>Sobriété dans l'usage de l'eau et partage de la ressource</c:v>
                </c:pt>
                <c:pt idx="9">
                  <c:v>Sobriété dans l'utilisation du phosphore</c:v>
                </c:pt>
                <c:pt idx="10">
                  <c:v>Sobriété dans la consommation en énergie</c:v>
                </c:pt>
                <c:pt idx="11">
                  <c:v>Raisonner l'utilisation de l'eau</c:v>
                </c:pt>
                <c:pt idx="12">
                  <c:v>Favoriser la fertilité du sol</c:v>
                </c:pt>
                <c:pt idx="13">
                  <c:v>Maintenir l'efficacité de la protection sanitaire 
des cultures et des animaux</c:v>
                </c:pt>
                <c:pt idx="14">
                  <c:v>Sécuriser la disponibilité des moyens matériels de production</c:v>
                </c:pt>
                <c:pt idx="15">
                  <c:v>Réduire l'impact des pratiques sur la qualité de l'eau</c:v>
                </c:pt>
                <c:pt idx="16">
                  <c:v>Réduire l'impact des pratiques sur la qualité de l'air</c:v>
                </c:pt>
                <c:pt idx="17">
                  <c:v>Réduire l'impact des pratiques sur le changement climatique</c:v>
                </c:pt>
                <c:pt idx="18">
                  <c:v>Réduire l'usage des produits phytosanitaires 
et des traitements vétérinaires</c:v>
                </c:pt>
              </c:strCache>
            </c:strRef>
          </c:cat>
          <c:val>
            <c:numRef>
              <c:f>'Bilan durabilité'!$K$151:$K$169</c:f>
              <c:numCache>
                <c:formatCode>General</c:formatCode>
                <c:ptCount val="19"/>
                <c:pt idx="0">
                  <c:v>2</c:v>
                </c:pt>
                <c:pt idx="1">
                  <c:v>3</c:v>
                </c:pt>
                <c:pt idx="2">
                  <c:v>5</c:v>
                </c:pt>
                <c:pt idx="3">
                  <c:v>4</c:v>
                </c:pt>
                <c:pt idx="4">
                  <c:v>3</c:v>
                </c:pt>
                <c:pt idx="5">
                  <c:v>6</c:v>
                </c:pt>
                <c:pt idx="6">
                  <c:v>8</c:v>
                </c:pt>
                <c:pt idx="7">
                  <c:v>5</c:v>
                </c:pt>
                <c:pt idx="8">
                  <c:v>8</c:v>
                </c:pt>
                <c:pt idx="9">
                  <c:v>2</c:v>
                </c:pt>
                <c:pt idx="10">
                  <c:v>3</c:v>
                </c:pt>
                <c:pt idx="11">
                  <c:v>0</c:v>
                </c:pt>
                <c:pt idx="12">
                  <c:v>6</c:v>
                </c:pt>
                <c:pt idx="13">
                  <c:v>2</c:v>
                </c:pt>
                <c:pt idx="14">
                  <c:v>0</c:v>
                </c:pt>
                <c:pt idx="15">
                  <c:v>5</c:v>
                </c:pt>
                <c:pt idx="16">
                  <c:v>3</c:v>
                </c:pt>
                <c:pt idx="17">
                  <c:v>1</c:v>
                </c:pt>
                <c:pt idx="18">
                  <c:v>3</c:v>
                </c:pt>
              </c:numCache>
            </c:numRef>
          </c:val>
        </c:ser>
        <c:gapWidth val="150"/>
        <c:overlap val="100"/>
        <c:axId val="17565279"/>
        <c:axId val="95819874"/>
      </c:barChart>
      <c:catAx>
        <c:axId val="17565279"/>
        <c:scaling>
          <c:orientation val="maxMin"/>
        </c:scaling>
        <c:delete val="0"/>
        <c:axPos val="b"/>
        <c:numFmt formatCode="General" sourceLinked="1"/>
        <c:majorTickMark val="out"/>
        <c:minorTickMark val="out"/>
        <c:tickLblPos val="low"/>
        <c:spPr>
          <a:ln>
            <a:solidFill>
              <a:srgbClr val="808080"/>
            </a:solidFill>
          </a:ln>
        </c:spPr>
        <c:txPr>
          <a:bodyPr/>
          <a:lstStyle/>
          <a:p>
            <a:pPr>
              <a:defRPr b="0" sz="900" spc="-1" strike="noStrike">
                <a:solidFill>
                  <a:srgbClr val="000000"/>
                </a:solidFill>
                <a:latin typeface="Arial"/>
              </a:defRPr>
            </a:pPr>
          </a:p>
        </c:txPr>
        <c:crossAx val="95819874"/>
        <c:crosses val="autoZero"/>
        <c:auto val="1"/>
        <c:lblAlgn val="ctr"/>
        <c:lblOffset val="100"/>
      </c:catAx>
      <c:valAx>
        <c:axId val="95819874"/>
        <c:scaling>
          <c:orientation val="minMax"/>
          <c:max val="8"/>
          <c:min val="0"/>
        </c:scaling>
        <c:delete val="0"/>
        <c:axPos val="l"/>
        <c:majorGridlines>
          <c:spPr>
            <a:ln w="12600">
              <a:solidFill>
                <a:srgbClr val="808080"/>
              </a:solidFill>
              <a:round/>
            </a:ln>
          </c:spPr>
        </c:majorGridlines>
        <c:minorGridlines>
          <c:spPr>
            <a:ln>
              <a:solidFill>
                <a:srgbClr val="c0c0c0"/>
              </a:solidFill>
            </a:ln>
          </c:spPr>
        </c:minorGridlines>
        <c:numFmt formatCode="General" sourceLinked="0"/>
        <c:majorTickMark val="out"/>
        <c:minorTickMark val="none"/>
        <c:tickLblPos val="nextTo"/>
        <c:spPr>
          <a:ln w="12600">
            <a:solidFill>
              <a:srgbClr val="808080"/>
            </a:solidFill>
            <a:round/>
          </a:ln>
        </c:spPr>
        <c:txPr>
          <a:bodyPr/>
          <a:lstStyle/>
          <a:p>
            <a:pPr>
              <a:defRPr b="0" sz="1000" spc="-1" strike="noStrike">
                <a:solidFill>
                  <a:srgbClr val="000000"/>
                </a:solidFill>
                <a:latin typeface="Calibri"/>
              </a:defRPr>
            </a:pPr>
          </a:p>
        </c:txPr>
        <c:crossAx val="17565279"/>
        <c:crosses val="max"/>
        <c:majorUnit val="2"/>
        <c:minorUnit val="1"/>
      </c:valAx>
      <c:spPr>
        <a:solidFill>
          <a:srgbClr val="ffffff"/>
        </a:solidFill>
        <a:ln>
          <a:noFill/>
        </a:ln>
      </c:spPr>
    </c:plotArea>
    <c:legend>
      <c:legendPos val="r"/>
      <c:layout>
        <c:manualLayout>
          <c:xMode val="edge"/>
          <c:yMode val="edge"/>
          <c:x val="0.0180717236199775"/>
          <c:y val="0.126623946629213"/>
          <c:w val="0.170531355613969"/>
          <c:h val="0.046436095505618"/>
        </c:manualLayout>
      </c:layout>
      <c:overlay val="0"/>
      <c:spPr>
        <a:noFill/>
        <a:ln>
          <a:solidFill>
            <a:srgbClr val="000000"/>
          </a:solidFill>
        </a:ln>
      </c:spPr>
      <c:txPr>
        <a:bodyPr/>
        <a:lstStyle/>
        <a:p>
          <a:pPr>
            <a:defRPr b="0" sz="1000" spc="-1" strike="noStrike">
              <a:solidFill>
                <a:srgbClr val="000000"/>
              </a:solidFill>
              <a:latin typeface="Calibri"/>
            </a:defRPr>
          </a:pPr>
        </a:p>
      </c:txPr>
    </c:legend>
    <c:plotVisOnly val="1"/>
    <c:dispBlanksAs val="gap"/>
  </c:chart>
  <c:spPr>
    <a:solidFill>
      <a:srgbClr val="ffffff"/>
    </a:solidFill>
    <a:ln>
      <a:noFill/>
    </a:ln>
  </c:spPr>
</c:chartSpace>
</file>

<file path=xl/charts/chart3.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800" spc="-1" strike="noStrike">
                <a:solidFill>
                  <a:srgbClr val="000000"/>
                </a:solidFill>
                <a:latin typeface="Calibri"/>
              </a:defRPr>
            </a:pPr>
            <a:r>
              <a:rPr b="1" sz="1800" spc="-1" strike="noStrike">
                <a:solidFill>
                  <a:srgbClr val="000000"/>
                </a:solidFill>
                <a:latin typeface="Calibri"/>
              </a:rPr>
              <a:t>Résultats des indicateurs socio-territoriaux</a:t>
            </a:r>
          </a:p>
        </c:rich>
      </c:tx>
      <c:layout>
        <c:manualLayout>
          <c:xMode val="edge"/>
          <c:yMode val="edge"/>
          <c:x val="0.237278761061947"/>
          <c:y val="0.0291925739736297"/>
        </c:manualLayout>
      </c:layout>
      <c:overlay val="0"/>
      <c:spPr>
        <a:noFill/>
        <a:ln>
          <a:noFill/>
        </a:ln>
      </c:spPr>
    </c:title>
    <c:autoTitleDeleted val="0"/>
    <c:plotArea>
      <c:layout>
        <c:manualLayout>
          <c:xMode val="edge"/>
          <c:yMode val="edge"/>
          <c:x val="0"/>
          <c:y val="0.0895180138466287"/>
          <c:w val="0.99994971842317"/>
          <c:h val="0.901397892137408"/>
        </c:manualLayout>
      </c:layout>
      <c:barChart>
        <c:barDir val="bar"/>
        <c:grouping val="stacked"/>
        <c:varyColors val="0"/>
        <c:ser>
          <c:idx val="0"/>
          <c:order val="0"/>
          <c:tx>
            <c:strRef>
              <c:f>"Note de l'exploitation"</c:f>
              <c:strCache>
                <c:ptCount val="1"/>
                <c:pt idx="0">
                  <c:v>Note de l'exploitation</c:v>
                </c:pt>
              </c:strCache>
            </c:strRef>
          </c:tx>
          <c:spPr>
            <a:solidFill>
              <a:srgbClr val="333399"/>
            </a:solidFill>
            <a:ln>
              <a:noFill/>
            </a:ln>
          </c:spPr>
          <c:invertIfNegative val="0"/>
          <c:dLbls>
            <c:numFmt formatCode="General" sourceLinked="1"/>
            <c:txPr>
              <a:bodyPr/>
              <a:lstStyle/>
              <a:p>
                <a:pPr>
                  <a:defRPr b="0" sz="1000" spc="-1" strike="noStrike">
                    <a:latin typeface="Arial"/>
                  </a:defRPr>
                </a:pPr>
              </a:p>
            </c:txPr>
            <c:dLblPos val="ctr"/>
            <c:showLegendKey val="0"/>
            <c:showVal val="0"/>
            <c:showCatName val="0"/>
            <c:showSerName val="0"/>
            <c:showPercent val="0"/>
            <c:separator> </c:separator>
            <c:showLeaderLines val="0"/>
          </c:dLbls>
          <c:cat>
            <c:strRef>
              <c:f>'Bilan durabilité'!$D$173:$D$195</c:f>
              <c:strCache>
                <c:ptCount val="23"/>
                <c:pt idx="0">
                  <c:v>Production alimentaire de l'exploitation</c:v>
                </c:pt>
                <c:pt idx="1">
                  <c:v>Contribution à l’équilibre alimentaire mondial</c:v>
                </c:pt>
                <c:pt idx="2">
                  <c:v>Qualités de la production</c:v>
                </c:pt>
                <c:pt idx="3">
                  <c:v>Pertes et gaspillage</c:v>
                </c:pt>
                <c:pt idx="4">
                  <c:v>Liens sociaux, hédoniques et culturels à l'alimentation</c:v>
                </c:pt>
                <c:pt idx="5">
                  <c:v>Engagement dans des démarches 
environnementales contractualisées et territoriales</c:v>
                </c:pt>
                <c:pt idx="6">
                  <c:v>Services marchands au territoire</c:v>
                </c:pt>
                <c:pt idx="7">
                  <c:v>Valorisation par filières courtes ou de proximité</c:v>
                </c:pt>
                <c:pt idx="8">
                  <c:v>Valorisation des ressources locales</c:v>
                </c:pt>
                <c:pt idx="9">
                  <c:v>Valorisation et qualité du patrimoine 
(bâti, paysage et savoir-faire) et ressources naturelles</c:v>
                </c:pt>
                <c:pt idx="10">
                  <c:v>Accessibilité de l’espace</c:v>
                </c:pt>
                <c:pt idx="11">
                  <c:v>Gestion des déchets non organiques</c:v>
                </c:pt>
                <c:pt idx="12">
                  <c:v>Réseaux d'innovation et mutualisation du matériel</c:v>
                </c:pt>
                <c:pt idx="13">
                  <c:v>Contribution à l'emploi et gestion du salariat</c:v>
                </c:pt>
                <c:pt idx="14">
                  <c:v>Mutualisation du travail</c:v>
                </c:pt>
                <c:pt idx="15">
                  <c:v>Intensité et qualité au travail</c:v>
                </c:pt>
                <c:pt idx="16">
                  <c:v>Accueil, hygiène et sécurité</c:v>
                </c:pt>
                <c:pt idx="17">
                  <c:v>Formation</c:v>
                </c:pt>
                <c:pt idx="18">
                  <c:v>Implication sociale territoriale et solidarités</c:v>
                </c:pt>
                <c:pt idx="19">
                  <c:v>Démarche de transparence</c:v>
                </c:pt>
                <c:pt idx="20">
                  <c:v>Qualité de la vie</c:v>
                </c:pt>
                <c:pt idx="21">
                  <c:v>Isolement</c:v>
                </c:pt>
                <c:pt idx="22">
                  <c:v>Bien-être animal</c:v>
                </c:pt>
              </c:strCache>
            </c:strRef>
          </c:cat>
          <c:val>
            <c:numRef>
              <c:f>'Bilan durabilité'!$F$173:$F$195</c:f>
              <c:numCache>
                <c:formatCode>General</c:formatCode>
                <c:ptCount val="23"/>
                <c:pt idx="0">
                  <c:v>6</c:v>
                </c:pt>
                <c:pt idx="1">
                  <c:v>6</c:v>
                </c:pt>
                <c:pt idx="2">
                  <c:v>0</c:v>
                </c:pt>
                <c:pt idx="3">
                  <c:v>2</c:v>
                </c:pt>
                <c:pt idx="4">
                  <c:v>3</c:v>
                </c:pt>
                <c:pt idx="5">
                  <c:v>0</c:v>
                </c:pt>
                <c:pt idx="6">
                  <c:v>0</c:v>
                </c:pt>
                <c:pt idx="7">
                  <c:v>0</c:v>
                </c:pt>
                <c:pt idx="8">
                  <c:v>5</c:v>
                </c:pt>
                <c:pt idx="9">
                  <c:v>3</c:v>
                </c:pt>
                <c:pt idx="10">
                  <c:v>3</c:v>
                </c:pt>
                <c:pt idx="11">
                  <c:v>2</c:v>
                </c:pt>
                <c:pt idx="12">
                  <c:v>3</c:v>
                </c:pt>
                <c:pt idx="13">
                  <c:v>6</c:v>
                </c:pt>
                <c:pt idx="14">
                  <c:v>2</c:v>
                </c:pt>
                <c:pt idx="15">
                  <c:v>5</c:v>
                </c:pt>
                <c:pt idx="16">
                  <c:v>5</c:v>
                </c:pt>
                <c:pt idx="17">
                  <c:v>2</c:v>
                </c:pt>
                <c:pt idx="18">
                  <c:v>4</c:v>
                </c:pt>
                <c:pt idx="19">
                  <c:v>2</c:v>
                </c:pt>
                <c:pt idx="20">
                  <c:v>5</c:v>
                </c:pt>
                <c:pt idx="21">
                  <c:v>3</c:v>
                </c:pt>
                <c:pt idx="22">
                  <c:v>5</c:v>
                </c:pt>
              </c:numCache>
            </c:numRef>
          </c:val>
        </c:ser>
        <c:ser>
          <c:idx val="1"/>
          <c:order val="1"/>
          <c:tx>
            <c:strRef>
              <c:f>"Note max"</c:f>
              <c:strCache>
                <c:ptCount val="1"/>
                <c:pt idx="0">
                  <c:v>Note max</c:v>
                </c:pt>
              </c:strCache>
            </c:strRef>
          </c:tx>
          <c:spPr>
            <a:solidFill>
              <a:srgbClr val="99ccff"/>
            </a:solidFill>
            <a:ln>
              <a:noFill/>
            </a:ln>
          </c:spPr>
          <c:invertIfNegative val="0"/>
          <c:dLbls>
            <c:numFmt formatCode="General" sourceLinked="1"/>
            <c:txPr>
              <a:bodyPr/>
              <a:lstStyle/>
              <a:p>
                <a:pPr>
                  <a:defRPr b="0" sz="1000" spc="-1" strike="noStrike">
                    <a:latin typeface="Arial"/>
                  </a:defRPr>
                </a:pPr>
              </a:p>
            </c:txPr>
            <c:dLblPos val="ctr"/>
            <c:showLegendKey val="0"/>
            <c:showVal val="0"/>
            <c:showCatName val="0"/>
            <c:showSerName val="0"/>
            <c:showPercent val="0"/>
            <c:separator> </c:separator>
            <c:showLeaderLines val="0"/>
          </c:dLbls>
          <c:cat>
            <c:strRef>
              <c:f>'Bilan durabilité'!$D$173:$D$195</c:f>
              <c:strCache>
                <c:ptCount val="23"/>
                <c:pt idx="0">
                  <c:v>Production alimentaire de l'exploitation</c:v>
                </c:pt>
                <c:pt idx="1">
                  <c:v>Contribution à l’équilibre alimentaire mondial</c:v>
                </c:pt>
                <c:pt idx="2">
                  <c:v>Qualités de la production</c:v>
                </c:pt>
                <c:pt idx="3">
                  <c:v>Pertes et gaspillage</c:v>
                </c:pt>
                <c:pt idx="4">
                  <c:v>Liens sociaux, hédoniques et culturels à l'alimentation</c:v>
                </c:pt>
                <c:pt idx="5">
                  <c:v>Engagement dans des démarches 
environnementales contractualisées et territoriales</c:v>
                </c:pt>
                <c:pt idx="6">
                  <c:v>Services marchands au territoire</c:v>
                </c:pt>
                <c:pt idx="7">
                  <c:v>Valorisation par filières courtes ou de proximité</c:v>
                </c:pt>
                <c:pt idx="8">
                  <c:v>Valorisation des ressources locales</c:v>
                </c:pt>
                <c:pt idx="9">
                  <c:v>Valorisation et qualité du patrimoine 
(bâti, paysage et savoir-faire) et ressources naturelles</c:v>
                </c:pt>
                <c:pt idx="10">
                  <c:v>Accessibilité de l’espace</c:v>
                </c:pt>
                <c:pt idx="11">
                  <c:v>Gestion des déchets non organiques</c:v>
                </c:pt>
                <c:pt idx="12">
                  <c:v>Réseaux d'innovation et mutualisation du matériel</c:v>
                </c:pt>
                <c:pt idx="13">
                  <c:v>Contribution à l'emploi et gestion du salariat</c:v>
                </c:pt>
                <c:pt idx="14">
                  <c:v>Mutualisation du travail</c:v>
                </c:pt>
                <c:pt idx="15">
                  <c:v>Intensité et qualité au travail</c:v>
                </c:pt>
                <c:pt idx="16">
                  <c:v>Accueil, hygiène et sécurité</c:v>
                </c:pt>
                <c:pt idx="17">
                  <c:v>Formation</c:v>
                </c:pt>
                <c:pt idx="18">
                  <c:v>Implication sociale territoriale et solidarités</c:v>
                </c:pt>
                <c:pt idx="19">
                  <c:v>Démarche de transparence</c:v>
                </c:pt>
                <c:pt idx="20">
                  <c:v>Qualité de la vie</c:v>
                </c:pt>
                <c:pt idx="21">
                  <c:v>Isolement</c:v>
                </c:pt>
                <c:pt idx="22">
                  <c:v>Bien-être animal</c:v>
                </c:pt>
              </c:strCache>
            </c:strRef>
          </c:cat>
          <c:val>
            <c:numRef>
              <c:f>'Bilan durabilité'!$K$173:$K$195</c:f>
              <c:numCache>
                <c:formatCode>General</c:formatCode>
                <c:ptCount val="23"/>
                <c:pt idx="0">
                  <c:v>0</c:v>
                </c:pt>
                <c:pt idx="1">
                  <c:v>0</c:v>
                </c:pt>
                <c:pt idx="2">
                  <c:v>6</c:v>
                </c:pt>
                <c:pt idx="3">
                  <c:v>4</c:v>
                </c:pt>
                <c:pt idx="4">
                  <c:v>3</c:v>
                </c:pt>
                <c:pt idx="5">
                  <c:v>5</c:v>
                </c:pt>
                <c:pt idx="6">
                  <c:v>3</c:v>
                </c:pt>
                <c:pt idx="7">
                  <c:v>5</c:v>
                </c:pt>
                <c:pt idx="8">
                  <c:v>0</c:v>
                </c:pt>
                <c:pt idx="9">
                  <c:v>0</c:v>
                </c:pt>
                <c:pt idx="10">
                  <c:v>0</c:v>
                </c:pt>
                <c:pt idx="11">
                  <c:v>1</c:v>
                </c:pt>
                <c:pt idx="12">
                  <c:v>0</c:v>
                </c:pt>
                <c:pt idx="13">
                  <c:v>0</c:v>
                </c:pt>
                <c:pt idx="14">
                  <c:v>4</c:v>
                </c:pt>
                <c:pt idx="15">
                  <c:v>1</c:v>
                </c:pt>
                <c:pt idx="16">
                  <c:v>0</c:v>
                </c:pt>
                <c:pt idx="17">
                  <c:v>3</c:v>
                </c:pt>
                <c:pt idx="18">
                  <c:v>2</c:v>
                </c:pt>
                <c:pt idx="19">
                  <c:v>4</c:v>
                </c:pt>
                <c:pt idx="20">
                  <c:v>1</c:v>
                </c:pt>
                <c:pt idx="21">
                  <c:v>3</c:v>
                </c:pt>
                <c:pt idx="22">
                  <c:v>1</c:v>
                </c:pt>
              </c:numCache>
            </c:numRef>
          </c:val>
        </c:ser>
        <c:gapWidth val="150"/>
        <c:overlap val="100"/>
        <c:axId val="36867161"/>
        <c:axId val="32206488"/>
      </c:barChart>
      <c:catAx>
        <c:axId val="36867161"/>
        <c:scaling>
          <c:orientation val="maxMin"/>
        </c:scaling>
        <c:delete val="0"/>
        <c:axPos val="b"/>
        <c:numFmt formatCode="General" sourceLinked="1"/>
        <c:majorTickMark val="out"/>
        <c:minorTickMark val="out"/>
        <c:tickLblPos val="nextTo"/>
        <c:spPr>
          <a:ln>
            <a:solidFill>
              <a:srgbClr val="808080"/>
            </a:solidFill>
          </a:ln>
        </c:spPr>
        <c:txPr>
          <a:bodyPr/>
          <a:lstStyle/>
          <a:p>
            <a:pPr>
              <a:defRPr b="0" sz="1000" spc="-1" strike="noStrike">
                <a:solidFill>
                  <a:srgbClr val="000000"/>
                </a:solidFill>
                <a:latin typeface="Arial"/>
              </a:defRPr>
            </a:pPr>
          </a:p>
        </c:txPr>
        <c:crossAx val="32206488"/>
        <c:crosses val="autoZero"/>
        <c:auto val="1"/>
        <c:lblAlgn val="ctr"/>
        <c:lblOffset val="100"/>
      </c:catAx>
      <c:valAx>
        <c:axId val="32206488"/>
        <c:scaling>
          <c:orientation val="minMax"/>
          <c:max val="7"/>
          <c:min val="0"/>
        </c:scaling>
        <c:delete val="0"/>
        <c:axPos val="l"/>
        <c:majorGridlines>
          <c:spPr>
            <a:ln w="12600">
              <a:solidFill>
                <a:srgbClr val="808080"/>
              </a:solidFill>
              <a:round/>
            </a:ln>
          </c:spPr>
        </c:majorGridlines>
        <c:numFmt formatCode="General" sourceLinked="0"/>
        <c:majorTickMark val="out"/>
        <c:minorTickMark val="none"/>
        <c:tickLblPos val="nextTo"/>
        <c:spPr>
          <a:ln w="12600">
            <a:solidFill>
              <a:srgbClr val="808080"/>
            </a:solidFill>
            <a:round/>
          </a:ln>
        </c:spPr>
        <c:txPr>
          <a:bodyPr/>
          <a:lstStyle/>
          <a:p>
            <a:pPr>
              <a:defRPr b="0" sz="1000" spc="-1" strike="noStrike">
                <a:solidFill>
                  <a:srgbClr val="000000"/>
                </a:solidFill>
                <a:latin typeface="Calibri"/>
              </a:defRPr>
            </a:pPr>
          </a:p>
        </c:txPr>
        <c:crossAx val="36867161"/>
        <c:crosses val="max"/>
        <c:majorUnit val="1"/>
        <c:minorUnit val="1"/>
      </c:valAx>
      <c:spPr>
        <a:solidFill>
          <a:srgbClr val="ffffff"/>
        </a:solidFill>
        <a:ln>
          <a:noFill/>
        </a:ln>
      </c:spPr>
    </c:plotArea>
    <c:legend>
      <c:legendPos val="r"/>
      <c:layout>
        <c:manualLayout>
          <c:xMode val="edge"/>
          <c:yMode val="edge"/>
          <c:x val="0.0225730229752149"/>
          <c:y val="0.920539730134932"/>
          <c:w val="0.200392137147454"/>
          <c:h val="0.0497398359643708"/>
        </c:manualLayout>
      </c:layout>
      <c:overlay val="0"/>
      <c:spPr>
        <a:noFill/>
        <a:ln>
          <a:solidFill>
            <a:srgbClr val="000000"/>
          </a:solidFill>
        </a:ln>
      </c:spPr>
      <c:txPr>
        <a:bodyPr/>
        <a:lstStyle/>
        <a:p>
          <a:pPr>
            <a:defRPr b="0" sz="1000" spc="-1" strike="noStrike">
              <a:solidFill>
                <a:srgbClr val="000000"/>
              </a:solidFill>
              <a:latin typeface="Calibri"/>
            </a:defRPr>
          </a:pPr>
        </a:p>
      </c:txPr>
    </c:legend>
    <c:plotVisOnly val="1"/>
    <c:dispBlanksAs val="gap"/>
  </c:chart>
  <c:spPr>
    <a:solidFill>
      <a:srgbClr val="ffffff"/>
    </a:solidFill>
    <a:ln>
      <a:noFill/>
    </a:ln>
  </c:spPr>
</c:chartSpace>
</file>

<file path=xl/charts/chart4.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sz="1800" spc="-1" strike="noStrike">
                <a:solidFill>
                  <a:srgbClr val="000000"/>
                </a:solidFill>
                <a:latin typeface="Calibri"/>
              </a:defRPr>
            </a:pPr>
            <a:r>
              <a:rPr b="1" sz="1800" spc="-1" strike="noStrike">
                <a:solidFill>
                  <a:srgbClr val="000000"/>
                </a:solidFill>
                <a:latin typeface="Calibri"/>
              </a:rPr>
              <a:t>Résultats des indicateurs économiques</a:t>
            </a:r>
          </a:p>
        </c:rich>
      </c:tx>
      <c:layout>
        <c:manualLayout>
          <c:xMode val="edge"/>
          <c:yMode val="edge"/>
          <c:x val="0.284663436277658"/>
          <c:y val="0.0553065355696935"/>
        </c:manualLayout>
      </c:layout>
      <c:overlay val="0"/>
      <c:spPr>
        <a:noFill/>
        <a:ln>
          <a:noFill/>
        </a:ln>
      </c:spPr>
    </c:title>
    <c:autoTitleDeleted val="0"/>
    <c:plotArea>
      <c:layout>
        <c:manualLayout>
          <c:xMode val="edge"/>
          <c:yMode val="edge"/>
          <c:x val="0"/>
          <c:y val="0.18074031231926"/>
          <c:w val="0.999941619475743"/>
          <c:h val="0.806897050318103"/>
        </c:manualLayout>
      </c:layout>
      <c:barChart>
        <c:barDir val="bar"/>
        <c:grouping val="stacked"/>
        <c:varyColors val="0"/>
        <c:ser>
          <c:idx val="0"/>
          <c:order val="0"/>
          <c:tx>
            <c:strRef>
              <c:f>"Note de l'exploitation"</c:f>
              <c:strCache>
                <c:ptCount val="1"/>
                <c:pt idx="0">
                  <c:v>Note de l'exploitation</c:v>
                </c:pt>
              </c:strCache>
            </c:strRef>
          </c:tx>
          <c:spPr>
            <a:solidFill>
              <a:srgbClr val="ff8080"/>
            </a:solidFill>
            <a:ln>
              <a:noFill/>
            </a:ln>
          </c:spPr>
          <c:invertIfNegative val="0"/>
          <c:dLbls>
            <c:numFmt formatCode="General" sourceLinked="1"/>
            <c:txPr>
              <a:bodyPr/>
              <a:lstStyle/>
              <a:p>
                <a:pPr>
                  <a:defRPr b="0" sz="1000" spc="-1" strike="noStrike">
                    <a:latin typeface="Arial"/>
                  </a:defRPr>
                </a:pPr>
              </a:p>
            </c:txPr>
            <c:dLblPos val="ctr"/>
            <c:showLegendKey val="0"/>
            <c:showVal val="0"/>
            <c:showCatName val="0"/>
            <c:showSerName val="0"/>
            <c:showPercent val="0"/>
            <c:separator> </c:separator>
            <c:showLeaderLines val="0"/>
          </c:dLbls>
          <c:cat>
            <c:strRef>
              <c:f>'Bilan durabilité'!$D$199:$D$209</c:f>
              <c:strCache>
                <c:ptCount val="11"/>
                <c:pt idx="0">
                  <c:v>Capacité économique</c:v>
                </c:pt>
                <c:pt idx="1">
                  <c:v>Poids de la dette</c:v>
                </c:pt>
                <c:pt idx="2">
                  <c:v>Taux d'endettement structurel</c:v>
                </c:pt>
                <c:pt idx="3">
                  <c:v>Diversification productive</c:v>
                </c:pt>
                <c:pt idx="4">
                  <c:v>Diversification et relations contractuelles</c:v>
                </c:pt>
                <c:pt idx="5">
                  <c:v>Sensibilité aux aides</c:v>
                </c:pt>
                <c:pt idx="6">
                  <c:v>Contribution de revenus extérieurs à l'indépendance</c:v>
                </c:pt>
                <c:pt idx="7">
                  <c:v>Transmissibilité économique</c:v>
                </c:pt>
                <c:pt idx="8">
                  <c:v>Pérennité probable</c:v>
                </c:pt>
                <c:pt idx="9">
                  <c:v>Efficience brute du processus productif</c:v>
                </c:pt>
                <c:pt idx="10">
                  <c:v>Sobriété en intrants dans le processus productif</c:v>
                </c:pt>
              </c:strCache>
            </c:strRef>
          </c:cat>
          <c:val>
            <c:numRef>
              <c:f>'Bilan durabilité'!$F$199:$F$209</c:f>
              <c:numCache>
                <c:formatCode>General</c:formatCode>
                <c:ptCount val="11"/>
                <c:pt idx="0">
                  <c:v>16</c:v>
                </c:pt>
                <c:pt idx="1">
                  <c:v>0</c:v>
                </c:pt>
                <c:pt idx="2">
                  <c:v>6</c:v>
                </c:pt>
                <c:pt idx="3">
                  <c:v>6</c:v>
                </c:pt>
                <c:pt idx="4">
                  <c:v>4</c:v>
                </c:pt>
                <c:pt idx="5">
                  <c:v>6</c:v>
                </c:pt>
                <c:pt idx="6">
                  <c:v>4</c:v>
                </c:pt>
                <c:pt idx="7">
                  <c:v>6</c:v>
                </c:pt>
                <c:pt idx="8">
                  <c:v>8</c:v>
                </c:pt>
                <c:pt idx="9">
                  <c:v>12</c:v>
                </c:pt>
                <c:pt idx="10">
                  <c:v>0</c:v>
                </c:pt>
              </c:numCache>
            </c:numRef>
          </c:val>
        </c:ser>
        <c:ser>
          <c:idx val="1"/>
          <c:order val="1"/>
          <c:tx>
            <c:strRef>
              <c:f>"Note max"</c:f>
              <c:strCache>
                <c:ptCount val="1"/>
                <c:pt idx="0">
                  <c:v>Note max</c:v>
                </c:pt>
              </c:strCache>
            </c:strRef>
          </c:tx>
          <c:spPr>
            <a:solidFill>
              <a:srgbClr val="ffcc99"/>
            </a:solidFill>
            <a:ln>
              <a:noFill/>
            </a:ln>
          </c:spPr>
          <c:invertIfNegative val="0"/>
          <c:dLbls>
            <c:numFmt formatCode="General" sourceLinked="1"/>
            <c:txPr>
              <a:bodyPr/>
              <a:lstStyle/>
              <a:p>
                <a:pPr>
                  <a:defRPr b="0" sz="1000" spc="-1" strike="noStrike">
                    <a:latin typeface="Arial"/>
                  </a:defRPr>
                </a:pPr>
              </a:p>
            </c:txPr>
            <c:dLblPos val="ctr"/>
            <c:showLegendKey val="0"/>
            <c:showVal val="0"/>
            <c:showCatName val="0"/>
            <c:showSerName val="0"/>
            <c:showPercent val="0"/>
            <c:separator> </c:separator>
            <c:showLeaderLines val="0"/>
          </c:dLbls>
          <c:cat>
            <c:strRef>
              <c:f>'Bilan durabilité'!$D$199:$D$209</c:f>
              <c:strCache>
                <c:ptCount val="11"/>
                <c:pt idx="0">
                  <c:v>Capacité économique</c:v>
                </c:pt>
                <c:pt idx="1">
                  <c:v>Poids de la dette</c:v>
                </c:pt>
                <c:pt idx="2">
                  <c:v>Taux d'endettement structurel</c:v>
                </c:pt>
                <c:pt idx="3">
                  <c:v>Diversification productive</c:v>
                </c:pt>
                <c:pt idx="4">
                  <c:v>Diversification et relations contractuelles</c:v>
                </c:pt>
                <c:pt idx="5">
                  <c:v>Sensibilité aux aides</c:v>
                </c:pt>
                <c:pt idx="6">
                  <c:v>Contribution de revenus extérieurs à l'indépendance</c:v>
                </c:pt>
                <c:pt idx="7">
                  <c:v>Transmissibilité économique</c:v>
                </c:pt>
                <c:pt idx="8">
                  <c:v>Pérennité probable</c:v>
                </c:pt>
                <c:pt idx="9">
                  <c:v>Efficience brute du processus productif</c:v>
                </c:pt>
                <c:pt idx="10">
                  <c:v>Sobriété en intrants dans le processus productif</c:v>
                </c:pt>
              </c:strCache>
            </c:strRef>
          </c:cat>
          <c:val>
            <c:numRef>
              <c:f>'Bilan durabilité'!$K$199:$K$209</c:f>
              <c:numCache>
                <c:formatCode>General</c:formatCode>
                <c:ptCount val="11"/>
                <c:pt idx="0">
                  <c:v>4</c:v>
                </c:pt>
                <c:pt idx="1">
                  <c:v>12</c:v>
                </c:pt>
                <c:pt idx="2">
                  <c:v>0</c:v>
                </c:pt>
                <c:pt idx="3">
                  <c:v>4</c:v>
                </c:pt>
                <c:pt idx="4">
                  <c:v>6</c:v>
                </c:pt>
                <c:pt idx="5">
                  <c:v>0</c:v>
                </c:pt>
                <c:pt idx="6">
                  <c:v>0</c:v>
                </c:pt>
                <c:pt idx="7">
                  <c:v>9</c:v>
                </c:pt>
                <c:pt idx="8">
                  <c:v>0</c:v>
                </c:pt>
                <c:pt idx="9">
                  <c:v>0</c:v>
                </c:pt>
                <c:pt idx="10">
                  <c:v>8</c:v>
                </c:pt>
              </c:numCache>
            </c:numRef>
          </c:val>
        </c:ser>
        <c:gapWidth val="150"/>
        <c:overlap val="100"/>
        <c:axId val="48923411"/>
        <c:axId val="79497210"/>
      </c:barChart>
      <c:catAx>
        <c:axId val="48923411"/>
        <c:scaling>
          <c:orientation val="maxMin"/>
        </c:scaling>
        <c:delete val="0"/>
        <c:axPos val="b"/>
        <c:numFmt formatCode="General" sourceLinked="1"/>
        <c:majorTickMark val="out"/>
        <c:minorTickMark val="out"/>
        <c:tickLblPos val="low"/>
        <c:spPr>
          <a:ln>
            <a:solidFill>
              <a:srgbClr val="808080"/>
            </a:solidFill>
          </a:ln>
        </c:spPr>
        <c:txPr>
          <a:bodyPr/>
          <a:lstStyle/>
          <a:p>
            <a:pPr>
              <a:defRPr b="0" sz="1000" spc="-1" strike="noStrike">
                <a:solidFill>
                  <a:srgbClr val="000000"/>
                </a:solidFill>
                <a:latin typeface="Arial"/>
              </a:defRPr>
            </a:pPr>
          </a:p>
        </c:txPr>
        <c:crossAx val="79497210"/>
        <c:crosses val="autoZero"/>
        <c:auto val="1"/>
        <c:lblAlgn val="ctr"/>
        <c:lblOffset val="100"/>
      </c:catAx>
      <c:valAx>
        <c:axId val="79497210"/>
        <c:scaling>
          <c:orientation val="minMax"/>
          <c:max val="20"/>
          <c:min val="0"/>
        </c:scaling>
        <c:delete val="0"/>
        <c:axPos val="l"/>
        <c:majorGridlines>
          <c:spPr>
            <a:ln w="12600">
              <a:solidFill>
                <a:srgbClr val="808080"/>
              </a:solidFill>
              <a:round/>
            </a:ln>
          </c:spPr>
        </c:majorGridlines>
        <c:numFmt formatCode="General" sourceLinked="0"/>
        <c:majorTickMark val="out"/>
        <c:minorTickMark val="out"/>
        <c:tickLblPos val="nextTo"/>
        <c:spPr>
          <a:ln w="12600">
            <a:solidFill>
              <a:srgbClr val="808080"/>
            </a:solidFill>
            <a:round/>
          </a:ln>
        </c:spPr>
        <c:txPr>
          <a:bodyPr/>
          <a:lstStyle/>
          <a:p>
            <a:pPr>
              <a:defRPr b="0" sz="1000" spc="-1" strike="noStrike">
                <a:solidFill>
                  <a:srgbClr val="000000"/>
                </a:solidFill>
                <a:latin typeface="Calibri"/>
              </a:defRPr>
            </a:pPr>
          </a:p>
        </c:txPr>
        <c:crossAx val="48923411"/>
        <c:crosses val="max"/>
        <c:majorUnit val="2"/>
        <c:minorUnit val="1"/>
      </c:valAx>
      <c:spPr>
        <a:solidFill>
          <a:srgbClr val="ffffff"/>
        </a:solidFill>
        <a:ln>
          <a:noFill/>
        </a:ln>
      </c:spPr>
    </c:plotArea>
    <c:legend>
      <c:legendPos val="r"/>
      <c:layout>
        <c:manualLayout>
          <c:xMode val="edge"/>
          <c:yMode val="edge"/>
          <c:x val="0.0272037361354349"/>
          <c:y val="0.0983156220631822"/>
          <c:w val="0.214127262113252"/>
          <c:h val="0.0636882816453409"/>
        </c:manualLayout>
      </c:layout>
      <c:overlay val="0"/>
      <c:spPr>
        <a:noFill/>
        <a:ln>
          <a:solidFill>
            <a:srgbClr val="000000"/>
          </a:solidFill>
        </a:ln>
      </c:spPr>
      <c:txPr>
        <a:bodyPr/>
        <a:lstStyle/>
        <a:p>
          <a:pPr>
            <a:defRPr b="0" sz="1000" spc="-1" strike="noStrike">
              <a:solidFill>
                <a:srgbClr val="000000"/>
              </a:solidFill>
              <a:latin typeface="Calibri"/>
            </a:defRPr>
          </a:pPr>
        </a:p>
      </c:txPr>
    </c:legend>
    <c:plotVisOnly val="1"/>
    <c:dispBlanksAs val="gap"/>
  </c:chart>
  <c:spPr>
    <a:solidFill>
      <a:srgbClr val="ffffff"/>
    </a:solidFill>
    <a:ln>
      <a:noFill/>
    </a:ln>
  </c:spPr>
</c:chartSpace>
</file>

<file path=xl/charts/chart5.xml><?xml version="1.0" encoding="utf-8"?>
<c:chartSpace xmlns:c="http://schemas.openxmlformats.org/drawingml/2006/chart" xmlns:a="http://schemas.openxmlformats.org/drawingml/2006/main" xmlns:r="http://schemas.openxmlformats.org/officeDocument/2006/relationships">
  <c:lang val="en-US"/>
  <c:roundedCorners val="0"/>
  <c:chart>
    <c:plotArea>
      <c:layout>
        <c:manualLayout>
          <c:xMode val="edge"/>
          <c:yMode val="edge"/>
          <c:x val="0.00926142339605002"/>
          <c:y val="0"/>
          <c:w val="0.980600677807643"/>
          <c:h val="0.999937138546643"/>
        </c:manualLayout>
      </c:layout>
      <c:barChart>
        <c:barDir val="col"/>
        <c:grouping val="stacked"/>
        <c:varyColors val="0"/>
        <c:ser>
          <c:idx val="0"/>
          <c:order val="0"/>
          <c:tx>
            <c:strRef>
              <c:f>"Note exploitaton"</c:f>
              <c:strCache>
                <c:ptCount val="1"/>
                <c:pt idx="0">
                  <c:v>Note exploitaton</c:v>
                </c:pt>
              </c:strCache>
            </c:strRef>
          </c:tx>
          <c:spPr>
            <a:solidFill>
              <a:srgbClr val="c0504d"/>
            </a:solidFill>
            <a:ln>
              <a:noFill/>
            </a:ln>
          </c:spPr>
          <c:invertIfNegative val="0"/>
          <c:dPt>
            <c:idx val="0"/>
            <c:invertIfNegative val="0"/>
            <c:spPr>
              <a:solidFill>
                <a:srgbClr val="92d050"/>
              </a:solidFill>
              <a:ln>
                <a:noFill/>
              </a:ln>
            </c:spPr>
          </c:dPt>
          <c:dPt>
            <c:idx val="1"/>
            <c:invertIfNegative val="0"/>
            <c:spPr>
              <a:solidFill>
                <a:srgbClr val="92d050"/>
              </a:solidFill>
              <a:ln>
                <a:noFill/>
              </a:ln>
            </c:spPr>
          </c:dPt>
          <c:dPt>
            <c:idx val="2"/>
            <c:invertIfNegative val="0"/>
            <c:spPr>
              <a:solidFill>
                <a:srgbClr val="92d050"/>
              </a:solidFill>
              <a:ln>
                <a:noFill/>
              </a:ln>
            </c:spPr>
          </c:dPt>
          <c:dPt>
            <c:idx val="3"/>
            <c:invertIfNegative val="0"/>
            <c:spPr>
              <a:solidFill>
                <a:srgbClr val="92d050"/>
              </a:solidFill>
              <a:ln>
                <a:noFill/>
              </a:ln>
            </c:spPr>
          </c:dPt>
          <c:dPt>
            <c:idx val="4"/>
            <c:invertIfNegative val="0"/>
            <c:spPr>
              <a:solidFill>
                <a:srgbClr val="92d050"/>
              </a:solidFill>
              <a:ln>
                <a:noFill/>
              </a:ln>
            </c:spPr>
          </c:dPt>
          <c:dPt>
            <c:idx val="5"/>
            <c:invertIfNegative val="0"/>
            <c:spPr>
              <a:solidFill>
                <a:srgbClr val="17375e"/>
              </a:solidFill>
              <a:ln>
                <a:noFill/>
              </a:ln>
            </c:spPr>
          </c:dPt>
          <c:dPt>
            <c:idx val="6"/>
            <c:invertIfNegative val="0"/>
            <c:spPr>
              <a:solidFill>
                <a:srgbClr val="17375e"/>
              </a:solidFill>
              <a:ln>
                <a:noFill/>
              </a:ln>
            </c:spPr>
          </c:dPt>
          <c:dPt>
            <c:idx val="7"/>
            <c:invertIfNegative val="0"/>
            <c:spPr>
              <a:solidFill>
                <a:srgbClr val="17375e"/>
              </a:solidFill>
              <a:ln>
                <a:noFill/>
              </a:ln>
            </c:spPr>
          </c:dPt>
          <c:dPt>
            <c:idx val="8"/>
            <c:invertIfNegative val="0"/>
            <c:spPr>
              <a:solidFill>
                <a:srgbClr val="17375e"/>
              </a:solidFill>
              <a:ln>
                <a:noFill/>
              </a:ln>
            </c:spPr>
          </c:dPt>
          <c:dPt>
            <c:idx val="9"/>
            <c:invertIfNegative val="0"/>
            <c:spPr>
              <a:solidFill>
                <a:srgbClr val="e46c0a"/>
              </a:solidFill>
              <a:ln>
                <a:noFill/>
              </a:ln>
            </c:spPr>
          </c:dPt>
          <c:dPt>
            <c:idx val="10"/>
            <c:invertIfNegative val="0"/>
            <c:spPr>
              <a:solidFill>
                <a:srgbClr val="e46c0a"/>
              </a:solidFill>
              <a:ln>
                <a:noFill/>
              </a:ln>
            </c:spPr>
          </c:dPt>
          <c:dPt>
            <c:idx val="11"/>
            <c:invertIfNegative val="0"/>
            <c:spPr>
              <a:solidFill>
                <a:srgbClr val="e46c0a"/>
              </a:solidFill>
              <a:ln>
                <a:noFill/>
              </a:ln>
            </c:spPr>
          </c:dPt>
          <c:dPt>
            <c:idx val="12"/>
            <c:invertIfNegative val="0"/>
            <c:spPr>
              <a:solidFill>
                <a:srgbClr val="e46c0a"/>
              </a:solidFill>
              <a:ln>
                <a:noFill/>
              </a:ln>
            </c:spPr>
          </c:dPt>
          <c:dLbls>
            <c:numFmt formatCode="General" sourceLinked="1"/>
            <c:dLbl>
              <c:idx val="0"/>
              <c:txPr>
                <a:bodyPr/>
                <a:lstStyle/>
                <a:p>
                  <a:pPr>
                    <a:defRPr b="0" sz="1000" spc="-1" strike="noStrike">
                      <a:latin typeface="Arial"/>
                    </a:defRPr>
                  </a:pPr>
                </a:p>
              </c:txPr>
              <c:dLblPos val="ctr"/>
              <c:showLegendKey val="0"/>
              <c:showVal val="0"/>
              <c:showCatName val="0"/>
              <c:showSerName val="0"/>
              <c:showPercent val="0"/>
              <c:separator> </c:separator>
            </c:dLbl>
            <c:dLbl>
              <c:idx val="1"/>
              <c:txPr>
                <a:bodyPr/>
                <a:lstStyle/>
                <a:p>
                  <a:pPr>
                    <a:defRPr b="0" sz="1000" spc="-1" strike="noStrike">
                      <a:latin typeface="Arial"/>
                    </a:defRPr>
                  </a:pPr>
                </a:p>
              </c:txPr>
              <c:dLblPos val="ctr"/>
              <c:showLegendKey val="0"/>
              <c:showVal val="0"/>
              <c:showCatName val="0"/>
              <c:showSerName val="0"/>
              <c:showPercent val="0"/>
              <c:separator> </c:separator>
            </c:dLbl>
            <c:dLbl>
              <c:idx val="2"/>
              <c:txPr>
                <a:bodyPr/>
                <a:lstStyle/>
                <a:p>
                  <a:pPr>
                    <a:defRPr b="0" sz="1000" spc="-1" strike="noStrike">
                      <a:latin typeface="Arial"/>
                    </a:defRPr>
                  </a:pPr>
                </a:p>
              </c:txPr>
              <c:dLblPos val="ctr"/>
              <c:showLegendKey val="0"/>
              <c:showVal val="0"/>
              <c:showCatName val="0"/>
              <c:showSerName val="0"/>
              <c:showPercent val="0"/>
              <c:separator> </c:separator>
            </c:dLbl>
            <c:dLbl>
              <c:idx val="3"/>
              <c:txPr>
                <a:bodyPr/>
                <a:lstStyle/>
                <a:p>
                  <a:pPr>
                    <a:defRPr b="0" sz="1000" spc="-1" strike="noStrike">
                      <a:latin typeface="Arial"/>
                    </a:defRPr>
                  </a:pPr>
                </a:p>
              </c:txPr>
              <c:dLblPos val="ctr"/>
              <c:showLegendKey val="0"/>
              <c:showVal val="0"/>
              <c:showCatName val="0"/>
              <c:showSerName val="0"/>
              <c:showPercent val="0"/>
              <c:separator> </c:separator>
            </c:dLbl>
            <c:dLbl>
              <c:idx val="4"/>
              <c:txPr>
                <a:bodyPr/>
                <a:lstStyle/>
                <a:p>
                  <a:pPr>
                    <a:defRPr b="0" sz="1000" spc="-1" strike="noStrike">
                      <a:latin typeface="Arial"/>
                    </a:defRPr>
                  </a:pPr>
                </a:p>
              </c:txPr>
              <c:dLblPos val="ctr"/>
              <c:showLegendKey val="0"/>
              <c:showVal val="0"/>
              <c:showCatName val="0"/>
              <c:showSerName val="0"/>
              <c:showPercent val="0"/>
              <c:separator> </c:separator>
            </c:dLbl>
            <c:dLbl>
              <c:idx val="5"/>
              <c:txPr>
                <a:bodyPr/>
                <a:lstStyle/>
                <a:p>
                  <a:pPr>
                    <a:defRPr b="0" sz="1000" spc="-1" strike="noStrike">
                      <a:latin typeface="Arial"/>
                    </a:defRPr>
                  </a:pPr>
                </a:p>
              </c:txPr>
              <c:dLblPos val="ctr"/>
              <c:showLegendKey val="0"/>
              <c:showVal val="0"/>
              <c:showCatName val="0"/>
              <c:showSerName val="0"/>
              <c:showPercent val="0"/>
              <c:separator> </c:separator>
            </c:dLbl>
            <c:dLbl>
              <c:idx val="6"/>
              <c:txPr>
                <a:bodyPr/>
                <a:lstStyle/>
                <a:p>
                  <a:pPr>
                    <a:defRPr b="0" sz="1000" spc="-1" strike="noStrike">
                      <a:latin typeface="Arial"/>
                    </a:defRPr>
                  </a:pPr>
                </a:p>
              </c:txPr>
              <c:dLblPos val="ctr"/>
              <c:showLegendKey val="0"/>
              <c:showVal val="0"/>
              <c:showCatName val="0"/>
              <c:showSerName val="0"/>
              <c:showPercent val="0"/>
              <c:separator> </c:separator>
            </c:dLbl>
            <c:dLbl>
              <c:idx val="7"/>
              <c:txPr>
                <a:bodyPr/>
                <a:lstStyle/>
                <a:p>
                  <a:pPr>
                    <a:defRPr b="0" sz="1000" spc="-1" strike="noStrike">
                      <a:latin typeface="Arial"/>
                    </a:defRPr>
                  </a:pPr>
                </a:p>
              </c:txPr>
              <c:dLblPos val="ctr"/>
              <c:showLegendKey val="0"/>
              <c:showVal val="0"/>
              <c:showCatName val="0"/>
              <c:showSerName val="0"/>
              <c:showPercent val="0"/>
              <c:separator> </c:separator>
            </c:dLbl>
            <c:dLbl>
              <c:idx val="8"/>
              <c:txPr>
                <a:bodyPr/>
                <a:lstStyle/>
                <a:p>
                  <a:pPr>
                    <a:defRPr b="0" sz="1000" spc="-1" strike="noStrike">
                      <a:latin typeface="Arial"/>
                    </a:defRPr>
                  </a:pPr>
                </a:p>
              </c:txPr>
              <c:dLblPos val="ctr"/>
              <c:showLegendKey val="0"/>
              <c:showVal val="0"/>
              <c:showCatName val="0"/>
              <c:showSerName val="0"/>
              <c:showPercent val="0"/>
              <c:separator> </c:separator>
            </c:dLbl>
            <c:dLbl>
              <c:idx val="9"/>
              <c:txPr>
                <a:bodyPr/>
                <a:lstStyle/>
                <a:p>
                  <a:pPr>
                    <a:defRPr b="0" sz="1000" spc="-1" strike="noStrike">
                      <a:latin typeface="Arial"/>
                    </a:defRPr>
                  </a:pPr>
                </a:p>
              </c:txPr>
              <c:dLblPos val="ctr"/>
              <c:showLegendKey val="0"/>
              <c:showVal val="0"/>
              <c:showCatName val="0"/>
              <c:showSerName val="0"/>
              <c:showPercent val="0"/>
              <c:separator> </c:separator>
            </c:dLbl>
            <c:dLbl>
              <c:idx val="10"/>
              <c:txPr>
                <a:bodyPr/>
                <a:lstStyle/>
                <a:p>
                  <a:pPr>
                    <a:defRPr b="0" sz="1000" spc="-1" strike="noStrike">
                      <a:latin typeface="Arial"/>
                    </a:defRPr>
                  </a:pPr>
                </a:p>
              </c:txPr>
              <c:dLblPos val="ctr"/>
              <c:showLegendKey val="0"/>
              <c:showVal val="0"/>
              <c:showCatName val="0"/>
              <c:showSerName val="0"/>
              <c:showPercent val="0"/>
              <c:separator> </c:separator>
            </c:dLbl>
            <c:dLbl>
              <c:idx val="11"/>
              <c:txPr>
                <a:bodyPr/>
                <a:lstStyle/>
                <a:p>
                  <a:pPr>
                    <a:defRPr b="0" sz="1000" spc="-1" strike="noStrike">
                      <a:latin typeface="Arial"/>
                    </a:defRPr>
                  </a:pPr>
                </a:p>
              </c:txPr>
              <c:dLblPos val="ctr"/>
              <c:showLegendKey val="0"/>
              <c:showVal val="0"/>
              <c:showCatName val="0"/>
              <c:showSerName val="0"/>
              <c:showPercent val="0"/>
              <c:separator> </c:separator>
            </c:dLbl>
            <c:dLbl>
              <c:idx val="12"/>
              <c:txPr>
                <a:bodyPr/>
                <a:lstStyle/>
                <a:p>
                  <a:pPr>
                    <a:defRPr b="0" sz="1000" spc="-1" strike="noStrike">
                      <a:latin typeface="Arial"/>
                    </a:defRPr>
                  </a:pPr>
                </a:p>
              </c:txPr>
              <c:dLblPos val="ctr"/>
              <c:showLegendKey val="0"/>
              <c:showVal val="0"/>
              <c:showCatName val="0"/>
              <c:showSerName val="0"/>
              <c:showPercent val="0"/>
              <c:separator> </c:separator>
            </c:dLbl>
            <c:txPr>
              <a:bodyPr/>
              <a:lstStyle/>
              <a:p>
                <a:pPr>
                  <a:defRPr b="0" sz="1000" spc="-1" strike="noStrike">
                    <a:latin typeface="Arial"/>
                  </a:defRPr>
                </a:pPr>
              </a:p>
            </c:txPr>
            <c:dLblPos val="ctr"/>
            <c:showLegendKey val="0"/>
            <c:showVal val="0"/>
            <c:showCatName val="0"/>
            <c:showSerName val="0"/>
            <c:showPercent val="0"/>
            <c:separator> </c:separator>
            <c:showLeaderLines val="0"/>
          </c:dLbls>
          <c:cat>
            <c:strRef>
              <c:f>'Bilan durabilité'!$D$115:$D$127</c:f>
              <c:strCache>
                <c:ptCount val="13"/>
                <c:pt idx="0">
                  <c:v>Diversité fonctionnelle</c:v>
                </c:pt>
                <c:pt idx="1">
                  <c:v>Bouclage de flux de matières et d'énergie par une recherche d'autonomie</c:v>
                </c:pt>
                <c:pt idx="2">
                  <c:v>Sobriété dans l'utilisation des ressources</c:v>
                </c:pt>
                <c:pt idx="3">
                  <c:v>Assurer des conditions favorables à la production à moyen et long terme</c:v>
                </c:pt>
                <c:pt idx="4">
                  <c:v>Réduire les impacts sur la santé et les écosytèmes</c:v>
                </c:pt>
                <c:pt idx="5">
                  <c:v>Alimentation</c:v>
                </c:pt>
                <c:pt idx="6">
                  <c:v>Développement local et économie circulaire</c:v>
                </c:pt>
                <c:pt idx="7">
                  <c:v>Emploi et qualité au travail</c:v>
                </c:pt>
                <c:pt idx="8">
                  <c:v>Ethique et développement humain</c:v>
                </c:pt>
                <c:pt idx="9">
                  <c:v>Viabilité économique et financière</c:v>
                </c:pt>
                <c:pt idx="10">
                  <c:v>Indépendance</c:v>
                </c:pt>
                <c:pt idx="11">
                  <c:v>Transmissibilité</c:v>
                </c:pt>
                <c:pt idx="12">
                  <c:v>Efficience globale</c:v>
                </c:pt>
              </c:strCache>
            </c:strRef>
          </c:cat>
          <c:val>
            <c:numRef>
              <c:f>'Bilan durabilité'!$F$115:$F$127</c:f>
              <c:numCache>
                <c:formatCode>General</c:formatCode>
                <c:ptCount val="13"/>
                <c:pt idx="0">
                  <c:v>8</c:v>
                </c:pt>
                <c:pt idx="1">
                  <c:v>5</c:v>
                </c:pt>
                <c:pt idx="2">
                  <c:v>11</c:v>
                </c:pt>
                <c:pt idx="3">
                  <c:v>16</c:v>
                </c:pt>
                <c:pt idx="4">
                  <c:v>12</c:v>
                </c:pt>
                <c:pt idx="5">
                  <c:v>17</c:v>
                </c:pt>
                <c:pt idx="6">
                  <c:v>16</c:v>
                </c:pt>
                <c:pt idx="7">
                  <c:v>20</c:v>
                </c:pt>
                <c:pt idx="8">
                  <c:v>19</c:v>
                </c:pt>
                <c:pt idx="9">
                  <c:v>22</c:v>
                </c:pt>
                <c:pt idx="10">
                  <c:v>20</c:v>
                </c:pt>
                <c:pt idx="11">
                  <c:v>14</c:v>
                </c:pt>
                <c:pt idx="12">
                  <c:v>12</c:v>
                </c:pt>
              </c:numCache>
            </c:numRef>
          </c:val>
        </c:ser>
        <c:ser>
          <c:idx val="1"/>
          <c:order val="1"/>
          <c:tx>
            <c:strRef>
              <c:f>"Note max"</c:f>
              <c:strCache>
                <c:ptCount val="1"/>
                <c:pt idx="0">
                  <c:v>Note max</c:v>
                </c:pt>
              </c:strCache>
            </c:strRef>
          </c:tx>
          <c:spPr>
            <a:solidFill>
              <a:srgbClr val="4f81bd"/>
            </a:solidFill>
            <a:ln>
              <a:noFill/>
            </a:ln>
          </c:spPr>
          <c:invertIfNegative val="0"/>
          <c:dPt>
            <c:idx val="0"/>
            <c:invertIfNegative val="0"/>
            <c:spPr>
              <a:solidFill>
                <a:srgbClr val="d7e4bd"/>
              </a:solidFill>
              <a:ln>
                <a:noFill/>
              </a:ln>
            </c:spPr>
          </c:dPt>
          <c:dPt>
            <c:idx val="1"/>
            <c:invertIfNegative val="0"/>
            <c:spPr>
              <a:solidFill>
                <a:srgbClr val="d7e4bd"/>
              </a:solidFill>
              <a:ln>
                <a:noFill/>
              </a:ln>
            </c:spPr>
          </c:dPt>
          <c:dPt>
            <c:idx val="2"/>
            <c:invertIfNegative val="0"/>
            <c:spPr>
              <a:solidFill>
                <a:srgbClr val="d7e4bd"/>
              </a:solidFill>
              <a:ln>
                <a:noFill/>
              </a:ln>
            </c:spPr>
          </c:dPt>
          <c:dPt>
            <c:idx val="3"/>
            <c:invertIfNegative val="0"/>
            <c:spPr>
              <a:solidFill>
                <a:srgbClr val="d7e4bd"/>
              </a:solidFill>
              <a:ln>
                <a:noFill/>
              </a:ln>
            </c:spPr>
          </c:dPt>
          <c:dPt>
            <c:idx val="4"/>
            <c:invertIfNegative val="0"/>
            <c:spPr>
              <a:solidFill>
                <a:srgbClr val="d7e4bd"/>
              </a:solidFill>
              <a:ln>
                <a:noFill/>
              </a:ln>
            </c:spPr>
          </c:dPt>
          <c:dPt>
            <c:idx val="5"/>
            <c:invertIfNegative val="0"/>
            <c:spPr>
              <a:solidFill>
                <a:srgbClr val="b9cde5"/>
              </a:solidFill>
              <a:ln>
                <a:noFill/>
              </a:ln>
            </c:spPr>
          </c:dPt>
          <c:dPt>
            <c:idx val="6"/>
            <c:invertIfNegative val="0"/>
            <c:spPr>
              <a:solidFill>
                <a:srgbClr val="b9cde5"/>
              </a:solidFill>
              <a:ln>
                <a:noFill/>
              </a:ln>
            </c:spPr>
          </c:dPt>
          <c:dPt>
            <c:idx val="7"/>
            <c:invertIfNegative val="0"/>
            <c:spPr>
              <a:solidFill>
                <a:srgbClr val="b9cde5"/>
              </a:solidFill>
              <a:ln>
                <a:noFill/>
              </a:ln>
            </c:spPr>
          </c:dPt>
          <c:dPt>
            <c:idx val="8"/>
            <c:invertIfNegative val="0"/>
            <c:spPr>
              <a:solidFill>
                <a:srgbClr val="b9cde5"/>
              </a:solidFill>
              <a:ln>
                <a:noFill/>
              </a:ln>
            </c:spPr>
          </c:dPt>
          <c:dPt>
            <c:idx val="9"/>
            <c:invertIfNegative val="0"/>
            <c:spPr>
              <a:solidFill>
                <a:srgbClr val="fcd5b5"/>
              </a:solidFill>
              <a:ln>
                <a:noFill/>
              </a:ln>
            </c:spPr>
          </c:dPt>
          <c:dPt>
            <c:idx val="10"/>
            <c:invertIfNegative val="0"/>
            <c:spPr>
              <a:solidFill>
                <a:srgbClr val="fcd5b5"/>
              </a:solidFill>
              <a:ln>
                <a:noFill/>
              </a:ln>
            </c:spPr>
          </c:dPt>
          <c:dPt>
            <c:idx val="11"/>
            <c:invertIfNegative val="0"/>
            <c:spPr>
              <a:solidFill>
                <a:srgbClr val="fcd5b5"/>
              </a:solidFill>
              <a:ln>
                <a:noFill/>
              </a:ln>
            </c:spPr>
          </c:dPt>
          <c:dPt>
            <c:idx val="12"/>
            <c:invertIfNegative val="0"/>
            <c:spPr>
              <a:solidFill>
                <a:srgbClr val="fcd5b5"/>
              </a:solidFill>
              <a:ln>
                <a:noFill/>
              </a:ln>
            </c:spPr>
          </c:dPt>
          <c:dLbls>
            <c:numFmt formatCode="General" sourceLinked="1"/>
            <c:dLbl>
              <c:idx val="0"/>
              <c:txPr>
                <a:bodyPr/>
                <a:lstStyle/>
                <a:p>
                  <a:pPr>
                    <a:defRPr b="0" sz="1000" spc="-1" strike="noStrike">
                      <a:latin typeface="Arial"/>
                    </a:defRPr>
                  </a:pPr>
                </a:p>
              </c:txPr>
              <c:dLblPos val="ctr"/>
              <c:showLegendKey val="0"/>
              <c:showVal val="0"/>
              <c:showCatName val="0"/>
              <c:showSerName val="0"/>
              <c:showPercent val="0"/>
              <c:separator> </c:separator>
            </c:dLbl>
            <c:dLbl>
              <c:idx val="1"/>
              <c:txPr>
                <a:bodyPr/>
                <a:lstStyle/>
                <a:p>
                  <a:pPr>
                    <a:defRPr b="0" sz="1000" spc="-1" strike="noStrike">
                      <a:latin typeface="Arial"/>
                    </a:defRPr>
                  </a:pPr>
                </a:p>
              </c:txPr>
              <c:dLblPos val="ctr"/>
              <c:showLegendKey val="0"/>
              <c:showVal val="0"/>
              <c:showCatName val="0"/>
              <c:showSerName val="0"/>
              <c:showPercent val="0"/>
              <c:separator> </c:separator>
            </c:dLbl>
            <c:dLbl>
              <c:idx val="2"/>
              <c:txPr>
                <a:bodyPr/>
                <a:lstStyle/>
                <a:p>
                  <a:pPr>
                    <a:defRPr b="0" sz="1000" spc="-1" strike="noStrike">
                      <a:latin typeface="Arial"/>
                    </a:defRPr>
                  </a:pPr>
                </a:p>
              </c:txPr>
              <c:dLblPos val="ctr"/>
              <c:showLegendKey val="0"/>
              <c:showVal val="0"/>
              <c:showCatName val="0"/>
              <c:showSerName val="0"/>
              <c:showPercent val="0"/>
              <c:separator> </c:separator>
            </c:dLbl>
            <c:dLbl>
              <c:idx val="3"/>
              <c:txPr>
                <a:bodyPr/>
                <a:lstStyle/>
                <a:p>
                  <a:pPr>
                    <a:defRPr b="0" sz="1000" spc="-1" strike="noStrike">
                      <a:latin typeface="Arial"/>
                    </a:defRPr>
                  </a:pPr>
                </a:p>
              </c:txPr>
              <c:dLblPos val="ctr"/>
              <c:showLegendKey val="0"/>
              <c:showVal val="0"/>
              <c:showCatName val="0"/>
              <c:showSerName val="0"/>
              <c:showPercent val="0"/>
              <c:separator> </c:separator>
            </c:dLbl>
            <c:dLbl>
              <c:idx val="4"/>
              <c:txPr>
                <a:bodyPr/>
                <a:lstStyle/>
                <a:p>
                  <a:pPr>
                    <a:defRPr b="0" sz="1000" spc="-1" strike="noStrike">
                      <a:latin typeface="Arial"/>
                    </a:defRPr>
                  </a:pPr>
                </a:p>
              </c:txPr>
              <c:dLblPos val="ctr"/>
              <c:showLegendKey val="0"/>
              <c:showVal val="0"/>
              <c:showCatName val="0"/>
              <c:showSerName val="0"/>
              <c:showPercent val="0"/>
              <c:separator> </c:separator>
            </c:dLbl>
            <c:dLbl>
              <c:idx val="5"/>
              <c:txPr>
                <a:bodyPr/>
                <a:lstStyle/>
                <a:p>
                  <a:pPr>
                    <a:defRPr b="0" sz="1000" spc="-1" strike="noStrike">
                      <a:latin typeface="Arial"/>
                    </a:defRPr>
                  </a:pPr>
                </a:p>
              </c:txPr>
              <c:dLblPos val="ctr"/>
              <c:showLegendKey val="0"/>
              <c:showVal val="0"/>
              <c:showCatName val="0"/>
              <c:showSerName val="0"/>
              <c:showPercent val="0"/>
              <c:separator> </c:separator>
            </c:dLbl>
            <c:dLbl>
              <c:idx val="6"/>
              <c:txPr>
                <a:bodyPr/>
                <a:lstStyle/>
                <a:p>
                  <a:pPr>
                    <a:defRPr b="0" sz="1000" spc="-1" strike="noStrike">
                      <a:latin typeface="Arial"/>
                    </a:defRPr>
                  </a:pPr>
                </a:p>
              </c:txPr>
              <c:dLblPos val="ctr"/>
              <c:showLegendKey val="0"/>
              <c:showVal val="0"/>
              <c:showCatName val="0"/>
              <c:showSerName val="0"/>
              <c:showPercent val="0"/>
              <c:separator> </c:separator>
            </c:dLbl>
            <c:dLbl>
              <c:idx val="7"/>
              <c:txPr>
                <a:bodyPr/>
                <a:lstStyle/>
                <a:p>
                  <a:pPr>
                    <a:defRPr b="0" sz="1000" spc="-1" strike="noStrike">
                      <a:latin typeface="Arial"/>
                    </a:defRPr>
                  </a:pPr>
                </a:p>
              </c:txPr>
              <c:dLblPos val="ctr"/>
              <c:showLegendKey val="0"/>
              <c:showVal val="0"/>
              <c:showCatName val="0"/>
              <c:showSerName val="0"/>
              <c:showPercent val="0"/>
              <c:separator> </c:separator>
            </c:dLbl>
            <c:dLbl>
              <c:idx val="8"/>
              <c:txPr>
                <a:bodyPr/>
                <a:lstStyle/>
                <a:p>
                  <a:pPr>
                    <a:defRPr b="0" sz="1000" spc="-1" strike="noStrike">
                      <a:latin typeface="Arial"/>
                    </a:defRPr>
                  </a:pPr>
                </a:p>
              </c:txPr>
              <c:dLblPos val="ctr"/>
              <c:showLegendKey val="0"/>
              <c:showVal val="0"/>
              <c:showCatName val="0"/>
              <c:showSerName val="0"/>
              <c:showPercent val="0"/>
              <c:separator> </c:separator>
            </c:dLbl>
            <c:dLbl>
              <c:idx val="9"/>
              <c:txPr>
                <a:bodyPr/>
                <a:lstStyle/>
                <a:p>
                  <a:pPr>
                    <a:defRPr b="0" sz="1000" spc="-1" strike="noStrike">
                      <a:latin typeface="Arial"/>
                    </a:defRPr>
                  </a:pPr>
                </a:p>
              </c:txPr>
              <c:dLblPos val="ctr"/>
              <c:showLegendKey val="0"/>
              <c:showVal val="0"/>
              <c:showCatName val="0"/>
              <c:showSerName val="0"/>
              <c:showPercent val="0"/>
              <c:separator> </c:separator>
            </c:dLbl>
            <c:dLbl>
              <c:idx val="10"/>
              <c:txPr>
                <a:bodyPr/>
                <a:lstStyle/>
                <a:p>
                  <a:pPr>
                    <a:defRPr b="0" sz="1000" spc="-1" strike="noStrike">
                      <a:latin typeface="Arial"/>
                    </a:defRPr>
                  </a:pPr>
                </a:p>
              </c:txPr>
              <c:dLblPos val="ctr"/>
              <c:showLegendKey val="0"/>
              <c:showVal val="0"/>
              <c:showCatName val="0"/>
              <c:showSerName val="0"/>
              <c:showPercent val="0"/>
              <c:separator> </c:separator>
            </c:dLbl>
            <c:dLbl>
              <c:idx val="11"/>
              <c:txPr>
                <a:bodyPr/>
                <a:lstStyle/>
                <a:p>
                  <a:pPr>
                    <a:defRPr b="0" sz="1000" spc="-1" strike="noStrike">
                      <a:latin typeface="Arial"/>
                    </a:defRPr>
                  </a:pPr>
                </a:p>
              </c:txPr>
              <c:dLblPos val="ctr"/>
              <c:showLegendKey val="0"/>
              <c:showVal val="0"/>
              <c:showCatName val="0"/>
              <c:showSerName val="0"/>
              <c:showPercent val="0"/>
              <c:separator> </c:separator>
            </c:dLbl>
            <c:dLbl>
              <c:idx val="12"/>
              <c:txPr>
                <a:bodyPr/>
                <a:lstStyle/>
                <a:p>
                  <a:pPr>
                    <a:defRPr b="0" sz="1000" spc="-1" strike="noStrike">
                      <a:latin typeface="Arial"/>
                    </a:defRPr>
                  </a:pPr>
                </a:p>
              </c:txPr>
              <c:dLblPos val="ctr"/>
              <c:showLegendKey val="0"/>
              <c:showVal val="0"/>
              <c:showCatName val="0"/>
              <c:showSerName val="0"/>
              <c:showPercent val="0"/>
              <c:separator> </c:separator>
            </c:dLbl>
            <c:txPr>
              <a:bodyPr/>
              <a:lstStyle/>
              <a:p>
                <a:pPr>
                  <a:defRPr b="0" sz="1000" spc="-1" strike="noStrike">
                    <a:latin typeface="Arial"/>
                  </a:defRPr>
                </a:pPr>
              </a:p>
            </c:txPr>
            <c:dLblPos val="ctr"/>
            <c:showLegendKey val="0"/>
            <c:showVal val="0"/>
            <c:showCatName val="0"/>
            <c:showSerName val="0"/>
            <c:showPercent val="0"/>
            <c:separator> </c:separator>
            <c:showLeaderLines val="0"/>
          </c:dLbls>
          <c:cat>
            <c:strRef>
              <c:f>'Bilan durabilité'!$D$115:$D$127</c:f>
              <c:strCache>
                <c:ptCount val="13"/>
                <c:pt idx="0">
                  <c:v>Diversité fonctionnelle</c:v>
                </c:pt>
                <c:pt idx="1">
                  <c:v>Bouclage de flux de matières et d'énergie par une recherche d'autonomie</c:v>
                </c:pt>
                <c:pt idx="2">
                  <c:v>Sobriété dans l'utilisation des ressources</c:v>
                </c:pt>
                <c:pt idx="3">
                  <c:v>Assurer des conditions favorables à la production à moyen et long terme</c:v>
                </c:pt>
                <c:pt idx="4">
                  <c:v>Réduire les impacts sur la santé et les écosytèmes</c:v>
                </c:pt>
                <c:pt idx="5">
                  <c:v>Alimentation</c:v>
                </c:pt>
                <c:pt idx="6">
                  <c:v>Développement local et économie circulaire</c:v>
                </c:pt>
                <c:pt idx="7">
                  <c:v>Emploi et qualité au travail</c:v>
                </c:pt>
                <c:pt idx="8">
                  <c:v>Ethique et développement humain</c:v>
                </c:pt>
                <c:pt idx="9">
                  <c:v>Viabilité économique et financière</c:v>
                </c:pt>
                <c:pt idx="10">
                  <c:v>Indépendance</c:v>
                </c:pt>
                <c:pt idx="11">
                  <c:v>Transmissibilité</c:v>
                </c:pt>
                <c:pt idx="12">
                  <c:v>Efficience globale</c:v>
                </c:pt>
              </c:strCache>
            </c:strRef>
          </c:cat>
          <c:val>
            <c:numRef>
              <c:f>'Bilan durabilité'!$K$115:$K$127</c:f>
              <c:numCache>
                <c:formatCode>General</c:formatCode>
                <c:ptCount val="13"/>
                <c:pt idx="0">
                  <c:v>12</c:v>
                </c:pt>
                <c:pt idx="1">
                  <c:v>15</c:v>
                </c:pt>
                <c:pt idx="2">
                  <c:v>9</c:v>
                </c:pt>
                <c:pt idx="3">
                  <c:v>4</c:v>
                </c:pt>
                <c:pt idx="4">
                  <c:v>8</c:v>
                </c:pt>
                <c:pt idx="5">
                  <c:v>8</c:v>
                </c:pt>
                <c:pt idx="6">
                  <c:v>9</c:v>
                </c:pt>
                <c:pt idx="7">
                  <c:v>5</c:v>
                </c:pt>
                <c:pt idx="8">
                  <c:v>6</c:v>
                </c:pt>
                <c:pt idx="9">
                  <c:v>13</c:v>
                </c:pt>
                <c:pt idx="10">
                  <c:v>5</c:v>
                </c:pt>
                <c:pt idx="11">
                  <c:v>6</c:v>
                </c:pt>
                <c:pt idx="12">
                  <c:v>8</c:v>
                </c:pt>
              </c:numCache>
            </c:numRef>
          </c:val>
        </c:ser>
        <c:gapWidth val="150"/>
        <c:overlap val="100"/>
        <c:axId val="36500681"/>
        <c:axId val="12372371"/>
      </c:barChart>
      <c:catAx>
        <c:axId val="36500681"/>
        <c:scaling>
          <c:orientation val="minMax"/>
        </c:scaling>
        <c:delete val="0"/>
        <c:axPos val="b"/>
        <c:numFmt formatCode="General" sourceLinked="1"/>
        <c:majorTickMark val="out"/>
        <c:minorTickMark val="none"/>
        <c:tickLblPos val="nextTo"/>
        <c:spPr>
          <a:ln>
            <a:solidFill>
              <a:srgbClr val="808080"/>
            </a:solidFill>
          </a:ln>
        </c:spPr>
        <c:txPr>
          <a:bodyPr rot="-5400000"/>
          <a:lstStyle/>
          <a:p>
            <a:pPr>
              <a:defRPr b="0" sz="1100" spc="-1" strike="noStrike">
                <a:solidFill>
                  <a:srgbClr val="000000"/>
                </a:solidFill>
                <a:latin typeface="Calibri"/>
              </a:defRPr>
            </a:pPr>
          </a:p>
        </c:txPr>
        <c:crossAx val="12372371"/>
        <c:crosses val="autoZero"/>
        <c:auto val="1"/>
        <c:lblAlgn val="ctr"/>
        <c:lblOffset val="100"/>
      </c:catAx>
      <c:valAx>
        <c:axId val="12372371"/>
        <c:scaling>
          <c:orientation val="minMax"/>
          <c:max val="35"/>
        </c:scaling>
        <c:delete val="0"/>
        <c:axPos val="l"/>
        <c:majorGridlines>
          <c:spPr>
            <a:ln>
              <a:solidFill>
                <a:srgbClr val="808080"/>
              </a:solidFill>
            </a:ln>
          </c:spPr>
        </c:majorGridlines>
        <c:numFmt formatCode="General" sourceLinked="0"/>
        <c:majorTickMark val="out"/>
        <c:minorTickMark val="none"/>
        <c:tickLblPos val="nextTo"/>
        <c:spPr>
          <a:ln>
            <a:solidFill>
              <a:srgbClr val="808080"/>
            </a:solidFill>
          </a:ln>
        </c:spPr>
        <c:txPr>
          <a:bodyPr/>
          <a:lstStyle/>
          <a:p>
            <a:pPr>
              <a:defRPr b="0" sz="1000" spc="-1" strike="noStrike">
                <a:solidFill>
                  <a:srgbClr val="000000"/>
                </a:solidFill>
                <a:latin typeface="Calibri"/>
              </a:defRPr>
            </a:pPr>
          </a:p>
        </c:txPr>
        <c:crossAx val="36500681"/>
        <c:crossesAt val="1"/>
      </c:valAx>
      <c:spPr>
        <a:solidFill>
          <a:srgbClr val="ffffff"/>
        </a:solidFill>
        <a:ln>
          <a:noFill/>
        </a:ln>
      </c:spPr>
    </c:plotArea>
    <c:plotVisOnly val="1"/>
    <c:dispBlanksAs val="gap"/>
  </c:chart>
  <c:spPr>
    <a:solidFill>
      <a:srgbClr val="ffffff"/>
    </a:solidFill>
    <a:ln>
      <a:noFill/>
    </a:ln>
  </c:spPr>
</c:chartSpace>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
</Relationships>
</file>

<file path=xl/drawings/_rels/drawing4.xml.rels><?xml version="1.0" encoding="UTF-8"?>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6.png"/><Relationship Id="rId3" Type="http://schemas.openxmlformats.org/officeDocument/2006/relationships/image" Target="../media/image7.png"/><Relationship Id="rId4" Type="http://schemas.openxmlformats.org/officeDocument/2006/relationships/image" Target="../media/image8.png"/><Relationship Id="rId5" Type="http://schemas.openxmlformats.org/officeDocument/2006/relationships/image" Target="../media/image9.png"/><Relationship Id="rId6" Type="http://schemas.openxmlformats.org/officeDocument/2006/relationships/image" Target="../media/image10.png"/><Relationship Id="rId7" Type="http://schemas.openxmlformats.org/officeDocument/2006/relationships/image" Target="../media/image11.png"/><Relationship Id="rId8" Type="http://schemas.openxmlformats.org/officeDocument/2006/relationships/image" Target="../media/image12.wmf"/><Relationship Id="rId9" Type="http://schemas.openxmlformats.org/officeDocument/2006/relationships/image" Target="../media/image13.wmf"/>
</Relationships>
</file>

<file path=xl/drawings/_rels/drawing5.xml.rels><?xml version="1.0" encoding="UTF-8"?>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0</xdr:colOff>
      <xdr:row>22</xdr:row>
      <xdr:rowOff>114480</xdr:rowOff>
    </xdr:from>
    <xdr:to>
      <xdr:col>15</xdr:col>
      <xdr:colOff>779760</xdr:colOff>
      <xdr:row>34</xdr:row>
      <xdr:rowOff>86040</xdr:rowOff>
    </xdr:to>
    <xdr:sp>
      <xdr:nvSpPr>
        <xdr:cNvPr id="0" name="CustomShape 1"/>
        <xdr:cNvSpPr/>
      </xdr:nvSpPr>
      <xdr:spPr>
        <a:xfrm>
          <a:off x="779040" y="3676680"/>
          <a:ext cx="11687760" cy="1914480"/>
        </a:xfrm>
        <a:custGeom>
          <a:avLst/>
          <a:gdLst/>
          <a:ahLst/>
          <a:rect l="l" t="t" r="r" b="b"/>
          <a:pathLst>
            <a:path w="21600" h="21600">
              <a:moveTo>
                <a:pt x="0" y="0"/>
              </a:moveTo>
              <a:lnTo>
                <a:pt x="21600" y="0"/>
              </a:lnTo>
              <a:lnTo>
                <a:pt x="21600" y="21600"/>
              </a:lnTo>
              <a:lnTo>
                <a:pt x="0" y="21600"/>
              </a:lnTo>
              <a:lnTo>
                <a:pt x="0" y="0"/>
              </a:lnTo>
              <a:close/>
            </a:path>
          </a:pathLst>
        </a:custGeom>
        <a:solidFill>
          <a:srgbClr val="f2f2f2"/>
        </a:solidFill>
        <a:ln w="9360">
          <a:solidFill>
            <a:srgbClr val="bcbcbc"/>
          </a:solidFill>
          <a:miter/>
        </a:ln>
      </xdr:spPr>
      <xdr:style>
        <a:lnRef idx="0"/>
        <a:fillRef idx="0"/>
        <a:effectRef idx="0"/>
        <a:fontRef idx="minor"/>
      </xdr:style>
      <xdr:txBody>
        <a:bodyPr lIns="20160" rIns="20160" tIns="20160" bIns="20160">
          <a:noAutofit/>
        </a:bodyPr>
        <a:p>
          <a:pPr>
            <a:lnSpc>
              <a:spcPct val="100000"/>
            </a:lnSpc>
          </a:pPr>
          <a:r>
            <a:rPr b="1" lang="fr-FR" sz="1100" spc="-1" strike="noStrike">
              <a:solidFill>
                <a:srgbClr val="000000"/>
              </a:solidFill>
              <a:latin typeface="Calibri"/>
            </a:rPr>
            <a:t>Ce calculateur IDEA version 4  a bénéficié des soutiens financiers des différents partenaires suivants .</a:t>
          </a:r>
          <a:endParaRPr b="0" lang="fr-FR" sz="1100" spc="-1" strike="noStrike">
            <a:latin typeface="Times New Roman"/>
          </a:endParaRPr>
        </a:p>
      </xdr:txBody>
    </xdr:sp>
    <xdr:clientData/>
  </xdr:twoCellAnchor>
  <xdr:twoCellAnchor editAs="oneCell">
    <xdr:from>
      <xdr:col>0</xdr:col>
      <xdr:colOff>740160</xdr:colOff>
      <xdr:row>0</xdr:row>
      <xdr:rowOff>75960</xdr:rowOff>
    </xdr:from>
    <xdr:to>
      <xdr:col>15</xdr:col>
      <xdr:colOff>750600</xdr:colOff>
      <xdr:row>20</xdr:row>
      <xdr:rowOff>28440</xdr:rowOff>
    </xdr:to>
    <xdr:sp>
      <xdr:nvSpPr>
        <xdr:cNvPr id="1" name="CustomShape 1"/>
        <xdr:cNvSpPr/>
      </xdr:nvSpPr>
      <xdr:spPr>
        <a:xfrm>
          <a:off x="740160" y="75960"/>
          <a:ext cx="11697480" cy="3190680"/>
        </a:xfrm>
        <a:prstGeom prst="rect">
          <a:avLst/>
        </a:prstGeom>
        <a:solidFill>
          <a:srgbClr val="d9d9d9"/>
        </a:solidFill>
        <a:ln w="9360">
          <a:solidFill>
            <a:srgbClr val="bcbcbc"/>
          </a:solidFill>
          <a:round/>
        </a:ln>
      </xdr:spPr>
      <xdr:style>
        <a:lnRef idx="0"/>
        <a:fillRef idx="0"/>
        <a:effectRef idx="0"/>
        <a:fontRef idx="minor"/>
      </xdr:style>
      <xdr:txBody>
        <a:bodyPr lIns="90000" rIns="90000" tIns="45000" bIns="45000" anchor="ctr">
          <a:noAutofit/>
        </a:bodyPr>
        <a:p>
          <a:pPr>
            <a:lnSpc>
              <a:spcPct val="100000"/>
            </a:lnSpc>
          </a:pPr>
          <a:r>
            <a:rPr b="1" lang="fr-FR" sz="1400" spc="-1" strike="noStrike">
              <a:solidFill>
                <a:srgbClr val="000000"/>
              </a:solidFill>
              <a:latin typeface="Times New Roman"/>
            </a:rPr>
            <a:t>Conditions d'usage.</a:t>
          </a:r>
          <a:endParaRPr b="0" lang="fr-FR" sz="1400" spc="-1" strike="noStrike">
            <a:latin typeface="Times New Roman"/>
          </a:endParaRPr>
        </a:p>
        <a:p>
          <a:pPr>
            <a:lnSpc>
              <a:spcPct val="100000"/>
            </a:lnSpc>
          </a:pPr>
          <a:endParaRPr b="0" lang="fr-FR" sz="1400" spc="-1" strike="noStrike">
            <a:latin typeface="Times New Roman"/>
          </a:endParaRPr>
        </a:p>
        <a:p>
          <a:pPr>
            <a:lnSpc>
              <a:spcPct val="100000"/>
            </a:lnSpc>
          </a:pPr>
          <a:r>
            <a:rPr b="0" lang="fr-FR" sz="1100" spc="-1" strike="noStrike">
              <a:solidFill>
                <a:srgbClr val="000000"/>
              </a:solidFill>
              <a:latin typeface="Times New Roman"/>
            </a:rPr>
            <a:t>Ce calculateur a été réalisé par le centre de recherche IRSTEA -  unité ETBX Bordeaux dans le cadre des activités conduites sur la méthode IDEA version 4 au sein du comité du comité scientifique.</a:t>
          </a:r>
          <a:endParaRPr b="0" lang="fr-FR" sz="1100" spc="-1" strike="noStrike">
            <a:latin typeface="Times New Roman"/>
          </a:endParaRPr>
        </a:p>
        <a:p>
          <a:pPr>
            <a:lnSpc>
              <a:spcPct val="100000"/>
            </a:lnSpc>
          </a:pPr>
          <a:endParaRPr b="0" lang="fr-FR" sz="1100" spc="-1" strike="noStrike">
            <a:latin typeface="Times New Roman"/>
          </a:endParaRPr>
        </a:p>
        <a:p>
          <a:pPr>
            <a:lnSpc>
              <a:spcPct val="100000"/>
            </a:lnSpc>
          </a:pPr>
          <a:r>
            <a:rPr b="0" lang="fr-FR" sz="1100" spc="-1" strike="noStrike">
              <a:solidFill>
                <a:srgbClr val="000000"/>
              </a:solidFill>
              <a:latin typeface="Times New Roman"/>
            </a:rPr>
            <a:t>Son développement est soutenu financièrement par Irstea, le LABEX COTE au titre des investissements d'avenir et par le Programme agir pour la ressource en eau de SUEZ France.</a:t>
          </a:r>
          <a:endParaRPr b="0" lang="fr-FR" sz="1100" spc="-1" strike="noStrike">
            <a:latin typeface="Times New Roman"/>
          </a:endParaRPr>
        </a:p>
        <a:p>
          <a:pPr>
            <a:lnSpc>
              <a:spcPct val="100000"/>
            </a:lnSpc>
          </a:pPr>
          <a:endParaRPr b="0" lang="fr-FR" sz="1100" spc="-1" strike="noStrike">
            <a:latin typeface="Times New Roman"/>
          </a:endParaRPr>
        </a:p>
        <a:p>
          <a:pPr>
            <a:lnSpc>
              <a:spcPct val="100000"/>
            </a:lnSpc>
          </a:pPr>
          <a:r>
            <a:rPr b="0" lang="fr-FR" sz="1100" spc="-1" strike="noStrike">
              <a:solidFill>
                <a:srgbClr val="000000"/>
              </a:solidFill>
              <a:latin typeface="Times New Roman"/>
            </a:rPr>
            <a:t>Il est mis à disposition des structures partenaires du Comité scientifique de la méthode IDEA et des structures partenaires du projet CASDAR ACTION dans les conditions décrites par les conditions générales d’utilisation (CGU).</a:t>
          </a:r>
          <a:endParaRPr b="0" lang="fr-FR" sz="1100" spc="-1" strike="noStrike">
            <a:latin typeface="Times New Roman"/>
          </a:endParaRPr>
        </a:p>
        <a:p>
          <a:pPr>
            <a:lnSpc>
              <a:spcPct val="100000"/>
            </a:lnSpc>
          </a:pPr>
          <a:endParaRPr b="0" lang="fr-FR" sz="1100" spc="-1" strike="noStrike">
            <a:latin typeface="Times New Roman"/>
          </a:endParaRPr>
        </a:p>
        <a:p>
          <a:pPr>
            <a:lnSpc>
              <a:spcPct val="100000"/>
            </a:lnSpc>
          </a:pPr>
          <a:r>
            <a:rPr b="0" lang="fr-FR" sz="1100" spc="-1" strike="noStrike">
              <a:solidFill>
                <a:srgbClr val="000000"/>
              </a:solidFill>
              <a:latin typeface="Times New Roman"/>
            </a:rPr>
            <a:t>Ce calculateur relève des droits d'auteurs et est en cours de dépôt à l’agence pour la Protection des Programmes. Il est confidentiel et ne doit pas être diffusé en dehors des membres du CS de la méthode IDEA et des partenaires du CASDAR ACTION sans la signature des CGU.</a:t>
          </a:r>
          <a:endParaRPr b="0" lang="fr-FR" sz="1100" spc="-1" strike="noStrike">
            <a:latin typeface="Times New Roman"/>
          </a:endParaRPr>
        </a:p>
        <a:p>
          <a:pPr>
            <a:lnSpc>
              <a:spcPct val="100000"/>
            </a:lnSpc>
          </a:pPr>
          <a:endParaRPr b="0" lang="fr-FR" sz="1100" spc="-1" strike="noStrike">
            <a:latin typeface="Times New Roman"/>
          </a:endParaRPr>
        </a:p>
        <a:p>
          <a:pPr>
            <a:lnSpc>
              <a:spcPct val="100000"/>
            </a:lnSpc>
          </a:pPr>
          <a:r>
            <a:rPr b="0" lang="fr-FR" sz="1100" spc="-1" strike="noStrike">
              <a:solidFill>
                <a:srgbClr val="000000"/>
              </a:solidFill>
              <a:latin typeface="Times New Roman"/>
            </a:rPr>
            <a:t>Pour toute question relative à ce calculateur ou à la méthode IDEA, vous pouvez contacter :</a:t>
          </a:r>
          <a:endParaRPr b="0" lang="fr-FR" sz="1100" spc="-1" strike="noStrike">
            <a:latin typeface="Times New Roman"/>
          </a:endParaRPr>
        </a:p>
        <a:p>
          <a:pPr>
            <a:lnSpc>
              <a:spcPct val="100000"/>
            </a:lnSpc>
          </a:pPr>
          <a:endParaRPr b="0" lang="fr-FR" sz="1100" spc="-1" strike="noStrike">
            <a:latin typeface="Times New Roman"/>
          </a:endParaRPr>
        </a:p>
        <a:p>
          <a:pPr>
            <a:lnSpc>
              <a:spcPct val="100000"/>
            </a:lnSpc>
          </a:pPr>
          <a:r>
            <a:rPr b="0" lang="fr-FR" sz="1100" spc="-1" strike="noStrike">
              <a:solidFill>
                <a:srgbClr val="000000"/>
              </a:solidFill>
              <a:latin typeface="Times New Roman"/>
            </a:rPr>
            <a:t>Frédéric Zahm,</a:t>
          </a:r>
          <a:r>
            <a:rPr b="0" lang="fr-FR" sz="1100" spc="-1" strike="noStrike">
              <a:solidFill>
                <a:srgbClr val="000000"/>
              </a:solidFill>
              <a:latin typeface="Times New Roman"/>
            </a:rPr>
            <a:t>	</a:t>
          </a:r>
          <a:r>
            <a:rPr b="0" lang="fr-FR" sz="1100" spc="-1" strike="noStrike">
              <a:solidFill>
                <a:srgbClr val="000000"/>
              </a:solidFill>
              <a:latin typeface="Times New Roman"/>
            </a:rPr>
            <a:t>Irstea Bordeaux</a:t>
          </a:r>
          <a:r>
            <a:rPr b="0" lang="fr-FR" sz="1100" spc="-1" strike="noStrike">
              <a:solidFill>
                <a:srgbClr val="000000"/>
              </a:solidFill>
              <a:latin typeface="Times New Roman"/>
            </a:rPr>
            <a:t>	</a:t>
          </a:r>
          <a:r>
            <a:rPr b="0" lang="fr-FR" sz="1100" spc="-1" strike="noStrike">
              <a:solidFill>
                <a:srgbClr val="000000"/>
              </a:solidFill>
              <a:latin typeface="Times New Roman"/>
            </a:rPr>
            <a:t>:</a:t>
          </a:r>
          <a:r>
            <a:rPr b="0" lang="fr-FR" sz="1100" spc="-1" strike="noStrike">
              <a:solidFill>
                <a:srgbClr val="000000"/>
              </a:solidFill>
              <a:latin typeface="Times New Roman"/>
            </a:rPr>
            <a:t>	</a:t>
          </a:r>
          <a:r>
            <a:rPr b="0" lang="fr-FR" sz="1100" spc="-1" strike="noStrike">
              <a:solidFill>
                <a:srgbClr val="000000"/>
              </a:solidFill>
              <a:latin typeface="Times New Roman"/>
            </a:rPr>
            <a:t>frederic.zahm@irstea.fr, </a:t>
          </a:r>
          <a:r>
            <a:rPr b="0" lang="fr-FR" sz="1100" spc="-1" strike="noStrike">
              <a:solidFill>
                <a:srgbClr val="000000"/>
              </a:solidFill>
              <a:latin typeface="Times New Roman"/>
            </a:rPr>
            <a:t>	</a:t>
          </a:r>
          <a:r>
            <a:rPr b="0" lang="fr-FR" sz="1100" spc="-1" strike="noStrike">
              <a:solidFill>
                <a:srgbClr val="000000"/>
              </a:solidFill>
              <a:latin typeface="Times New Roman"/>
            </a:rPr>
            <a:t>tel : 05.57.89.08.40</a:t>
          </a:r>
          <a:endParaRPr b="0" lang="fr-FR" sz="1100" spc="-1" strike="noStrike">
            <a:latin typeface="Times New Roman"/>
          </a:endParaRPr>
        </a:p>
        <a:p>
          <a:pPr>
            <a:lnSpc>
              <a:spcPct val="100000"/>
            </a:lnSpc>
          </a:pPr>
          <a:r>
            <a:rPr b="0" lang="fr-FR" sz="1100" spc="-1" strike="noStrike">
              <a:solidFill>
                <a:srgbClr val="000000"/>
              </a:solidFill>
              <a:latin typeface="Times New Roman"/>
            </a:rPr>
            <a:t>Sydney Girard, Irstea Bordeaux :</a:t>
          </a:r>
          <a:r>
            <a:rPr b="0" lang="fr-FR" sz="1100" spc="-1" strike="noStrike">
              <a:solidFill>
                <a:srgbClr val="000000"/>
              </a:solidFill>
              <a:latin typeface="Times New Roman"/>
            </a:rPr>
            <a:t>	</a:t>
          </a:r>
          <a:r>
            <a:rPr b="0" lang="fr-FR" sz="1100" spc="-1" strike="noStrike">
              <a:solidFill>
                <a:srgbClr val="000000"/>
              </a:solidFill>
              <a:latin typeface="Times New Roman"/>
            </a:rPr>
            <a:t>sydney.girard@irstea.fr, </a:t>
          </a:r>
          <a:r>
            <a:rPr b="0" lang="fr-FR" sz="1100" spc="-1" strike="noStrike">
              <a:solidFill>
                <a:srgbClr val="000000"/>
              </a:solidFill>
              <a:latin typeface="Times New Roman"/>
            </a:rPr>
            <a:t>	</a:t>
          </a:r>
          <a:r>
            <a:rPr b="0" lang="fr-FR" sz="1100" spc="-1" strike="noStrike">
              <a:solidFill>
                <a:srgbClr val="000000"/>
              </a:solidFill>
              <a:latin typeface="Times New Roman"/>
            </a:rPr>
            <a:t>tel : 05.57.89.27.21</a:t>
          </a:r>
          <a:endParaRPr b="0" lang="fr-FR" sz="1100" spc="-1" strike="noStrike">
            <a:latin typeface="Times New Roman"/>
          </a:endParaRPr>
        </a:p>
      </xdr:txBody>
    </xdr:sp>
    <xdr:clientData/>
  </xdr:twoCellAnchor>
  <xdr:twoCellAnchor editAs="oneCell">
    <xdr:from>
      <xdr:col>7</xdr:col>
      <xdr:colOff>409320</xdr:colOff>
      <xdr:row>24</xdr:row>
      <xdr:rowOff>95400</xdr:rowOff>
    </xdr:from>
    <xdr:to>
      <xdr:col>9</xdr:col>
      <xdr:colOff>234360</xdr:colOff>
      <xdr:row>34</xdr:row>
      <xdr:rowOff>56880</xdr:rowOff>
    </xdr:to>
    <xdr:pic>
      <xdr:nvPicPr>
        <xdr:cNvPr id="2" name="Image 2" descr=""/>
        <xdr:cNvPicPr/>
      </xdr:nvPicPr>
      <xdr:blipFill>
        <a:blip r:embed="rId1"/>
        <a:stretch/>
      </xdr:blipFill>
      <xdr:spPr>
        <a:xfrm>
          <a:off x="5863320" y="3981600"/>
          <a:ext cx="1383120" cy="1580400"/>
        </a:xfrm>
        <a:prstGeom prst="rect">
          <a:avLst/>
        </a:prstGeom>
        <a:ln>
          <a:noFill/>
        </a:ln>
      </xdr:spPr>
    </xdr:pic>
    <xdr:clientData/>
  </xdr:twoCellAnchor>
  <xdr:twoCellAnchor editAs="oneCell">
    <xdr:from>
      <xdr:col>1</xdr:col>
      <xdr:colOff>204840</xdr:colOff>
      <xdr:row>24</xdr:row>
      <xdr:rowOff>75960</xdr:rowOff>
    </xdr:from>
    <xdr:to>
      <xdr:col>3</xdr:col>
      <xdr:colOff>205560</xdr:colOff>
      <xdr:row>34</xdr:row>
      <xdr:rowOff>28440</xdr:rowOff>
    </xdr:to>
    <xdr:pic>
      <xdr:nvPicPr>
        <xdr:cNvPr id="3" name="Image 3" descr=""/>
        <xdr:cNvPicPr/>
      </xdr:nvPicPr>
      <xdr:blipFill>
        <a:blip r:embed="rId2"/>
        <a:stretch/>
      </xdr:blipFill>
      <xdr:spPr>
        <a:xfrm>
          <a:off x="983880" y="3962160"/>
          <a:ext cx="1558800" cy="1571400"/>
        </a:xfrm>
        <a:prstGeom prst="rect">
          <a:avLst/>
        </a:prstGeom>
        <a:ln>
          <a:noFill/>
        </a:ln>
      </xdr:spPr>
    </xdr:pic>
    <xdr:clientData/>
  </xdr:twoCellAnchor>
  <xdr:twoCellAnchor editAs="oneCell">
    <xdr:from>
      <xdr:col>10</xdr:col>
      <xdr:colOff>312120</xdr:colOff>
      <xdr:row>26</xdr:row>
      <xdr:rowOff>124200</xdr:rowOff>
    </xdr:from>
    <xdr:to>
      <xdr:col>15</xdr:col>
      <xdr:colOff>721080</xdr:colOff>
      <xdr:row>34</xdr:row>
      <xdr:rowOff>28440</xdr:rowOff>
    </xdr:to>
    <xdr:pic>
      <xdr:nvPicPr>
        <xdr:cNvPr id="4" name="Image 4" descr=""/>
        <xdr:cNvPicPr/>
      </xdr:nvPicPr>
      <xdr:blipFill>
        <a:blip r:embed="rId3"/>
        <a:stretch/>
      </xdr:blipFill>
      <xdr:spPr>
        <a:xfrm>
          <a:off x="8103240" y="4334040"/>
          <a:ext cx="4304880" cy="1199520"/>
        </a:xfrm>
        <a:prstGeom prst="rect">
          <a:avLst/>
        </a:prstGeom>
        <a:ln>
          <a:noFill/>
        </a:ln>
      </xdr:spPr>
    </xdr:pic>
    <xdr:clientData/>
  </xdr:twoCellAnchor>
  <xdr:twoCellAnchor editAs="oneCell">
    <xdr:from>
      <xdr:col>5</xdr:col>
      <xdr:colOff>263520</xdr:colOff>
      <xdr:row>24</xdr:row>
      <xdr:rowOff>95400</xdr:rowOff>
    </xdr:from>
    <xdr:to>
      <xdr:col>7</xdr:col>
      <xdr:colOff>419040</xdr:colOff>
      <xdr:row>34</xdr:row>
      <xdr:rowOff>56880</xdr:rowOff>
    </xdr:to>
    <xdr:pic>
      <xdr:nvPicPr>
        <xdr:cNvPr id="5" name="Image 5" descr=""/>
        <xdr:cNvPicPr/>
      </xdr:nvPicPr>
      <xdr:blipFill>
        <a:blip r:embed="rId4"/>
        <a:stretch/>
      </xdr:blipFill>
      <xdr:spPr>
        <a:xfrm>
          <a:off x="4159080" y="3981600"/>
          <a:ext cx="1713960" cy="158040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20160</xdr:colOff>
      <xdr:row>2</xdr:row>
      <xdr:rowOff>37800</xdr:rowOff>
    </xdr:from>
    <xdr:to>
      <xdr:col>7</xdr:col>
      <xdr:colOff>1692360</xdr:colOff>
      <xdr:row>8</xdr:row>
      <xdr:rowOff>162000</xdr:rowOff>
    </xdr:to>
    <xdr:sp>
      <xdr:nvSpPr>
        <xdr:cNvPr id="6" name="CustomShape 1"/>
        <xdr:cNvSpPr/>
      </xdr:nvSpPr>
      <xdr:spPr>
        <a:xfrm>
          <a:off x="1097640" y="495000"/>
          <a:ext cx="7570080" cy="1267200"/>
        </a:xfrm>
        <a:prstGeom prst="rect">
          <a:avLst/>
        </a:prstGeom>
        <a:solidFill>
          <a:srgbClr val="ffffff"/>
        </a:solidFill>
        <a:ln w="9360">
          <a:solidFill>
            <a:srgbClr val="bcbcbc"/>
          </a:solidFill>
          <a:round/>
        </a:ln>
      </xdr:spPr>
      <xdr:style>
        <a:lnRef idx="0"/>
        <a:fillRef idx="0"/>
        <a:effectRef idx="0"/>
        <a:fontRef idx="minor"/>
      </xdr:style>
      <xdr:txBody>
        <a:bodyPr lIns="90000" rIns="90000" tIns="45000" bIns="45000" anchor="ctr">
          <a:noAutofit/>
        </a:bodyPr>
        <a:p>
          <a:pPr>
            <a:lnSpc>
              <a:spcPct val="100000"/>
            </a:lnSpc>
          </a:pPr>
          <a:r>
            <a:rPr b="0" lang="fr-FR" sz="1100" spc="-1" strike="noStrike">
              <a:solidFill>
                <a:srgbClr val="000000"/>
              </a:solidFill>
              <a:latin typeface="Times New Roman"/>
            </a:rPr>
            <a:t>Ce calculcateur prend en compte les informations de calcul des indicateurs de la version 4 d'IDEA au  07 janvier 2020.</a:t>
          </a:r>
          <a:endParaRPr b="0" lang="fr-FR" sz="1100" spc="-1" strike="noStrike">
            <a:latin typeface="Times New Roman"/>
          </a:endParaRPr>
        </a:p>
        <a:p>
          <a:pPr>
            <a:lnSpc>
              <a:spcPct val="100000"/>
            </a:lnSpc>
          </a:pPr>
          <a:r>
            <a:rPr b="0" lang="fr-FR" sz="1100" spc="-1" strike="noStrike">
              <a:solidFill>
                <a:srgbClr val="000000"/>
              </a:solidFill>
              <a:latin typeface="Times New Roman"/>
            </a:rPr>
            <a:t>Cette version du calculateur reste </a:t>
          </a:r>
          <a:r>
            <a:rPr b="0" lang="fr-FR" sz="1100" spc="-1" strike="noStrike">
              <a:solidFill>
                <a:srgbClr val="ff0000"/>
              </a:solidFill>
              <a:latin typeface="Times New Roman"/>
            </a:rPr>
            <a:t>expérimentale </a:t>
          </a:r>
          <a:r>
            <a:rPr b="0" lang="fr-FR" sz="1100" spc="-1" strike="noStrike">
              <a:solidFill>
                <a:srgbClr val="000000"/>
              </a:solidFill>
              <a:latin typeface="Times New Roman"/>
            </a:rPr>
            <a:t>et de nombreux onglets ne sont pas encore à jour.</a:t>
          </a:r>
          <a:endParaRPr b="0" lang="fr-FR" sz="1100" spc="-1" strike="noStrike">
            <a:latin typeface="Times New Roman"/>
          </a:endParaRPr>
        </a:p>
        <a:p>
          <a:pPr>
            <a:lnSpc>
              <a:spcPct val="100000"/>
            </a:lnSpc>
          </a:pPr>
          <a:r>
            <a:rPr b="0" lang="fr-FR" sz="1100" spc="-1" strike="noStrike">
              <a:solidFill>
                <a:srgbClr val="000000"/>
              </a:solidFill>
              <a:latin typeface="Times New Roman"/>
            </a:rPr>
            <a:t>Des modifications seront apportées au calculateur au fur et à mesure de l'évolution de la méthode.</a:t>
          </a:r>
          <a:endParaRPr b="0" lang="fr-FR" sz="1100" spc="-1" strike="noStrike">
            <a:latin typeface="Times New Roman"/>
          </a:endParaRPr>
        </a:p>
        <a:p>
          <a:pPr>
            <a:lnSpc>
              <a:spcPct val="100000"/>
            </a:lnSpc>
          </a:pPr>
          <a:r>
            <a:rPr b="0" lang="fr-FR" sz="1100" spc="-1" strike="noStrike">
              <a:solidFill>
                <a:srgbClr val="000000"/>
              </a:solidFill>
              <a:latin typeface="Times New Roman"/>
            </a:rPr>
            <a:t>Cette notice détaille le fonctionnement de ce calculateur, onglet par onglet.</a:t>
          </a:r>
          <a:endParaRPr b="0" lang="fr-FR" sz="1100" spc="-1" strike="noStrike">
            <a:latin typeface="Times New Roman"/>
          </a:endParaRPr>
        </a:p>
        <a:p>
          <a:pPr>
            <a:lnSpc>
              <a:spcPct val="100000"/>
            </a:lnSpc>
          </a:pPr>
          <a:r>
            <a:rPr b="0" lang="fr-FR" sz="1100" spc="-1" strike="noStrike">
              <a:solidFill>
                <a:srgbClr val="000000"/>
              </a:solidFill>
              <a:latin typeface="Times New Roman"/>
            </a:rPr>
            <a:t>Les données doivent seulement être saisies dans les onglets </a:t>
          </a:r>
          <a:r>
            <a:rPr b="0" lang="fr-FR" sz="1100" spc="-1" strike="noStrike">
              <a:solidFill>
                <a:srgbClr val="ff0000"/>
              </a:solidFill>
              <a:latin typeface="Times New Roman"/>
            </a:rPr>
            <a:t>"Saisie et Calculateur" </a:t>
          </a:r>
          <a:r>
            <a:rPr b="0" lang="fr-FR" sz="1100" spc="-1" strike="noStrike">
              <a:solidFill>
                <a:srgbClr val="000000"/>
              </a:solidFill>
              <a:latin typeface="Times New Roman"/>
            </a:rPr>
            <a:t>et </a:t>
          </a:r>
          <a:r>
            <a:rPr b="0" lang="fr-FR" sz="1100" spc="-1" strike="noStrike">
              <a:solidFill>
                <a:srgbClr val="ff0000"/>
              </a:solidFill>
              <a:latin typeface="Times New Roman"/>
            </a:rPr>
            <a:t>"Bilan apparent"</a:t>
          </a:r>
          <a:r>
            <a:rPr b="0" lang="fr-FR" sz="1100" spc="-1" strike="noStrike">
              <a:solidFill>
                <a:srgbClr val="000000"/>
              </a:solidFill>
              <a:latin typeface="Times New Roman"/>
            </a:rPr>
            <a:t>.</a:t>
          </a:r>
          <a:endParaRPr b="0" lang="fr-FR" sz="1100" spc="-1" strike="noStrike">
            <a:latin typeface="Times New Roman"/>
          </a:endParaRPr>
        </a:p>
        <a:p>
          <a:pPr>
            <a:lnSpc>
              <a:spcPct val="100000"/>
            </a:lnSpc>
          </a:pPr>
          <a:r>
            <a:rPr b="0" lang="fr-FR" sz="1100" spc="-1" strike="noStrike">
              <a:solidFill>
                <a:srgbClr val="000000"/>
              </a:solidFill>
              <a:latin typeface="Times New Roman"/>
            </a:rPr>
            <a:t>Les autres onglets sont autonomes et permettent de calculer et de présenter les résultats de la méthode IDEA 4.</a:t>
          </a:r>
          <a:endParaRPr b="0" lang="fr-FR" sz="1100" spc="-1" strike="noStrike">
            <a:latin typeface="Times New Roman"/>
          </a:endParaRPr>
        </a:p>
      </xdr:txBody>
    </xdr: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5</xdr:col>
      <xdr:colOff>473040</xdr:colOff>
      <xdr:row>0</xdr:row>
      <xdr:rowOff>124200</xdr:rowOff>
    </xdr:from>
    <xdr:to>
      <xdr:col>10</xdr:col>
      <xdr:colOff>302400</xdr:colOff>
      <xdr:row>7</xdr:row>
      <xdr:rowOff>123840</xdr:rowOff>
    </xdr:to>
    <xdr:sp>
      <xdr:nvSpPr>
        <xdr:cNvPr id="7" name="CustomShape 1"/>
        <xdr:cNvSpPr/>
      </xdr:nvSpPr>
      <xdr:spPr>
        <a:xfrm>
          <a:off x="6792840" y="124200"/>
          <a:ext cx="3601440" cy="1199520"/>
        </a:xfrm>
        <a:prstGeom prst="rect">
          <a:avLst/>
        </a:prstGeom>
        <a:solidFill>
          <a:srgbClr val="ffff00"/>
        </a:solidFill>
        <a:ln w="9360">
          <a:solidFill>
            <a:srgbClr val="bcbcbc"/>
          </a:solidFill>
          <a:round/>
        </a:ln>
      </xdr:spPr>
      <xdr:style>
        <a:lnRef idx="0"/>
        <a:fillRef idx="0"/>
        <a:effectRef idx="0"/>
        <a:fontRef idx="minor"/>
      </xdr:style>
      <xdr:txBody>
        <a:bodyPr lIns="90000" rIns="90000" tIns="45000" bIns="45000">
          <a:noAutofit/>
        </a:bodyPr>
        <a:p>
          <a:pPr>
            <a:lnSpc>
              <a:spcPct val="100000"/>
            </a:lnSpc>
          </a:pPr>
          <a:r>
            <a:rPr b="1" lang="fr-FR" sz="1100" spc="-1" strike="noStrike">
              <a:solidFill>
                <a:srgbClr val="ff0000"/>
              </a:solidFill>
              <a:latin typeface="Calibri"/>
            </a:rPr>
            <a:t>A remplir : </a:t>
          </a:r>
          <a:endParaRPr b="0" lang="fr-FR" sz="1100" spc="-1" strike="noStrike">
            <a:latin typeface="Times New Roman"/>
          </a:endParaRPr>
        </a:p>
        <a:p>
          <a:pPr>
            <a:lnSpc>
              <a:spcPct val="100000"/>
            </a:lnSpc>
          </a:pPr>
          <a:r>
            <a:rPr b="1" lang="fr-FR" sz="1100" spc="-1" strike="noStrike">
              <a:solidFill>
                <a:srgbClr val="ff0000"/>
              </a:solidFill>
              <a:latin typeface="Calibri"/>
            </a:rPr>
            <a:t>E1 - Engrais minéraux achetés</a:t>
          </a:r>
          <a:endParaRPr b="0" lang="fr-FR" sz="1100" spc="-1" strike="noStrike">
            <a:latin typeface="Times New Roman"/>
          </a:endParaRPr>
        </a:p>
        <a:p>
          <a:pPr>
            <a:lnSpc>
              <a:spcPct val="100000"/>
            </a:lnSpc>
          </a:pPr>
          <a:r>
            <a:rPr b="1" lang="fr-FR" sz="1100" spc="-1" strike="noStrike">
              <a:solidFill>
                <a:srgbClr val="ff0000"/>
              </a:solidFill>
              <a:latin typeface="Calibri"/>
            </a:rPr>
            <a:t>S3 - Sortie par les fruits et légumes</a:t>
          </a:r>
          <a:endParaRPr b="0" lang="fr-FR" sz="1100" spc="-1" strike="noStrike">
            <a:latin typeface="Times New Roman"/>
          </a:endParaRPr>
        </a:p>
        <a:p>
          <a:pPr>
            <a:lnSpc>
              <a:spcPct val="100000"/>
            </a:lnSpc>
          </a:pPr>
          <a:r>
            <a:rPr b="1" lang="fr-FR" sz="1100" spc="-1" strike="noStrike">
              <a:solidFill>
                <a:srgbClr val="ff0000"/>
              </a:solidFill>
              <a:latin typeface="Calibri"/>
            </a:rPr>
            <a:t>S4 - Détail des ventes d'oeuf  par espèces</a:t>
          </a:r>
          <a:endParaRPr b="0" lang="fr-FR" sz="1100" spc="-1" strike="noStrike">
            <a:latin typeface="Times New Roman"/>
          </a:endParaRPr>
        </a:p>
        <a:p>
          <a:pPr>
            <a:lnSpc>
              <a:spcPct val="100000"/>
            </a:lnSpc>
          </a:pPr>
          <a:r>
            <a:rPr b="1" lang="fr-FR" sz="1100" spc="-1" strike="noStrike">
              <a:solidFill>
                <a:srgbClr val="ff0000"/>
              </a:solidFill>
              <a:latin typeface="Calibri"/>
            </a:rPr>
            <a:t>Les autres tableaux au cas par cas si vous avez remplis une case autre dans l'onglet de saisie</a:t>
          </a:r>
          <a:endParaRPr b="0" lang="fr-FR" sz="1100" spc="-1" strike="noStrike">
            <a:latin typeface="Times New Roman"/>
          </a:endParaRPr>
        </a:p>
      </xdr:txBody>
    </xdr:sp>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30600</xdr:colOff>
      <xdr:row>339</xdr:row>
      <xdr:rowOff>47520</xdr:rowOff>
    </xdr:from>
    <xdr:to>
      <xdr:col>5</xdr:col>
      <xdr:colOff>1380240</xdr:colOff>
      <xdr:row>386</xdr:row>
      <xdr:rowOff>152280</xdr:rowOff>
    </xdr:to>
    <xdr:pic>
      <xdr:nvPicPr>
        <xdr:cNvPr id="8" name="Image 2" descr=""/>
        <xdr:cNvPicPr/>
      </xdr:nvPicPr>
      <xdr:blipFill>
        <a:blip r:embed="rId1"/>
        <a:srcRect l="24586" t="10280" r="40254" b="4617"/>
        <a:stretch/>
      </xdr:blipFill>
      <xdr:spPr>
        <a:xfrm>
          <a:off x="30600" y="62562600"/>
          <a:ext cx="6431400" cy="8743680"/>
        </a:xfrm>
        <a:prstGeom prst="rect">
          <a:avLst/>
        </a:prstGeom>
        <a:ln>
          <a:noFill/>
        </a:ln>
      </xdr:spPr>
    </xdr:pic>
    <xdr:clientData/>
  </xdr:twoCellAnchor>
  <xdr:twoCellAnchor editAs="oneCell">
    <xdr:from>
      <xdr:col>9</xdr:col>
      <xdr:colOff>664200</xdr:colOff>
      <xdr:row>671</xdr:row>
      <xdr:rowOff>152640</xdr:rowOff>
    </xdr:from>
    <xdr:to>
      <xdr:col>14</xdr:col>
      <xdr:colOff>584640</xdr:colOff>
      <xdr:row>685</xdr:row>
      <xdr:rowOff>9360</xdr:rowOff>
    </xdr:to>
    <xdr:pic>
      <xdr:nvPicPr>
        <xdr:cNvPr id="9" name="Image 5" descr=""/>
        <xdr:cNvPicPr/>
      </xdr:nvPicPr>
      <xdr:blipFill>
        <a:blip r:embed="rId2"/>
        <a:srcRect l="13057" t="33004" r="33810" b="30992"/>
        <a:stretch/>
      </xdr:blipFill>
      <xdr:spPr>
        <a:xfrm>
          <a:off x="11251440" y="119204640"/>
          <a:ext cx="5102640" cy="2152440"/>
        </a:xfrm>
        <a:prstGeom prst="rect">
          <a:avLst/>
        </a:prstGeom>
        <a:ln>
          <a:noFill/>
        </a:ln>
      </xdr:spPr>
    </xdr:pic>
    <xdr:clientData/>
  </xdr:twoCellAnchor>
  <xdr:twoCellAnchor editAs="oneCell">
    <xdr:from>
      <xdr:col>7</xdr:col>
      <xdr:colOff>1096920</xdr:colOff>
      <xdr:row>805</xdr:row>
      <xdr:rowOff>76680</xdr:rowOff>
    </xdr:from>
    <xdr:to>
      <xdr:col>10</xdr:col>
      <xdr:colOff>1118520</xdr:colOff>
      <xdr:row>840</xdr:row>
      <xdr:rowOff>104760</xdr:rowOff>
    </xdr:to>
    <xdr:pic>
      <xdr:nvPicPr>
        <xdr:cNvPr id="10" name="Image 6" descr=""/>
        <xdr:cNvPicPr/>
      </xdr:nvPicPr>
      <xdr:blipFill>
        <a:blip r:embed="rId3"/>
        <a:srcRect l="16530" t="9446" r="49230" b="5208"/>
        <a:stretch/>
      </xdr:blipFill>
      <xdr:spPr>
        <a:xfrm>
          <a:off x="8805600" y="142408080"/>
          <a:ext cx="3704760" cy="5733360"/>
        </a:xfrm>
        <a:prstGeom prst="rect">
          <a:avLst/>
        </a:prstGeom>
        <a:ln>
          <a:noFill/>
        </a:ln>
      </xdr:spPr>
    </xdr:pic>
    <xdr:clientData/>
  </xdr:twoCellAnchor>
  <xdr:twoCellAnchor editAs="oneCell">
    <xdr:from>
      <xdr:col>5</xdr:col>
      <xdr:colOff>1258200</xdr:colOff>
      <xdr:row>111</xdr:row>
      <xdr:rowOff>104400</xdr:rowOff>
    </xdr:from>
    <xdr:to>
      <xdr:col>8</xdr:col>
      <xdr:colOff>284040</xdr:colOff>
      <xdr:row>123</xdr:row>
      <xdr:rowOff>75960</xdr:rowOff>
    </xdr:to>
    <xdr:pic>
      <xdr:nvPicPr>
        <xdr:cNvPr id="11" name="Image 4" descr=""/>
        <xdr:cNvPicPr/>
      </xdr:nvPicPr>
      <xdr:blipFill>
        <a:blip r:embed="rId4"/>
        <a:srcRect l="13752" t="55580" r="60688" b="15095"/>
        <a:stretch/>
      </xdr:blipFill>
      <xdr:spPr>
        <a:xfrm>
          <a:off x="6339960" y="18478080"/>
          <a:ext cx="2850480" cy="2028960"/>
        </a:xfrm>
        <a:prstGeom prst="rect">
          <a:avLst/>
        </a:prstGeom>
        <a:ln>
          <a:noFill/>
        </a:ln>
      </xdr:spPr>
    </xdr:pic>
    <xdr:clientData/>
  </xdr:twoCellAnchor>
  <xdr:twoCellAnchor editAs="oneCell">
    <xdr:from>
      <xdr:col>9</xdr:col>
      <xdr:colOff>111240</xdr:colOff>
      <xdr:row>111</xdr:row>
      <xdr:rowOff>38160</xdr:rowOff>
    </xdr:from>
    <xdr:to>
      <xdr:col>11</xdr:col>
      <xdr:colOff>382680</xdr:colOff>
      <xdr:row>124</xdr:row>
      <xdr:rowOff>123840</xdr:rowOff>
    </xdr:to>
    <xdr:pic>
      <xdr:nvPicPr>
        <xdr:cNvPr id="12" name="Image 7" descr=""/>
        <xdr:cNvPicPr/>
      </xdr:nvPicPr>
      <xdr:blipFill>
        <a:blip r:embed="rId5"/>
        <a:srcRect l="38485" t="56701" r="40827" b="13877"/>
        <a:stretch/>
      </xdr:blipFill>
      <xdr:spPr>
        <a:xfrm>
          <a:off x="10698480" y="18411840"/>
          <a:ext cx="2625840" cy="2314440"/>
        </a:xfrm>
        <a:prstGeom prst="rect">
          <a:avLst/>
        </a:prstGeom>
        <a:ln>
          <a:noFill/>
        </a:ln>
      </xdr:spPr>
    </xdr:pic>
    <xdr:clientData/>
  </xdr:twoCellAnchor>
  <xdr:twoCellAnchor editAs="oneCell">
    <xdr:from>
      <xdr:col>7</xdr:col>
      <xdr:colOff>60840</xdr:colOff>
      <xdr:row>540</xdr:row>
      <xdr:rowOff>86400</xdr:rowOff>
    </xdr:from>
    <xdr:to>
      <xdr:col>11</xdr:col>
      <xdr:colOff>352800</xdr:colOff>
      <xdr:row>565</xdr:row>
      <xdr:rowOff>9000</xdr:rowOff>
    </xdr:to>
    <xdr:pic>
      <xdr:nvPicPr>
        <xdr:cNvPr id="13" name="Image 8" descr=""/>
        <xdr:cNvPicPr/>
      </xdr:nvPicPr>
      <xdr:blipFill>
        <a:blip r:embed="rId6"/>
        <a:srcRect l="15348" t="12445" r="32422" b="17435"/>
        <a:stretch/>
      </xdr:blipFill>
      <xdr:spPr>
        <a:xfrm>
          <a:off x="7769520" y="96570000"/>
          <a:ext cx="5524920" cy="4622400"/>
        </a:xfrm>
        <a:prstGeom prst="rect">
          <a:avLst/>
        </a:prstGeom>
        <a:ln>
          <a:noFill/>
        </a:ln>
      </xdr:spPr>
    </xdr:pic>
    <xdr:clientData/>
  </xdr:twoCellAnchor>
  <xdr:twoCellAnchor editAs="oneCell">
    <xdr:from>
      <xdr:col>0</xdr:col>
      <xdr:colOff>61200</xdr:colOff>
      <xdr:row>154</xdr:row>
      <xdr:rowOff>47520</xdr:rowOff>
    </xdr:from>
    <xdr:to>
      <xdr:col>4</xdr:col>
      <xdr:colOff>272160</xdr:colOff>
      <xdr:row>171</xdr:row>
      <xdr:rowOff>28440</xdr:rowOff>
    </xdr:to>
    <xdr:pic>
      <xdr:nvPicPr>
        <xdr:cNvPr id="14" name="Image 9" descr=""/>
        <xdr:cNvPicPr/>
      </xdr:nvPicPr>
      <xdr:blipFill>
        <a:blip r:embed="rId7"/>
        <a:srcRect l="15905" t="22042" r="31104" b="26658"/>
        <a:stretch/>
      </xdr:blipFill>
      <xdr:spPr>
        <a:xfrm>
          <a:off x="61200" y="25841160"/>
          <a:ext cx="4538160" cy="2733480"/>
        </a:xfrm>
        <a:prstGeom prst="rect">
          <a:avLst/>
        </a:prstGeom>
        <a:ln>
          <a:noFill/>
        </a:ln>
      </xdr:spPr>
    </xdr:pic>
    <xdr:clientData/>
  </xdr:twoCellAnchor>
  <xdr:twoCellAnchor editAs="oneCell">
    <xdr:from>
      <xdr:col>0</xdr:col>
      <xdr:colOff>0</xdr:colOff>
      <xdr:row>958</xdr:row>
      <xdr:rowOff>360</xdr:rowOff>
    </xdr:from>
    <xdr:to>
      <xdr:col>11</xdr:col>
      <xdr:colOff>503640</xdr:colOff>
      <xdr:row>1185</xdr:row>
      <xdr:rowOff>28080</xdr:rowOff>
    </xdr:to>
    <xdr:pic>
      <xdr:nvPicPr>
        <xdr:cNvPr id="15" name="Image 12" descr=""/>
        <xdr:cNvPicPr/>
      </xdr:nvPicPr>
      <xdr:blipFill>
        <a:blip r:embed="rId8"/>
        <a:stretch/>
      </xdr:blipFill>
      <xdr:spPr>
        <a:xfrm>
          <a:off x="0" y="169087320"/>
          <a:ext cx="13445280" cy="36784800"/>
        </a:xfrm>
        <a:prstGeom prst="rect">
          <a:avLst/>
        </a:prstGeom>
        <a:ln>
          <a:noFill/>
        </a:ln>
      </xdr:spPr>
    </xdr:pic>
    <xdr:clientData/>
  </xdr:twoCellAnchor>
  <xdr:twoCellAnchor editAs="oneCell">
    <xdr:from>
      <xdr:col>0</xdr:col>
      <xdr:colOff>0</xdr:colOff>
      <xdr:row>1188</xdr:row>
      <xdr:rowOff>360</xdr:rowOff>
    </xdr:from>
    <xdr:to>
      <xdr:col>5</xdr:col>
      <xdr:colOff>1460160</xdr:colOff>
      <xdr:row>1230</xdr:row>
      <xdr:rowOff>37800</xdr:rowOff>
    </xdr:to>
    <xdr:pic>
      <xdr:nvPicPr>
        <xdr:cNvPr id="16" name="Image 9" descr=""/>
        <xdr:cNvPicPr/>
      </xdr:nvPicPr>
      <xdr:blipFill>
        <a:blip r:embed="rId9"/>
        <a:stretch/>
      </xdr:blipFill>
      <xdr:spPr>
        <a:xfrm>
          <a:off x="0" y="206330040"/>
          <a:ext cx="6541920" cy="683820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443520</xdr:colOff>
      <xdr:row>76</xdr:row>
      <xdr:rowOff>172440</xdr:rowOff>
    </xdr:from>
    <xdr:to>
      <xdr:col>8</xdr:col>
      <xdr:colOff>504000</xdr:colOff>
      <xdr:row>100</xdr:row>
      <xdr:rowOff>56520</xdr:rowOff>
    </xdr:to>
    <xdr:graphicFrame>
      <xdr:nvGraphicFramePr>
        <xdr:cNvPr id="17" name="Graphique 1"/>
        <xdr:cNvGraphicFramePr/>
      </xdr:nvGraphicFramePr>
      <xdr:xfrm>
        <a:off x="1288440" y="15268680"/>
        <a:ext cx="7565760" cy="37875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221040</xdr:colOff>
      <xdr:row>147</xdr:row>
      <xdr:rowOff>66960</xdr:rowOff>
    </xdr:from>
    <xdr:to>
      <xdr:col>5</xdr:col>
      <xdr:colOff>502920</xdr:colOff>
      <xdr:row>211</xdr:row>
      <xdr:rowOff>18720</xdr:rowOff>
    </xdr:to>
    <xdr:graphicFrame>
      <xdr:nvGraphicFramePr>
        <xdr:cNvPr id="18" name="Graphique 3"/>
        <xdr:cNvGraphicFramePr/>
      </xdr:nvGraphicFramePr>
      <xdr:xfrm>
        <a:off x="221040" y="27237240"/>
        <a:ext cx="7667280" cy="820152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29880</xdr:colOff>
      <xdr:row>146</xdr:row>
      <xdr:rowOff>114840</xdr:rowOff>
    </xdr:from>
    <xdr:to>
      <xdr:col>19</xdr:col>
      <xdr:colOff>483120</xdr:colOff>
      <xdr:row>210</xdr:row>
      <xdr:rowOff>28440</xdr:rowOff>
    </xdr:to>
    <xdr:graphicFrame>
      <xdr:nvGraphicFramePr>
        <xdr:cNvPr id="19" name="Graphique 4"/>
        <xdr:cNvGraphicFramePr/>
      </xdr:nvGraphicFramePr>
      <xdr:xfrm>
        <a:off x="7938000" y="27156240"/>
        <a:ext cx="7159320" cy="81633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19</xdr:col>
      <xdr:colOff>382320</xdr:colOff>
      <xdr:row>148</xdr:row>
      <xdr:rowOff>66960</xdr:rowOff>
    </xdr:from>
    <xdr:to>
      <xdr:col>27</xdr:col>
      <xdr:colOff>513360</xdr:colOff>
      <xdr:row>187</xdr:row>
      <xdr:rowOff>18720</xdr:rowOff>
    </xdr:to>
    <xdr:graphicFrame>
      <xdr:nvGraphicFramePr>
        <xdr:cNvPr id="20" name="Graphique 5"/>
        <xdr:cNvGraphicFramePr/>
      </xdr:nvGraphicFramePr>
      <xdr:xfrm>
        <a:off x="14996520" y="27366120"/>
        <a:ext cx="6166080" cy="497916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39960</xdr:colOff>
      <xdr:row>106</xdr:row>
      <xdr:rowOff>86040</xdr:rowOff>
    </xdr:from>
    <xdr:to>
      <xdr:col>18</xdr:col>
      <xdr:colOff>452880</xdr:colOff>
      <xdr:row>140</xdr:row>
      <xdr:rowOff>133200</xdr:rowOff>
    </xdr:to>
    <xdr:graphicFrame>
      <xdr:nvGraphicFramePr>
        <xdr:cNvPr id="21" name="Graphique 1"/>
        <xdr:cNvGraphicFramePr/>
      </xdr:nvGraphicFramePr>
      <xdr:xfrm>
        <a:off x="1991160" y="20266920"/>
        <a:ext cx="12321720" cy="572652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1.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occitanie.chambre-agriculture.fr/fileadmin/user_upload/National/FAL_commun/publications/Occitanie/18_Teneur_Azote_tab.pdf?fbclid=IwAR3lq9yl7t9s8zVlXyprFadCAVJCC_wo2kFLcK8c19H2ltDQTPgbXpuZV2g" TargetMode="External"/><Relationship Id="rId3" Type="http://schemas.openxmlformats.org/officeDocument/2006/relationships/vmlDrawing" Target="../drawings/vmlDrawing2.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3.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4.xml"/><Relationship Id="rId3" Type="http://schemas.openxmlformats.org/officeDocument/2006/relationships/vmlDrawing" Target="../drawings/vmlDrawing4.vml"/>
</Relationships>
</file>

<file path=xl/worksheets/_rels/sheet10.xml.rels><?xml version="1.0" encoding="UTF-8"?>
<Relationships xmlns="http://schemas.openxmlformats.org/package/2006/relationships"><Relationship Id="rId1" Type="http://schemas.openxmlformats.org/officeDocument/2006/relationships/comments" Target="../comments10.xml"/><Relationship Id="rId2" Type="http://schemas.openxmlformats.org/officeDocument/2006/relationships/vmlDrawing" Target="../drawings/vmlDrawing5.vml"/>
</Relationships>
</file>

<file path=xl/worksheets/_rels/sheet11.xml.rels><?xml version="1.0" encoding="UTF-8"?>
<Relationships xmlns="http://schemas.openxmlformats.org/package/2006/relationships"><Relationship Id="rId1" Type="http://schemas.openxmlformats.org/officeDocument/2006/relationships/drawing" Target="../drawings/drawing5.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D1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zeroHeight="false" outlineLevelRow="0" outlineLevelCol="0"/>
  <cols>
    <col collapsed="false" customWidth="true" hidden="false" outlineLevel="0" max="1" min="1" style="0" width="44.38"/>
    <col collapsed="false" customWidth="true" hidden="false" outlineLevel="0" max="2" min="2" style="0" width="6.13"/>
    <col collapsed="false" customWidth="true" hidden="false" outlineLevel="0" max="3" min="3" style="0" width="23.54"/>
    <col collapsed="false" customWidth="true" hidden="false" outlineLevel="0" max="4" min="4" style="0" width="7.84"/>
    <col collapsed="false" customWidth="true" hidden="false" outlineLevel="0" max="1025" min="5" style="0" width="10.55"/>
  </cols>
  <sheetData>
    <row r="1" customFormat="false" ht="32.25" hidden="false" customHeight="true" outlineLevel="0" collapsed="false">
      <c r="A1" s="1" t="s">
        <v>0</v>
      </c>
      <c r="B1" s="2" t="s">
        <v>1</v>
      </c>
      <c r="C1" s="2" t="s">
        <v>2</v>
      </c>
      <c r="D1" s="2" t="s">
        <v>3</v>
      </c>
    </row>
    <row r="2" customFormat="false" ht="16.5" hidden="false" customHeight="true" outlineLevel="0" collapsed="false">
      <c r="A2" s="3" t="s">
        <v>4</v>
      </c>
      <c r="B2" s="4" t="n">
        <v>1.05</v>
      </c>
      <c r="C2" s="5"/>
      <c r="D2" s="6"/>
    </row>
    <row r="3" customFormat="false" ht="16.5" hidden="false" customHeight="true" outlineLevel="0" collapsed="false">
      <c r="A3" s="7" t="s">
        <v>5</v>
      </c>
      <c r="B3" s="4" t="n">
        <v>0.6</v>
      </c>
      <c r="C3" s="5"/>
      <c r="D3" s="6"/>
    </row>
    <row r="4" customFormat="false" ht="16.5" hidden="false" customHeight="true" outlineLevel="0" collapsed="false">
      <c r="A4" s="3" t="s">
        <v>6</v>
      </c>
      <c r="B4" s="4" t="n">
        <v>1</v>
      </c>
      <c r="C4" s="5"/>
      <c r="D4" s="6"/>
    </row>
    <row r="5" customFormat="false" ht="16.5" hidden="false" customHeight="true" outlineLevel="0" collapsed="false">
      <c r="A5" s="3" t="s">
        <v>7</v>
      </c>
      <c r="B5" s="4" t="n">
        <v>0.7</v>
      </c>
      <c r="C5" s="6"/>
      <c r="D5" s="6"/>
    </row>
    <row r="6" customFormat="false" ht="16.5" hidden="false" customHeight="true" outlineLevel="0" collapsed="false">
      <c r="A6" s="3" t="s">
        <v>8</v>
      </c>
      <c r="B6" s="4" t="n">
        <v>0.8</v>
      </c>
      <c r="C6" s="6"/>
      <c r="D6" s="6"/>
    </row>
    <row r="7" customFormat="false" ht="16.5" hidden="false" customHeight="true" outlineLevel="0" collapsed="false">
      <c r="A7" s="3" t="s">
        <v>9</v>
      </c>
      <c r="B7" s="4" t="n">
        <v>0.6</v>
      </c>
      <c r="C7" s="6"/>
      <c r="D7" s="6"/>
    </row>
    <row r="8" customFormat="false" ht="16.5" hidden="false" customHeight="true" outlineLevel="0" collapsed="false">
      <c r="A8" s="3" t="s">
        <v>10</v>
      </c>
      <c r="B8" s="4" t="n">
        <v>0.6</v>
      </c>
      <c r="C8" s="6"/>
      <c r="D8" s="6"/>
    </row>
    <row r="9" customFormat="false" ht="16.5" hidden="false" customHeight="true" outlineLevel="0" collapsed="false">
      <c r="A9" s="3" t="s">
        <v>11</v>
      </c>
      <c r="B9" s="4" t="n">
        <v>0.3</v>
      </c>
      <c r="C9" s="6"/>
      <c r="D9" s="6"/>
    </row>
    <row r="10" customFormat="false" ht="32.25" hidden="false" customHeight="true" outlineLevel="0" collapsed="false">
      <c r="A10" s="3" t="s">
        <v>12</v>
      </c>
      <c r="B10" s="4" t="n">
        <v>0.3</v>
      </c>
      <c r="C10" s="6"/>
      <c r="D10" s="6"/>
    </row>
    <row r="11" customFormat="false" ht="16.5" hidden="false" customHeight="true" outlineLevel="0" collapsed="false">
      <c r="A11" s="3" t="s">
        <v>13</v>
      </c>
      <c r="B11" s="4" t="n">
        <v>0.3</v>
      </c>
      <c r="C11" s="6"/>
      <c r="D11" s="6"/>
    </row>
    <row r="12" customFormat="false" ht="16.5" hidden="false" customHeight="true" outlineLevel="0" collapsed="false">
      <c r="A12" s="3" t="s">
        <v>14</v>
      </c>
      <c r="B12" s="4" t="n">
        <v>0.3</v>
      </c>
      <c r="C12" s="6"/>
      <c r="D12" s="6"/>
    </row>
    <row r="13" customFormat="false" ht="16.5" hidden="false" customHeight="true" outlineLevel="0" collapsed="false">
      <c r="A13" s="8" t="s">
        <v>15</v>
      </c>
      <c r="B13" s="9"/>
      <c r="C13" s="10"/>
      <c r="D13" s="10"/>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zeroHeight="false" outlineLevelRow="0" outlineLevelCol="0"/>
  <cols>
    <col collapsed="false" customWidth="true" hidden="false" outlineLevel="0" max="1025" min="1" style="0" width="11.04"/>
  </cols>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tabColor rgb="FFFFFFFF"/>
    <pageSetUpPr fitToPage="true"/>
  </sheetPr>
  <dimension ref="A1:IV6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5" activeCellId="0" sqref="J5"/>
    </sheetView>
  </sheetViews>
  <sheetFormatPr defaultRowHeight="15" zeroHeight="false" outlineLevelRow="0" outlineLevelCol="0"/>
  <cols>
    <col collapsed="false" customWidth="true" hidden="false" outlineLevel="0" max="1" min="1" style="11" width="15.27"/>
    <col collapsed="false" customWidth="true" hidden="false" outlineLevel="0" max="2" min="2" style="11" width="10.27"/>
    <col collapsed="false" customWidth="true" hidden="false" outlineLevel="0" max="3" min="3" style="11" width="15.27"/>
    <col collapsed="false" customWidth="true" hidden="false" outlineLevel="0" max="4" min="4" style="11" width="19.12"/>
    <col collapsed="false" customWidth="true" hidden="false" outlineLevel="0" max="5" min="5" style="11" width="18.54"/>
    <col collapsed="false" customWidth="true" hidden="false" outlineLevel="0" max="6" min="6" style="11" width="5.55"/>
    <col collapsed="false" customWidth="true" hidden="false" outlineLevel="0" max="7" min="7" style="11" width="14.83"/>
    <col collapsed="false" customWidth="true" hidden="false" outlineLevel="0" max="8" min="8" style="11" width="24.11"/>
    <col collapsed="false" customWidth="true" hidden="false" outlineLevel="0" max="9" min="9" style="11" width="8.98"/>
    <col collapsed="false" customWidth="true" hidden="false" outlineLevel="0" max="10" min="10" style="11" width="21.55"/>
    <col collapsed="false" customWidth="true" hidden="false" outlineLevel="0" max="12" min="11" style="11" width="15.54"/>
    <col collapsed="false" customWidth="true" hidden="false" outlineLevel="0" max="14" min="13" style="12" width="15.54"/>
    <col collapsed="false" customWidth="true" hidden="false" outlineLevel="0" max="15" min="15" style="12" width="16.12"/>
    <col collapsed="false" customWidth="true" hidden="false" outlineLevel="0" max="257" min="16" style="11" width="15.54"/>
    <col collapsed="false" customWidth="true" hidden="false" outlineLevel="0" max="1025" min="258" style="0" width="15.54"/>
  </cols>
  <sheetData>
    <row r="1" customFormat="false" ht="21" hidden="false" customHeight="true" outlineLevel="0" collapsed="false">
      <c r="A1" s="13" t="s">
        <v>16</v>
      </c>
      <c r="B1" s="13"/>
      <c r="C1" s="13"/>
      <c r="D1" s="13"/>
      <c r="E1" s="13"/>
      <c r="F1" s="13"/>
      <c r="G1" s="13"/>
      <c r="H1" s="13"/>
      <c r="I1" s="13"/>
      <c r="J1" s="13"/>
      <c r="K1" s="13"/>
      <c r="L1" s="13"/>
      <c r="M1" s="13"/>
      <c r="N1" s="13"/>
      <c r="O1" s="11"/>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row>
    <row r="2" customFormat="false" ht="15" hidden="false" customHeight="true" outlineLevel="0" collapsed="false">
      <c r="A2" s="0"/>
      <c r="B2" s="0"/>
      <c r="C2" s="0"/>
      <c r="D2" s="14"/>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row>
    <row r="3" customFormat="false" ht="15" hidden="false" customHeight="true" outlineLevel="0" collapsed="false">
      <c r="D3" s="14"/>
      <c r="M3" s="11"/>
      <c r="N3" s="11"/>
      <c r="O3" s="11"/>
    </row>
    <row r="4" customFormat="false" ht="15" hidden="false" customHeight="true" outlineLevel="0" collapsed="false">
      <c r="D4" s="14"/>
      <c r="J4" s="15" t="s">
        <v>17</v>
      </c>
      <c r="K4" s="16"/>
      <c r="M4" s="11"/>
      <c r="N4" s="11"/>
      <c r="O4" s="11"/>
    </row>
    <row r="5" customFormat="false" ht="15" hidden="false" customHeight="true" outlineLevel="0" collapsed="false">
      <c r="D5" s="14"/>
      <c r="J5" s="15" t="s">
        <v>18</v>
      </c>
      <c r="K5" s="17" t="n">
        <v>43837</v>
      </c>
      <c r="M5" s="11"/>
      <c r="N5" s="11"/>
      <c r="O5" s="11"/>
    </row>
    <row r="6" customFormat="false" ht="15" hidden="false" customHeight="true" outlineLevel="0" collapsed="false">
      <c r="D6" s="14"/>
      <c r="K6" s="16"/>
      <c r="M6" s="11"/>
      <c r="N6" s="11"/>
      <c r="O6" s="11"/>
    </row>
    <row r="7" customFormat="false" ht="15" hidden="false" customHeight="true" outlineLevel="0" collapsed="false">
      <c r="D7" s="14"/>
      <c r="M7" s="11"/>
      <c r="N7" s="11"/>
      <c r="O7" s="11"/>
    </row>
    <row r="8" customFormat="false" ht="15" hidden="false" customHeight="true" outlineLevel="0" collapsed="false">
      <c r="D8" s="14"/>
      <c r="M8" s="11"/>
      <c r="N8" s="11"/>
      <c r="O8" s="11"/>
    </row>
    <row r="9" customFormat="false" ht="15" hidden="false" customHeight="true" outlineLevel="0" collapsed="false">
      <c r="D9" s="14"/>
      <c r="M9" s="11"/>
      <c r="N9" s="11"/>
      <c r="O9" s="11"/>
    </row>
    <row r="10" customFormat="false" ht="15" hidden="false" customHeight="true" outlineLevel="0" collapsed="false">
      <c r="D10" s="14"/>
      <c r="M10" s="11"/>
      <c r="N10" s="11"/>
      <c r="O10" s="11"/>
    </row>
    <row r="11" customFormat="false" ht="15" hidden="false" customHeight="true" outlineLevel="0" collapsed="false">
      <c r="D11" s="18"/>
      <c r="L11" s="19"/>
      <c r="M11" s="11"/>
      <c r="N11" s="11"/>
      <c r="O11" s="11"/>
    </row>
    <row r="12" customFormat="false" ht="15" hidden="false" customHeight="true" outlineLevel="0" collapsed="false">
      <c r="B12" s="20" t="s">
        <v>19</v>
      </c>
      <c r="D12" s="0"/>
      <c r="F12" s="20" t="s">
        <v>20</v>
      </c>
      <c r="G12" s="12"/>
      <c r="H12" s="12"/>
      <c r="L12" s="0"/>
      <c r="M12" s="11"/>
      <c r="N12" s="11"/>
      <c r="O12" s="11"/>
      <c r="P12" s="19"/>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row>
    <row r="13" customFormat="false" ht="15.75" hidden="false" customHeight="true" outlineLevel="0" collapsed="false">
      <c r="B13" s="14"/>
      <c r="D13" s="0"/>
      <c r="F13" s="0"/>
      <c r="G13" s="0"/>
      <c r="H13" s="0"/>
      <c r="L13" s="0"/>
      <c r="M13" s="11"/>
      <c r="N13" s="11"/>
      <c r="O13" s="11"/>
      <c r="P13" s="19"/>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row>
    <row r="14" customFormat="false" ht="15" hidden="false" customHeight="true" outlineLevel="0" collapsed="false">
      <c r="B14" s="21" t="s">
        <v>21</v>
      </c>
      <c r="C14" s="22" t="s">
        <v>16</v>
      </c>
      <c r="D14" s="23"/>
      <c r="E14" s="0"/>
      <c r="F14" s="24" t="s">
        <v>22</v>
      </c>
      <c r="G14" s="24"/>
      <c r="H14" s="24"/>
      <c r="I14" s="24"/>
      <c r="J14" s="0"/>
      <c r="K14" s="0"/>
      <c r="L14" s="0"/>
      <c r="M14" s="0"/>
      <c r="N14" s="0"/>
      <c r="O14" s="0"/>
      <c r="P14" s="19"/>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row>
    <row r="15" customFormat="false" ht="15" hidden="false" customHeight="true" outlineLevel="0" collapsed="false">
      <c r="B15" s="25" t="s">
        <v>23</v>
      </c>
      <c r="C15" s="26" t="s">
        <v>24</v>
      </c>
      <c r="D15" s="26"/>
      <c r="E15" s="0"/>
      <c r="F15" s="27" t="s">
        <v>25</v>
      </c>
      <c r="G15" s="27"/>
      <c r="H15" s="27"/>
      <c r="I15" s="27"/>
      <c r="J15" s="0"/>
      <c r="K15" s="0"/>
      <c r="L15" s="0"/>
      <c r="M15" s="0"/>
      <c r="N15" s="0"/>
      <c r="O15" s="0"/>
      <c r="P15" s="28"/>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row>
    <row r="16" customFormat="false" ht="15" hidden="false" customHeight="true" outlineLevel="0" collapsed="false">
      <c r="B16" s="29" t="s">
        <v>26</v>
      </c>
      <c r="C16" s="22" t="s">
        <v>27</v>
      </c>
      <c r="D16" s="23"/>
      <c r="E16" s="0"/>
      <c r="F16" s="30" t="s">
        <v>28</v>
      </c>
      <c r="G16" s="30"/>
      <c r="H16" s="30"/>
      <c r="I16" s="30"/>
      <c r="J16" s="0"/>
      <c r="K16" s="0"/>
      <c r="L16" s="0"/>
      <c r="M16" s="0"/>
      <c r="N16" s="0"/>
      <c r="O16" s="0"/>
      <c r="P16" s="19"/>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row>
    <row r="17" customFormat="false" ht="15" hidden="false" customHeight="true" outlineLevel="0" collapsed="false">
      <c r="A17" s="0"/>
      <c r="B17" s="31" t="s">
        <v>29</v>
      </c>
      <c r="C17" s="32" t="s">
        <v>30</v>
      </c>
      <c r="D17" s="33"/>
      <c r="E17" s="0"/>
      <c r="F17" s="34" t="s">
        <v>31</v>
      </c>
      <c r="G17" s="34"/>
      <c r="H17" s="34"/>
      <c r="I17" s="34"/>
      <c r="J17" s="0"/>
      <c r="K17" s="0"/>
      <c r="L17" s="0"/>
      <c r="M17" s="0"/>
      <c r="N17" s="0"/>
      <c r="O17" s="0"/>
      <c r="P17" s="19"/>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row>
    <row r="18" customFormat="false" ht="15" hidden="false" customHeight="true" outlineLevel="0" collapsed="false">
      <c r="A18" s="0"/>
      <c r="B18" s="35" t="s">
        <v>32</v>
      </c>
      <c r="C18" s="32" t="s">
        <v>33</v>
      </c>
      <c r="D18" s="33"/>
      <c r="E18" s="0"/>
      <c r="F18" s="36" t="s">
        <v>34</v>
      </c>
      <c r="G18" s="36"/>
      <c r="H18" s="36"/>
      <c r="I18" s="36"/>
      <c r="J18" s="0"/>
      <c r="K18" s="0"/>
      <c r="L18" s="0"/>
      <c r="M18" s="0"/>
      <c r="N18" s="0"/>
      <c r="O18" s="0"/>
      <c r="P18" s="19"/>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row>
    <row r="19" customFormat="false" ht="15" hidden="false" customHeight="true" outlineLevel="0" collapsed="false">
      <c r="A19" s="0"/>
      <c r="B19" s="37" t="s">
        <v>35</v>
      </c>
      <c r="C19" s="38" t="s">
        <v>36</v>
      </c>
      <c r="D19" s="39" t="s">
        <v>37</v>
      </c>
      <c r="E19" s="0"/>
      <c r="F19" s="40" t="s">
        <v>38</v>
      </c>
      <c r="G19" s="40"/>
      <c r="H19" s="40"/>
      <c r="I19" s="40"/>
      <c r="J19" s="0"/>
      <c r="K19" s="0"/>
      <c r="L19" s="0"/>
      <c r="M19" s="0"/>
      <c r="N19" s="0"/>
      <c r="O19" s="19"/>
      <c r="P19" s="19"/>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row>
    <row r="20" customFormat="false" ht="15.75" hidden="false" customHeight="true" outlineLevel="0" collapsed="false">
      <c r="A20" s="0"/>
      <c r="B20" s="41" t="s">
        <v>39</v>
      </c>
      <c r="C20" s="38"/>
      <c r="D20" s="42" t="s">
        <v>40</v>
      </c>
      <c r="E20" s="0"/>
      <c r="F20" s="43" t="s">
        <v>41</v>
      </c>
      <c r="G20" s="43"/>
      <c r="H20" s="43"/>
      <c r="I20" s="43"/>
      <c r="J20" s="19"/>
      <c r="K20" s="0"/>
      <c r="L20" s="0"/>
      <c r="M20" s="0"/>
      <c r="N20" s="0"/>
      <c r="O20" s="19"/>
      <c r="P20" s="19"/>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row>
    <row r="21" customFormat="false" ht="16.5" hidden="false" customHeight="true" outlineLevel="0" collapsed="false">
      <c r="A21" s="0"/>
      <c r="B21" s="44" t="s">
        <v>42</v>
      </c>
      <c r="C21" s="38"/>
      <c r="D21" s="45" t="s">
        <v>43</v>
      </c>
      <c r="E21" s="0"/>
      <c r="F21" s="46" t="s">
        <v>44</v>
      </c>
      <c r="G21" s="46"/>
      <c r="H21" s="46"/>
      <c r="I21" s="46"/>
      <c r="J21" s="47"/>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row>
    <row r="22" customFormat="false" ht="15.75" hidden="false" customHeight="true" outlineLevel="0" collapsed="false">
      <c r="B22" s="29" t="s">
        <v>45</v>
      </c>
      <c r="C22" s="48" t="s">
        <v>46</v>
      </c>
      <c r="D22" s="49"/>
      <c r="F22" s="46"/>
      <c r="G22" s="46"/>
      <c r="H22" s="46"/>
      <c r="I22" s="46"/>
      <c r="M22" s="11"/>
      <c r="N22" s="11"/>
      <c r="O22" s="11"/>
    </row>
    <row r="23" customFormat="false" ht="13.9" hidden="false" customHeight="true" outlineLevel="0" collapsed="false">
      <c r="A23" s="0"/>
      <c r="B23" s="21" t="s">
        <v>47</v>
      </c>
      <c r="C23" s="22" t="s">
        <v>48</v>
      </c>
      <c r="D23" s="23"/>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row>
    <row r="24" customFormat="false" ht="15" hidden="false" customHeight="true" outlineLevel="0" collapsed="false">
      <c r="A24" s="0"/>
      <c r="B24" s="0"/>
      <c r="C24" s="0"/>
      <c r="D24" s="0"/>
      <c r="E24" s="0"/>
      <c r="J24" s="0"/>
      <c r="K24" s="0"/>
      <c r="M24" s="11"/>
      <c r="N24" s="11"/>
      <c r="O24" s="11"/>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row>
    <row r="25" customFormat="false" ht="15.75" hidden="false" customHeight="true" outlineLevel="0" collapsed="false">
      <c r="A25" s="0"/>
      <c r="B25" s="50" t="s">
        <v>49</v>
      </c>
      <c r="C25" s="50"/>
      <c r="D25" s="51"/>
      <c r="E25" s="0"/>
      <c r="J25" s="0"/>
      <c r="K25" s="0"/>
      <c r="M25" s="11"/>
      <c r="N25" s="11"/>
      <c r="O25" s="11"/>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row>
    <row r="26" customFormat="false" ht="15.75" hidden="false" customHeight="true" outlineLevel="0" collapsed="false">
      <c r="A26" s="11" t="s">
        <v>50</v>
      </c>
      <c r="B26" s="52"/>
      <c r="C26" s="52"/>
      <c r="D26" s="51"/>
      <c r="E26" s="0"/>
      <c r="F26" s="0"/>
      <c r="G26" s="0"/>
      <c r="H26" s="0"/>
      <c r="I26" s="0"/>
      <c r="J26" s="0"/>
      <c r="K26" s="0"/>
      <c r="M26" s="11"/>
      <c r="N26" s="11"/>
      <c r="O26" s="11"/>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row>
    <row r="27" customFormat="false" ht="15" hidden="false" customHeight="true" outlineLevel="0" collapsed="false">
      <c r="A27" s="11" t="s">
        <v>51</v>
      </c>
      <c r="B27" s="0"/>
      <c r="C27" s="0"/>
      <c r="D27" s="0"/>
      <c r="E27" s="0"/>
      <c r="F27" s="53"/>
      <c r="G27" s="53"/>
      <c r="H27" s="0"/>
      <c r="I27" s="0"/>
      <c r="J27" s="0"/>
      <c r="K27" s="0"/>
      <c r="M27" s="11"/>
      <c r="N27" s="11"/>
      <c r="O27" s="11"/>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row>
    <row r="28" customFormat="false" ht="15" hidden="false" customHeight="true" outlineLevel="0" collapsed="false">
      <c r="A28" s="11" t="s">
        <v>52</v>
      </c>
      <c r="B28" s="54" t="s">
        <v>53</v>
      </c>
      <c r="M28" s="11"/>
      <c r="N28" s="11"/>
      <c r="O28" s="11"/>
    </row>
    <row r="29" customFormat="false" ht="15" hidden="false" customHeight="true" outlineLevel="0" collapsed="false">
      <c r="A29" s="0"/>
      <c r="B29" s="0"/>
      <c r="M29" s="11"/>
      <c r="N29" s="11"/>
      <c r="O29" s="11"/>
    </row>
    <row r="30" customFormat="false" ht="15" hidden="false" customHeight="true" outlineLevel="0" collapsed="false">
      <c r="A30" s="0"/>
      <c r="B30" s="0"/>
      <c r="P30" s="0"/>
      <c r="Q30" s="0"/>
      <c r="R30" s="0"/>
      <c r="S30" s="0"/>
      <c r="T30" s="0"/>
      <c r="U30" s="0"/>
      <c r="V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row>
    <row r="31" customFormat="false" ht="15.75" hidden="false" customHeight="true" outlineLevel="0" collapsed="false">
      <c r="A31" s="0"/>
      <c r="B31" s="50" t="s">
        <v>54</v>
      </c>
      <c r="C31" s="50"/>
      <c r="D31" s="0"/>
      <c r="E31" s="0"/>
      <c r="F31" s="0"/>
      <c r="G31" s="0"/>
      <c r="H31" s="0"/>
      <c r="I31" s="0"/>
      <c r="J31" s="0"/>
      <c r="K31" s="0"/>
      <c r="L31" s="0"/>
      <c r="M31" s="0"/>
      <c r="N31" s="0"/>
      <c r="O31" s="0"/>
      <c r="P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row>
    <row r="32" customFormat="false" ht="15" hidden="false" customHeight="true" outlineLevel="0" collapsed="false">
      <c r="A32" s="55" t="s">
        <v>55</v>
      </c>
      <c r="B32" s="55"/>
      <c r="C32" s="55"/>
      <c r="D32" s="55"/>
      <c r="E32" s="55"/>
      <c r="F32" s="55"/>
      <c r="G32" s="55"/>
      <c r="H32" s="55"/>
      <c r="I32" s="55"/>
      <c r="J32" s="55"/>
      <c r="K32" s="0"/>
      <c r="L32" s="0"/>
      <c r="M32" s="0"/>
      <c r="N32" s="0"/>
      <c r="O32" s="0"/>
      <c r="P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row>
    <row r="33" customFormat="false" ht="15" hidden="false" customHeight="true" outlineLevel="0" collapsed="false">
      <c r="A33" s="11" t="s">
        <v>56</v>
      </c>
      <c r="B33" s="0"/>
      <c r="C33" s="0"/>
      <c r="D33" s="0"/>
      <c r="E33" s="0"/>
      <c r="F33" s="0"/>
      <c r="G33" s="0"/>
      <c r="H33" s="0"/>
      <c r="I33" s="0"/>
      <c r="J33" s="0"/>
      <c r="K33" s="0"/>
      <c r="L33" s="0"/>
      <c r="M33" s="0"/>
      <c r="N33" s="0"/>
      <c r="O33" s="0"/>
      <c r="P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row>
    <row r="34" customFormat="false" ht="15" hidden="false" customHeight="true" outlineLevel="0" collapsed="false">
      <c r="A34" s="11" t="s">
        <v>57</v>
      </c>
      <c r="B34" s="0"/>
      <c r="C34" s="0"/>
      <c r="D34" s="0"/>
      <c r="E34" s="0"/>
      <c r="F34" s="0"/>
      <c r="G34" s="0"/>
      <c r="H34" s="0"/>
      <c r="I34" s="0"/>
      <c r="J34" s="0"/>
      <c r="K34" s="0"/>
      <c r="L34" s="0"/>
      <c r="M34" s="0"/>
      <c r="N34" s="0"/>
      <c r="O34" s="0"/>
      <c r="P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row>
    <row r="37" customFormat="false" ht="15.75" hidden="false" customHeight="true" outlineLevel="0" collapsed="false">
      <c r="B37" s="50" t="s">
        <v>58</v>
      </c>
      <c r="C37" s="50"/>
      <c r="D37" s="0"/>
      <c r="E37" s="0"/>
      <c r="F37" s="0"/>
      <c r="G37" s="0"/>
      <c r="H37" s="0"/>
      <c r="I37" s="0"/>
      <c r="J37" s="0"/>
      <c r="K37" s="0"/>
      <c r="L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row>
    <row r="38" customFormat="false" ht="15" hidden="false" customHeight="true" outlineLevel="0" collapsed="false">
      <c r="A38" s="11" t="s">
        <v>59</v>
      </c>
      <c r="B38" s="0"/>
      <c r="C38" s="0"/>
      <c r="D38" s="0"/>
      <c r="E38" s="0"/>
      <c r="F38" s="0"/>
      <c r="G38" s="0"/>
      <c r="H38" s="0"/>
      <c r="I38" s="0"/>
      <c r="J38" s="0"/>
      <c r="K38" s="0"/>
      <c r="L38" s="0"/>
      <c r="M38" s="0"/>
      <c r="N38" s="0"/>
      <c r="O38" s="0"/>
      <c r="P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row>
    <row r="39" customFormat="false" ht="15" hidden="false" customHeight="true" outlineLevel="0" collapsed="false">
      <c r="A39" s="11" t="s">
        <v>60</v>
      </c>
      <c r="B39" s="0"/>
      <c r="C39" s="0"/>
      <c r="D39" s="0"/>
      <c r="E39" s="0"/>
      <c r="F39" s="0"/>
      <c r="G39" s="0"/>
      <c r="H39" s="0"/>
      <c r="I39" s="0"/>
      <c r="J39" s="0"/>
      <c r="K39" s="0"/>
      <c r="L39" s="0"/>
      <c r="M39" s="0"/>
      <c r="N39" s="0"/>
      <c r="O39" s="0"/>
      <c r="P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row>
    <row r="40" customFormat="false" ht="15" hidden="false" customHeight="true" outlineLevel="0" collapsed="false">
      <c r="A40" s="0"/>
      <c r="B40" s="0"/>
      <c r="C40" s="0"/>
      <c r="D40" s="0"/>
      <c r="E40" s="0"/>
      <c r="F40" s="0"/>
      <c r="G40" s="0"/>
      <c r="H40" s="0"/>
      <c r="I40" s="0"/>
      <c r="J40" s="0"/>
      <c r="K40" s="0"/>
      <c r="L40" s="0"/>
      <c r="M40" s="0"/>
      <c r="N40" s="0"/>
      <c r="O40" s="0"/>
      <c r="P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row>
    <row r="41" customFormat="false" ht="15" hidden="false" customHeight="true" outlineLevel="0" collapsed="false">
      <c r="A41" s="0"/>
      <c r="B41" s="0"/>
      <c r="C41" s="0"/>
      <c r="D41" s="0"/>
      <c r="E41" s="0"/>
      <c r="F41" s="0"/>
      <c r="G41" s="0"/>
      <c r="H41" s="0"/>
      <c r="I41" s="0"/>
      <c r="J41" s="0"/>
      <c r="K41" s="0"/>
      <c r="L41" s="0"/>
      <c r="M41" s="0"/>
      <c r="N41" s="0"/>
      <c r="O41" s="0"/>
      <c r="P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row>
    <row r="42" customFormat="false" ht="15.75" hidden="false" customHeight="true" outlineLevel="0" collapsed="false">
      <c r="A42" s="0"/>
      <c r="B42" s="50" t="s">
        <v>33</v>
      </c>
      <c r="C42" s="50"/>
      <c r="D42" s="51"/>
      <c r="E42" s="0"/>
      <c r="F42" s="0"/>
      <c r="G42" s="0"/>
      <c r="H42" s="0"/>
      <c r="I42" s="0"/>
      <c r="J42" s="0"/>
      <c r="K42" s="0"/>
      <c r="L42" s="0"/>
      <c r="M42" s="0"/>
      <c r="N42" s="0"/>
      <c r="O42" s="0"/>
      <c r="P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row>
    <row r="43" customFormat="false" ht="15.75" hidden="false" customHeight="true" outlineLevel="0" collapsed="false">
      <c r="A43" s="0"/>
      <c r="B43" s="56" t="s">
        <v>61</v>
      </c>
      <c r="C43" s="56"/>
      <c r="D43" s="51"/>
      <c r="E43" s="0"/>
      <c r="F43" s="0"/>
      <c r="G43" s="0"/>
      <c r="H43" s="0"/>
      <c r="I43" s="0"/>
      <c r="J43" s="0"/>
      <c r="K43" s="0"/>
      <c r="L43" s="0"/>
      <c r="M43" s="0"/>
      <c r="N43" s="0"/>
      <c r="O43" s="0"/>
      <c r="P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row>
    <row r="44" customFormat="false" ht="15" hidden="false" customHeight="true" outlineLevel="0" collapsed="false">
      <c r="A44" s="11" t="s">
        <v>62</v>
      </c>
      <c r="B44" s="0"/>
      <c r="C44" s="0"/>
      <c r="D44" s="0"/>
      <c r="E44" s="0"/>
      <c r="F44" s="0"/>
      <c r="G44" s="0"/>
      <c r="H44" s="0"/>
      <c r="I44" s="0"/>
      <c r="J44" s="0"/>
      <c r="K44" s="0"/>
      <c r="L44" s="0"/>
      <c r="M44" s="0"/>
      <c r="N44" s="0"/>
      <c r="O44" s="0"/>
      <c r="P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row>
    <row r="45" customFormat="false" ht="15" hidden="false" customHeight="true" outlineLevel="0" collapsed="false">
      <c r="A45" s="0"/>
      <c r="B45" s="0"/>
      <c r="C45" s="0"/>
      <c r="D45" s="0"/>
      <c r="E45" s="0"/>
      <c r="F45" s="0"/>
      <c r="G45" s="0"/>
      <c r="H45" s="0"/>
      <c r="I45" s="0"/>
      <c r="J45" s="0"/>
      <c r="K45" s="0"/>
      <c r="L45" s="0"/>
      <c r="M45" s="0"/>
      <c r="N45" s="0"/>
      <c r="O45" s="0"/>
      <c r="P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row>
    <row r="46" customFormat="false" ht="15" hidden="false" customHeight="true" outlineLevel="0" collapsed="false">
      <c r="A46" s="0"/>
      <c r="B46" s="0"/>
      <c r="C46" s="0"/>
      <c r="D46" s="0"/>
      <c r="E46" s="0"/>
      <c r="F46" s="0"/>
      <c r="G46" s="0"/>
      <c r="H46" s="0"/>
      <c r="I46" s="0"/>
      <c r="J46" s="0"/>
      <c r="K46" s="0"/>
      <c r="L46" s="0"/>
      <c r="M46" s="0"/>
      <c r="N46" s="0"/>
      <c r="O46" s="0"/>
      <c r="P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row>
    <row r="47" customFormat="false" ht="15.75" hidden="false" customHeight="true" outlineLevel="0" collapsed="false">
      <c r="A47" s="0"/>
      <c r="B47" s="57" t="s">
        <v>63</v>
      </c>
      <c r="C47" s="0"/>
      <c r="D47" s="0"/>
      <c r="E47" s="0"/>
      <c r="F47" s="0"/>
      <c r="G47" s="0"/>
      <c r="H47" s="0"/>
      <c r="I47" s="0"/>
      <c r="J47" s="0"/>
      <c r="K47" s="0"/>
      <c r="L47" s="0"/>
      <c r="M47" s="0"/>
      <c r="N47" s="0"/>
      <c r="O47" s="0"/>
      <c r="P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row>
    <row r="48" customFormat="false" ht="15" hidden="false" customHeight="true" outlineLevel="0" collapsed="false">
      <c r="A48" s="11" t="s">
        <v>64</v>
      </c>
      <c r="B48" s="0"/>
      <c r="C48" s="0"/>
      <c r="D48" s="0"/>
      <c r="E48" s="0"/>
      <c r="F48" s="0"/>
      <c r="G48" s="0"/>
      <c r="H48" s="0"/>
      <c r="I48" s="0"/>
      <c r="J48" s="0"/>
      <c r="K48" s="0"/>
      <c r="L48" s="0"/>
      <c r="M48" s="0"/>
      <c r="N48" s="0"/>
      <c r="O48" s="0"/>
      <c r="P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row>
    <row r="49" customFormat="false" ht="15" hidden="false" customHeight="true" outlineLevel="0" collapsed="false">
      <c r="A49" s="11" t="s">
        <v>65</v>
      </c>
      <c r="B49" s="0"/>
      <c r="C49" s="0"/>
      <c r="D49" s="0"/>
      <c r="E49" s="0"/>
      <c r="F49" s="0"/>
      <c r="G49" s="0"/>
      <c r="H49" s="0"/>
      <c r="I49" s="0"/>
      <c r="J49" s="0"/>
      <c r="K49" s="0"/>
      <c r="L49" s="0"/>
      <c r="M49" s="0"/>
      <c r="N49" s="0"/>
      <c r="O49" s="0"/>
      <c r="P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row>
    <row r="50" customFormat="false" ht="15" hidden="false" customHeight="true" outlineLevel="0" collapsed="false">
      <c r="A50" s="55" t="s">
        <v>66</v>
      </c>
      <c r="B50" s="0"/>
      <c r="C50" s="0"/>
      <c r="D50" s="0"/>
      <c r="E50" s="0"/>
      <c r="F50" s="0"/>
      <c r="G50" s="0"/>
      <c r="H50" s="0"/>
      <c r="I50" s="0"/>
      <c r="J50" s="0"/>
      <c r="K50" s="0"/>
      <c r="L50" s="0"/>
      <c r="M50" s="0"/>
      <c r="N50" s="0"/>
      <c r="O50" s="0"/>
      <c r="P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row>
    <row r="53" customFormat="false" ht="15.75" hidden="false" customHeight="true" outlineLevel="0" collapsed="false">
      <c r="A53" s="0"/>
      <c r="B53" s="50" t="s">
        <v>46</v>
      </c>
      <c r="C53" s="50"/>
      <c r="D53" s="0"/>
    </row>
    <row r="54" customFormat="false" ht="15" hidden="false" customHeight="true" outlineLevel="0" collapsed="false">
      <c r="A54" s="11" t="s">
        <v>67</v>
      </c>
      <c r="B54" s="0"/>
      <c r="D54" s="0"/>
    </row>
    <row r="55" customFormat="false" ht="15" hidden="false" customHeight="true" outlineLevel="0" collapsed="false">
      <c r="B55" s="11" t="s">
        <v>68</v>
      </c>
      <c r="D55" s="0"/>
    </row>
    <row r="56" customFormat="false" ht="15" hidden="false" customHeight="true" outlineLevel="0" collapsed="false">
      <c r="B56" s="11" t="s">
        <v>69</v>
      </c>
      <c r="D56" s="0"/>
    </row>
    <row r="57" customFormat="false" ht="15" hidden="false" customHeight="true" outlineLevel="0" collapsed="false">
      <c r="B57" s="11" t="s">
        <v>70</v>
      </c>
      <c r="D57" s="51"/>
    </row>
    <row r="58" customFormat="false" ht="15" hidden="false" customHeight="true" outlineLevel="0" collapsed="false">
      <c r="B58" s="11" t="s">
        <v>71</v>
      </c>
      <c r="D58" s="51"/>
    </row>
    <row r="61" customFormat="false" ht="15" hidden="false" customHeight="true" outlineLevel="0" collapsed="false">
      <c r="B61" s="50" t="s">
        <v>48</v>
      </c>
      <c r="C61" s="50"/>
    </row>
    <row r="62" customFormat="false" ht="15" hidden="false" customHeight="true" outlineLevel="0" collapsed="false">
      <c r="A62" s="11" t="s">
        <v>72</v>
      </c>
    </row>
    <row r="63" customFormat="false" ht="15" hidden="false" customHeight="true" outlineLevel="0" collapsed="false">
      <c r="A63" s="11" t="s">
        <v>73</v>
      </c>
    </row>
    <row r="64" customFormat="false" ht="15" hidden="false" customHeight="true" outlineLevel="0" collapsed="false">
      <c r="A64" s="11" t="s">
        <v>74</v>
      </c>
    </row>
  </sheetData>
  <mergeCells count="18">
    <mergeCell ref="A1:N1"/>
    <mergeCell ref="F14:I14"/>
    <mergeCell ref="C15:D15"/>
    <mergeCell ref="F15:I15"/>
    <mergeCell ref="F16:I16"/>
    <mergeCell ref="F17:I17"/>
    <mergeCell ref="F18:I18"/>
    <mergeCell ref="C19:C21"/>
    <mergeCell ref="F19:I19"/>
    <mergeCell ref="F20:I20"/>
    <mergeCell ref="F21:I22"/>
    <mergeCell ref="B25:C25"/>
    <mergeCell ref="B31:C31"/>
    <mergeCell ref="B37:C37"/>
    <mergeCell ref="B42:C42"/>
    <mergeCell ref="B43:C43"/>
    <mergeCell ref="B53:C53"/>
    <mergeCell ref="B61:C61"/>
  </mergeCells>
  <printOptions headings="false" gridLines="false" gridLinesSet="true" horizontalCentered="false" verticalCentered="false"/>
  <pageMargins left="0" right="0" top="0.747916666666667" bottom="0.747916666666667" header="0.511805555555555" footer="0.511805555555555"/>
  <pageSetup paperSize="9" scale="100" firstPageNumber="0" fitToWidth="0"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tabColor rgb="FFFFFF00"/>
    <pageSetUpPr fitToPage="false"/>
  </sheetPr>
  <dimension ref="A1:P1210"/>
  <sheetViews>
    <sheetView showFormulas="false" showGridLines="true" showRowColHeaders="true" showZeros="true" rightToLeft="false" tabSelected="false" showOutlineSymbols="true" defaultGridColor="true" view="normal" topLeftCell="B22" colorId="64" zoomScale="100" zoomScaleNormal="100" zoomScalePageLayoutView="100" workbookViewId="0">
      <selection pane="topLeft" activeCell="E41" activeCellId="0" sqref="E41"/>
    </sheetView>
  </sheetViews>
  <sheetFormatPr defaultRowHeight="15.4" zeroHeight="false" outlineLevelRow="0" outlineLevelCol="0"/>
  <cols>
    <col collapsed="false" customWidth="true" hidden="false" outlineLevel="0" max="7" min="1" style="0" width="10.27"/>
    <col collapsed="false" customWidth="true" hidden="false" outlineLevel="0" max="8" min="8" style="0" width="10.12"/>
    <col collapsed="false" customWidth="true" hidden="false" outlineLevel="0" max="9" min="9" style="0" width="6.55"/>
    <col collapsed="false" customWidth="true" hidden="false" outlineLevel="0" max="1025" min="10" style="0" width="11.04"/>
  </cols>
  <sheetData>
    <row r="1" customFormat="false" ht="15.4" hidden="false" customHeight="true" outlineLevel="0" collapsed="false">
      <c r="A1" s="58" t="s">
        <v>75</v>
      </c>
      <c r="B1" s="58"/>
      <c r="C1" s="58"/>
      <c r="D1" s="58"/>
      <c r="E1" s="58"/>
      <c r="F1" s="58"/>
      <c r="G1" s="58"/>
      <c r="H1" s="58"/>
      <c r="I1" s="58"/>
    </row>
    <row r="2" customFormat="false" ht="15.4" hidden="false" customHeight="true" outlineLevel="0" collapsed="false">
      <c r="A2" s="59"/>
      <c r="B2" s="59"/>
      <c r="C2" s="60"/>
      <c r="D2" s="60"/>
      <c r="E2" s="60"/>
      <c r="F2" s="60"/>
      <c r="G2" s="60"/>
      <c r="H2" s="61"/>
      <c r="I2" s="62"/>
    </row>
    <row r="3" customFormat="false" ht="15.4" hidden="false" customHeight="true" outlineLevel="0" collapsed="false">
      <c r="A3" s="63" t="s">
        <v>76</v>
      </c>
      <c r="B3" s="63"/>
      <c r="C3" s="64"/>
      <c r="D3" s="64"/>
      <c r="E3" s="64"/>
      <c r="F3" s="65" t="s">
        <v>77</v>
      </c>
      <c r="G3" s="64"/>
      <c r="H3" s="64"/>
      <c r="I3" s="66"/>
    </row>
    <row r="4" customFormat="false" ht="15.4" hidden="false" customHeight="true" outlineLevel="0" collapsed="false">
      <c r="A4" s="67"/>
      <c r="B4" s="68"/>
      <c r="C4" s="68"/>
      <c r="D4" s="68"/>
      <c r="E4" s="68"/>
      <c r="F4" s="68"/>
      <c r="G4" s="68"/>
      <c r="H4" s="68"/>
      <c r="I4" s="69"/>
    </row>
    <row r="5" customFormat="false" ht="15.4" hidden="false" customHeight="true" outlineLevel="0" collapsed="false">
      <c r="A5" s="70" t="s">
        <v>78</v>
      </c>
      <c r="B5" s="70"/>
      <c r="C5" s="71"/>
      <c r="D5" s="71"/>
      <c r="E5" s="72"/>
      <c r="F5" s="73" t="s">
        <v>79</v>
      </c>
      <c r="G5" s="71"/>
      <c r="H5" s="71"/>
      <c r="I5" s="74"/>
    </row>
    <row r="6" customFormat="false" ht="15.4" hidden="false" customHeight="true" outlineLevel="0" collapsed="false">
      <c r="A6" s="75"/>
      <c r="B6" s="75"/>
      <c r="C6" s="75"/>
      <c r="D6" s="75"/>
      <c r="E6" s="75"/>
    </row>
    <row r="7" customFormat="false" ht="15.4" hidden="false" customHeight="true" outlineLevel="0" collapsed="false">
      <c r="A7" s="76" t="s">
        <v>80</v>
      </c>
      <c r="B7" s="76"/>
      <c r="C7" s="77"/>
      <c r="D7" s="78"/>
      <c r="E7" s="78"/>
      <c r="F7" s="68" t="s">
        <v>81</v>
      </c>
      <c r="G7" s="68"/>
      <c r="H7" s="79"/>
      <c r="I7" s="79"/>
    </row>
    <row r="8" customFormat="false" ht="15.4" hidden="false" customHeight="true" outlineLevel="0" collapsed="false">
      <c r="A8" s="80" t="s">
        <v>82</v>
      </c>
      <c r="B8" s="78"/>
      <c r="C8" s="78"/>
      <c r="D8" s="78"/>
      <c r="E8" s="78"/>
      <c r="F8" s="68" t="s">
        <v>83</v>
      </c>
      <c r="G8" s="79"/>
      <c r="H8" s="79"/>
      <c r="I8" s="79"/>
    </row>
    <row r="9" customFormat="false" ht="15.4" hidden="false" customHeight="true" outlineLevel="0" collapsed="false">
      <c r="A9" s="81" t="s">
        <v>84</v>
      </c>
      <c r="B9" s="78"/>
      <c r="C9" s="78"/>
      <c r="D9" s="78"/>
      <c r="E9" s="78"/>
      <c r="F9" s="68" t="s">
        <v>85</v>
      </c>
      <c r="G9" s="79"/>
      <c r="H9" s="79"/>
      <c r="I9" s="79"/>
    </row>
    <row r="10" customFormat="false" ht="15.4" hidden="false" customHeight="true" outlineLevel="0" collapsed="false">
      <c r="A10" s="75"/>
      <c r="B10" s="75"/>
      <c r="C10" s="75"/>
      <c r="D10" s="75"/>
      <c r="E10" s="75"/>
      <c r="F10" s="75"/>
      <c r="G10" s="75"/>
      <c r="H10" s="75"/>
      <c r="I10" s="75"/>
    </row>
    <row r="12" customFormat="false" ht="15.4" hidden="false" customHeight="true" outlineLevel="0" collapsed="false">
      <c r="A12" s="82" t="s">
        <v>86</v>
      </c>
    </row>
    <row r="13" customFormat="false" ht="15.4" hidden="false" customHeight="true" outlineLevel="0" collapsed="false">
      <c r="A13" s="68" t="s">
        <v>87</v>
      </c>
      <c r="B13" s="68"/>
      <c r="C13" s="68"/>
      <c r="D13" s="83"/>
      <c r="E13" s="84"/>
      <c r="F13" s="84"/>
      <c r="G13" s="80" t="s">
        <v>88</v>
      </c>
      <c r="H13" s="79"/>
    </row>
    <row r="14" customFormat="false" ht="15.4" hidden="false" customHeight="true" outlineLevel="0" collapsed="false">
      <c r="A14" s="68" t="s">
        <v>89</v>
      </c>
      <c r="B14" s="68"/>
      <c r="C14" s="68"/>
      <c r="D14" s="68"/>
      <c r="E14" s="84"/>
      <c r="F14" s="84"/>
      <c r="G14" s="75"/>
      <c r="H14" s="75"/>
      <c r="I14" s="75"/>
    </row>
    <row r="15" customFormat="false" ht="15.4" hidden="false" customHeight="true" outlineLevel="0" collapsed="false">
      <c r="A15" s="68" t="s">
        <v>90</v>
      </c>
      <c r="B15" s="68"/>
      <c r="C15" s="68"/>
      <c r="D15" s="68"/>
      <c r="E15" s="84"/>
      <c r="F15" s="84"/>
      <c r="G15" s="75"/>
      <c r="H15" s="75"/>
      <c r="I15" s="75"/>
    </row>
    <row r="16" customFormat="false" ht="15.4" hidden="false" customHeight="true" outlineLevel="0" collapsed="false">
      <c r="A16" s="68" t="s">
        <v>91</v>
      </c>
      <c r="B16" s="68"/>
      <c r="C16" s="68"/>
      <c r="D16" s="68"/>
      <c r="E16" s="84"/>
      <c r="F16" s="84"/>
      <c r="G16" s="75"/>
      <c r="H16" s="75"/>
      <c r="I16" s="75"/>
    </row>
    <row r="17" customFormat="false" ht="15.4" hidden="false" customHeight="true" outlineLevel="0" collapsed="false">
      <c r="A17" s="75"/>
      <c r="B17" s="75"/>
      <c r="C17" s="75"/>
      <c r="D17" s="75"/>
      <c r="E17" s="75"/>
      <c r="F17" s="75"/>
      <c r="G17" s="75"/>
      <c r="H17" s="75"/>
      <c r="I17" s="75"/>
    </row>
    <row r="18" customFormat="false" ht="15.4" hidden="false" customHeight="true" outlineLevel="0" collapsed="false">
      <c r="A18" s="75"/>
      <c r="B18" s="75"/>
      <c r="C18" s="75"/>
      <c r="D18" s="75"/>
      <c r="E18" s="75"/>
      <c r="F18" s="75"/>
      <c r="G18" s="75"/>
      <c r="H18" s="75"/>
      <c r="I18" s="75"/>
    </row>
    <row r="19" customFormat="false" ht="15.4" hidden="false" customHeight="true" outlineLevel="0" collapsed="false">
      <c r="A19" s="82" t="s">
        <v>92</v>
      </c>
      <c r="B19" s="75"/>
      <c r="C19" s="75"/>
      <c r="D19" s="75"/>
      <c r="E19" s="75"/>
      <c r="F19" s="75"/>
      <c r="G19" s="75"/>
      <c r="H19" s="75"/>
      <c r="I19" s="75"/>
    </row>
    <row r="20" customFormat="false" ht="15.4" hidden="false" customHeight="true" outlineLevel="0" collapsed="false">
      <c r="A20" s="85"/>
      <c r="B20" s="85" t="s">
        <v>93</v>
      </c>
      <c r="C20" s="75"/>
      <c r="D20" s="79"/>
      <c r="E20" s="62" t="s">
        <v>94</v>
      </c>
      <c r="F20" s="75"/>
    </row>
    <row r="21" customFormat="false" ht="15.4" hidden="false" customHeight="true" outlineLevel="0" collapsed="false">
      <c r="A21" s="86" t="s">
        <v>95</v>
      </c>
      <c r="B21" s="87" t="s">
        <v>96</v>
      </c>
      <c r="C21" s="87"/>
      <c r="D21" s="88"/>
      <c r="E21" s="89" t="s">
        <v>94</v>
      </c>
      <c r="F21" s="90" t="s">
        <v>97</v>
      </c>
      <c r="G21" s="90"/>
      <c r="H21" s="79"/>
      <c r="I21" s="62" t="s">
        <v>94</v>
      </c>
    </row>
    <row r="22" customFormat="false" ht="15.4" hidden="false" customHeight="true" outlineLevel="0" collapsed="false">
      <c r="A22" s="85"/>
      <c r="B22" s="87"/>
      <c r="C22" s="87"/>
      <c r="D22" s="88"/>
      <c r="E22" s="89"/>
      <c r="F22" s="90" t="s">
        <v>98</v>
      </c>
      <c r="G22" s="90"/>
      <c r="H22" s="79"/>
      <c r="I22" s="62" t="s">
        <v>94</v>
      </c>
    </row>
    <row r="23" customFormat="false" ht="15.4" hidden="false" customHeight="true" outlineLevel="0" collapsed="false">
      <c r="A23" s="75"/>
      <c r="B23" s="90" t="s">
        <v>99</v>
      </c>
      <c r="C23" s="90"/>
      <c r="D23" s="79"/>
      <c r="E23" s="62" t="s">
        <v>94</v>
      </c>
      <c r="F23" s="90" t="s">
        <v>100</v>
      </c>
      <c r="G23" s="90"/>
      <c r="H23" s="79"/>
      <c r="I23" s="62" t="s">
        <v>94</v>
      </c>
    </row>
    <row r="24" customFormat="false" ht="15.4" hidden="false" customHeight="true" outlineLevel="0" collapsed="false">
      <c r="A24" s="75"/>
      <c r="B24" s="90" t="s">
        <v>101</v>
      </c>
      <c r="C24" s="90"/>
      <c r="D24" s="79"/>
      <c r="E24" s="62" t="s">
        <v>94</v>
      </c>
      <c r="F24" s="91"/>
      <c r="G24" s="91"/>
      <c r="H24" s="75"/>
      <c r="I24" s="62"/>
    </row>
    <row r="25" customFormat="false" ht="15.4" hidden="false" customHeight="true" outlineLevel="0" collapsed="false">
      <c r="B25" s="90" t="s">
        <v>102</v>
      </c>
      <c r="C25" s="90"/>
      <c r="D25" s="79"/>
      <c r="E25" s="62" t="s">
        <v>94</v>
      </c>
      <c r="F25" s="87" t="s">
        <v>103</v>
      </c>
      <c r="G25" s="87"/>
      <c r="H25" s="88"/>
      <c r="I25" s="89" t="s">
        <v>94</v>
      </c>
    </row>
    <row r="26" customFormat="false" ht="15.4" hidden="false" customHeight="true" outlineLevel="0" collapsed="false">
      <c r="F26" s="87"/>
      <c r="G26" s="87"/>
      <c r="H26" s="88"/>
      <c r="I26" s="89"/>
    </row>
    <row r="27" customFormat="false" ht="15.4" hidden="false" customHeight="true" outlineLevel="0" collapsed="false">
      <c r="A27" s="75"/>
      <c r="C27" s="85" t="s">
        <v>104</v>
      </c>
      <c r="D27" s="79"/>
      <c r="E27" s="75" t="s">
        <v>94</v>
      </c>
      <c r="F27" s="75"/>
      <c r="G27" s="75"/>
      <c r="H27" s="75"/>
      <c r="I27" s="75"/>
    </row>
    <row r="28" customFormat="false" ht="15.4" hidden="false" customHeight="true" outlineLevel="0" collapsed="false">
      <c r="B28" s="75"/>
      <c r="C28" s="75"/>
      <c r="D28" s="75"/>
      <c r="E28" s="75"/>
      <c r="F28" s="75"/>
      <c r="G28" s="75"/>
      <c r="H28" s="75"/>
      <c r="I28" s="75"/>
    </row>
    <row r="29" customFormat="false" ht="15.4" hidden="false" customHeight="true" outlineLevel="0" collapsed="false">
      <c r="A29" s="75"/>
      <c r="B29" s="75"/>
      <c r="C29" s="75"/>
      <c r="D29" s="75"/>
      <c r="E29" s="75"/>
      <c r="F29" s="75"/>
      <c r="G29" s="75"/>
      <c r="H29" s="75"/>
      <c r="I29" s="75"/>
    </row>
    <row r="30" customFormat="false" ht="15.4" hidden="false" customHeight="true" outlineLevel="0" collapsed="false">
      <c r="A30" s="82" t="s">
        <v>105</v>
      </c>
      <c r="B30" s="62"/>
      <c r="C30" s="75"/>
      <c r="D30" s="75"/>
      <c r="E30" s="75"/>
      <c r="F30" s="75"/>
      <c r="G30" s="75"/>
      <c r="H30" s="75"/>
      <c r="I30" s="75"/>
    </row>
    <row r="31" customFormat="false" ht="15.4" hidden="false" customHeight="true" outlineLevel="0" collapsed="false">
      <c r="A31" s="83"/>
      <c r="B31" s="83"/>
      <c r="C31" s="83"/>
      <c r="D31" s="83"/>
      <c r="E31" s="83"/>
      <c r="F31" s="83"/>
      <c r="G31" s="83"/>
      <c r="H31" s="83"/>
      <c r="I31" s="83"/>
    </row>
    <row r="32" customFormat="false" ht="15.4" hidden="false" customHeight="true" outlineLevel="0" collapsed="false">
      <c r="A32" s="83"/>
      <c r="B32" s="83"/>
      <c r="C32" s="83"/>
      <c r="D32" s="83"/>
      <c r="E32" s="83"/>
      <c r="F32" s="83"/>
      <c r="G32" s="83"/>
      <c r="H32" s="83"/>
      <c r="I32" s="83"/>
    </row>
    <row r="33" customFormat="false" ht="15.4" hidden="false" customHeight="true" outlineLevel="0" collapsed="false">
      <c r="A33" s="83"/>
      <c r="B33" s="83"/>
      <c r="C33" s="83"/>
      <c r="D33" s="83"/>
      <c r="E33" s="83"/>
      <c r="F33" s="83"/>
      <c r="G33" s="83"/>
      <c r="H33" s="83"/>
      <c r="I33" s="83"/>
    </row>
    <row r="34" customFormat="false" ht="15.4" hidden="false" customHeight="true" outlineLevel="0" collapsed="false">
      <c r="A34" s="83"/>
      <c r="B34" s="83"/>
      <c r="C34" s="83"/>
      <c r="D34" s="83"/>
      <c r="E34" s="83"/>
      <c r="F34" s="83"/>
      <c r="G34" s="83"/>
      <c r="H34" s="83"/>
      <c r="I34" s="83"/>
    </row>
    <row r="35" customFormat="false" ht="15.4" hidden="false" customHeight="true" outlineLevel="0" collapsed="false">
      <c r="A35" s="83"/>
      <c r="B35" s="83"/>
      <c r="C35" s="83"/>
      <c r="D35" s="83"/>
      <c r="E35" s="83"/>
      <c r="F35" s="83"/>
      <c r="G35" s="83"/>
      <c r="H35" s="83"/>
      <c r="I35" s="83"/>
    </row>
    <row r="36" customFormat="false" ht="15.4" hidden="false" customHeight="true" outlineLevel="0" collapsed="false">
      <c r="A36" s="83"/>
      <c r="B36" s="83"/>
      <c r="C36" s="83"/>
      <c r="D36" s="83"/>
      <c r="E36" s="83"/>
      <c r="F36" s="83"/>
      <c r="G36" s="83"/>
      <c r="H36" s="83"/>
      <c r="I36" s="83"/>
    </row>
    <row r="37" customFormat="false" ht="15.4" hidden="false" customHeight="true" outlineLevel="0" collapsed="false">
      <c r="A37" s="83"/>
      <c r="B37" s="83"/>
      <c r="C37" s="83"/>
      <c r="D37" s="83"/>
      <c r="E37" s="83"/>
      <c r="F37" s="83"/>
      <c r="G37" s="83"/>
      <c r="H37" s="83"/>
      <c r="I37" s="83"/>
    </row>
    <row r="38" customFormat="false" ht="15.4" hidden="false" customHeight="true" outlineLevel="0" collapsed="false">
      <c r="A38" s="83"/>
      <c r="B38" s="83"/>
      <c r="C38" s="83"/>
      <c r="D38" s="83"/>
      <c r="E38" s="83"/>
      <c r="F38" s="83"/>
      <c r="G38" s="83"/>
      <c r="H38" s="83"/>
      <c r="I38" s="83"/>
    </row>
    <row r="39" customFormat="false" ht="15.4" hidden="false" customHeight="true" outlineLevel="0" collapsed="false">
      <c r="A39" s="75"/>
      <c r="B39" s="75"/>
      <c r="C39" s="75"/>
      <c r="D39" s="75"/>
      <c r="E39" s="75"/>
      <c r="F39" s="75"/>
      <c r="G39" s="75"/>
      <c r="H39" s="92"/>
      <c r="I39" s="92"/>
    </row>
    <row r="40" customFormat="false" ht="15.4" hidden="false" customHeight="true" outlineLevel="0" collapsed="false">
      <c r="A40" s="82" t="s">
        <v>106</v>
      </c>
      <c r="B40" s="75"/>
      <c r="C40" s="75"/>
      <c r="D40" s="75"/>
      <c r="H40" s="75"/>
      <c r="I40" s="75"/>
    </row>
    <row r="41" customFormat="false" ht="15.4" hidden="false" customHeight="true" outlineLevel="0" collapsed="false">
      <c r="A41" s="80" t="s">
        <v>107</v>
      </c>
      <c r="B41" s="83"/>
      <c r="C41" s="83"/>
      <c r="G41" s="93" t="s">
        <v>108</v>
      </c>
      <c r="H41" s="93"/>
      <c r="I41" s="93"/>
    </row>
    <row r="42" customFormat="false" ht="15.4" hidden="false" customHeight="true" outlineLevel="0" collapsed="false">
      <c r="A42" s="68" t="s">
        <v>109</v>
      </c>
      <c r="B42" s="68"/>
      <c r="C42" s="68"/>
      <c r="D42" s="83"/>
      <c r="E42" s="83"/>
      <c r="G42" s="94"/>
      <c r="H42" s="90" t="s">
        <v>110</v>
      </c>
      <c r="I42" s="95"/>
    </row>
    <row r="43" customFormat="false" ht="15.4" hidden="false" customHeight="true" outlineLevel="0" collapsed="false">
      <c r="A43" s="68" t="s">
        <v>111</v>
      </c>
      <c r="B43" s="68"/>
      <c r="C43" s="68"/>
      <c r="D43" s="83"/>
      <c r="E43" s="83"/>
      <c r="G43" s="94"/>
      <c r="H43" s="90" t="s">
        <v>112</v>
      </c>
      <c r="I43" s="95"/>
    </row>
    <row r="44" customFormat="false" ht="15.4" hidden="false" customHeight="true" outlineLevel="0" collapsed="false">
      <c r="A44" s="68" t="s">
        <v>113</v>
      </c>
      <c r="B44" s="68"/>
      <c r="C44" s="68"/>
      <c r="D44" s="83"/>
      <c r="E44" s="83"/>
      <c r="G44" s="94"/>
      <c r="H44" s="90" t="s">
        <v>114</v>
      </c>
      <c r="I44" s="95"/>
    </row>
    <row r="45" customFormat="false" ht="15.4" hidden="false" customHeight="true" outlineLevel="0" collapsed="false">
      <c r="A45" s="68"/>
      <c r="B45" s="68"/>
      <c r="C45" s="68"/>
      <c r="D45" s="68"/>
      <c r="E45" s="60"/>
      <c r="F45" s="60"/>
      <c r="G45" s="94"/>
      <c r="H45" s="90" t="s">
        <v>115</v>
      </c>
      <c r="I45" s="95"/>
    </row>
    <row r="46" customFormat="false" ht="15.4" hidden="false" customHeight="true" outlineLevel="0" collapsed="false">
      <c r="A46" s="80" t="s">
        <v>116</v>
      </c>
      <c r="B46" s="85"/>
      <c r="C46" s="85"/>
      <c r="D46" s="83"/>
      <c r="E46" s="83"/>
      <c r="G46" s="94"/>
      <c r="H46" s="90" t="s">
        <v>117</v>
      </c>
      <c r="I46" s="95"/>
    </row>
    <row r="47" customFormat="false" ht="15.4" hidden="false" customHeight="true" outlineLevel="0" collapsed="false">
      <c r="A47" s="96" t="s">
        <v>118</v>
      </c>
      <c r="B47" s="83"/>
      <c r="C47" s="83"/>
      <c r="D47" s="83"/>
      <c r="E47" s="83"/>
      <c r="F47" s="83"/>
      <c r="G47" s="60"/>
      <c r="H47" s="90" t="s">
        <v>119</v>
      </c>
      <c r="I47" s="95"/>
    </row>
    <row r="48" customFormat="false" ht="15.4" hidden="false" customHeight="true" outlineLevel="0" collapsed="false">
      <c r="A48" s="62"/>
      <c r="B48" s="83"/>
      <c r="C48" s="83"/>
      <c r="D48" s="83"/>
      <c r="E48" s="83"/>
      <c r="F48" s="83"/>
      <c r="G48" s="97"/>
      <c r="H48" s="97"/>
      <c r="I48" s="97"/>
    </row>
    <row r="49" customFormat="false" ht="14.1" hidden="false" customHeight="true" outlineLevel="0" collapsed="false">
      <c r="A49" s="98" t="s">
        <v>120</v>
      </c>
      <c r="B49" s="98"/>
      <c r="C49" s="98"/>
      <c r="D49" s="98"/>
      <c r="E49" s="98"/>
      <c r="F49" s="98"/>
      <c r="G49" s="98"/>
      <c r="H49" s="98"/>
      <c r="I49" s="98"/>
    </row>
    <row r="50" customFormat="false" ht="14.1" hidden="false" customHeight="true" outlineLevel="0" collapsed="false">
      <c r="A50" s="62"/>
      <c r="B50" s="97"/>
      <c r="C50" s="97"/>
      <c r="D50" s="97"/>
      <c r="E50" s="97"/>
      <c r="F50" s="97"/>
      <c r="G50" s="97"/>
      <c r="H50" s="97"/>
      <c r="I50" s="97"/>
    </row>
    <row r="51" customFormat="false" ht="14.1" hidden="false" customHeight="true" outlineLevel="0" collapsed="false">
      <c r="A51" s="99" t="s">
        <v>121</v>
      </c>
      <c r="B51" s="100"/>
      <c r="C51" s="101"/>
      <c r="D51" s="102" t="s">
        <v>122</v>
      </c>
      <c r="E51" s="103" t="s">
        <v>123</v>
      </c>
      <c r="F51" s="104" t="s">
        <v>124</v>
      </c>
      <c r="G51" s="104"/>
      <c r="H51" s="103" t="s">
        <v>125</v>
      </c>
      <c r="I51" s="97"/>
    </row>
    <row r="52" customFormat="false" ht="14.1" hidden="false" customHeight="true" outlineLevel="0" collapsed="false">
      <c r="A52" s="99"/>
      <c r="B52" s="105"/>
      <c r="C52" s="106"/>
      <c r="D52" s="102"/>
      <c r="E52" s="103"/>
      <c r="F52" s="104"/>
      <c r="G52" s="104"/>
      <c r="H52" s="103"/>
      <c r="I52" s="97"/>
    </row>
    <row r="53" customFormat="false" ht="14.1" hidden="false" customHeight="true" outlineLevel="0" collapsed="false">
      <c r="A53" s="99"/>
      <c r="B53" s="107"/>
      <c r="C53" s="108"/>
      <c r="D53" s="102"/>
      <c r="E53" s="103"/>
      <c r="F53" s="104"/>
      <c r="G53" s="104"/>
      <c r="H53" s="103"/>
      <c r="I53" s="97"/>
    </row>
    <row r="54" customFormat="false" ht="14.1" hidden="false" customHeight="true" outlineLevel="0" collapsed="false">
      <c r="A54" s="109" t="s">
        <v>126</v>
      </c>
      <c r="B54" s="109"/>
      <c r="C54" s="109"/>
      <c r="D54" s="110"/>
      <c r="E54" s="111"/>
      <c r="F54" s="97"/>
      <c r="G54" s="112"/>
      <c r="H54" s="111"/>
      <c r="I54" s="97"/>
    </row>
    <row r="55" customFormat="false" ht="14.1" hidden="false" customHeight="true" outlineLevel="0" collapsed="false">
      <c r="A55" s="113"/>
      <c r="B55" s="114" t="s">
        <v>4</v>
      </c>
      <c r="C55" s="114"/>
      <c r="D55" s="115"/>
      <c r="E55" s="116"/>
      <c r="F55" s="117"/>
      <c r="G55" s="117"/>
      <c r="H55" s="116"/>
      <c r="I55" s="97"/>
    </row>
    <row r="56" customFormat="false" ht="14.1" hidden="false" customHeight="true" outlineLevel="0" collapsed="false">
      <c r="A56" s="118"/>
      <c r="B56" s="119" t="s">
        <v>6</v>
      </c>
      <c r="C56" s="120"/>
      <c r="D56" s="115"/>
      <c r="E56" s="116"/>
      <c r="F56" s="117"/>
      <c r="G56" s="117"/>
      <c r="H56" s="116"/>
      <c r="I56" s="97"/>
    </row>
    <row r="57" customFormat="false" ht="14.1" hidden="false" customHeight="true" outlineLevel="0" collapsed="false">
      <c r="A57" s="118"/>
      <c r="B57" s="119" t="s">
        <v>127</v>
      </c>
      <c r="C57" s="120"/>
      <c r="D57" s="115"/>
      <c r="E57" s="121"/>
      <c r="F57" s="117"/>
      <c r="G57" s="117"/>
      <c r="H57" s="116"/>
      <c r="I57" s="97"/>
    </row>
    <row r="58" customFormat="false" ht="14.1" hidden="false" customHeight="true" outlineLevel="0" collapsed="false">
      <c r="A58" s="118"/>
      <c r="B58" s="119" t="s">
        <v>128</v>
      </c>
      <c r="C58" s="120"/>
      <c r="D58" s="115"/>
      <c r="E58" s="121"/>
      <c r="F58" s="117"/>
      <c r="G58" s="117"/>
      <c r="H58" s="116"/>
      <c r="I58" s="97"/>
    </row>
    <row r="59" customFormat="false" ht="14.1" hidden="false" customHeight="true" outlineLevel="0" collapsed="false">
      <c r="A59" s="118"/>
      <c r="B59" s="119" t="s">
        <v>129</v>
      </c>
      <c r="C59" s="120"/>
      <c r="D59" s="115"/>
      <c r="E59" s="121"/>
      <c r="F59" s="117"/>
      <c r="G59" s="117"/>
      <c r="H59" s="116"/>
      <c r="I59" s="97"/>
    </row>
    <row r="60" customFormat="false" ht="14.1" hidden="false" customHeight="true" outlineLevel="0" collapsed="false">
      <c r="A60" s="118"/>
      <c r="B60" s="119" t="s">
        <v>130</v>
      </c>
      <c r="C60" s="120"/>
      <c r="D60" s="115"/>
      <c r="E60" s="121"/>
      <c r="F60" s="117"/>
      <c r="G60" s="117"/>
      <c r="H60" s="116"/>
      <c r="I60" s="97"/>
    </row>
    <row r="61" customFormat="false" ht="14.1" hidden="false" customHeight="true" outlineLevel="0" collapsed="false">
      <c r="A61" s="118"/>
      <c r="B61" s="119" t="s">
        <v>131</v>
      </c>
      <c r="C61" s="120"/>
      <c r="D61" s="115"/>
      <c r="E61" s="121"/>
      <c r="F61" s="117"/>
      <c r="G61" s="117"/>
      <c r="H61" s="116"/>
      <c r="I61" s="97"/>
    </row>
    <row r="62" customFormat="false" ht="14.1" hidden="false" customHeight="true" outlineLevel="0" collapsed="false">
      <c r="A62" s="118"/>
      <c r="B62" s="119" t="s">
        <v>132</v>
      </c>
      <c r="C62" s="120"/>
      <c r="D62" s="115"/>
      <c r="E62" s="121"/>
      <c r="F62" s="117"/>
      <c r="G62" s="117"/>
      <c r="H62" s="116"/>
      <c r="I62" s="97"/>
    </row>
    <row r="63" customFormat="false" ht="14.1" hidden="false" customHeight="true" outlineLevel="0" collapsed="false">
      <c r="A63" s="118"/>
      <c r="B63" s="119" t="s">
        <v>133</v>
      </c>
      <c r="C63" s="120"/>
      <c r="D63" s="115"/>
      <c r="E63" s="121"/>
      <c r="F63" s="117"/>
      <c r="G63" s="117"/>
      <c r="H63" s="116"/>
      <c r="I63" s="97"/>
    </row>
    <row r="64" customFormat="false" ht="14.1" hidden="false" customHeight="true" outlineLevel="0" collapsed="false">
      <c r="A64" s="122"/>
      <c r="B64" s="119" t="s">
        <v>134</v>
      </c>
      <c r="C64" s="120"/>
      <c r="D64" s="115"/>
      <c r="E64" s="121"/>
      <c r="F64" s="117"/>
      <c r="G64" s="117"/>
      <c r="H64" s="116"/>
      <c r="I64" s="97"/>
    </row>
    <row r="65" customFormat="false" ht="14.1" hidden="false" customHeight="true" outlineLevel="0" collapsed="false">
      <c r="A65" s="123" t="s">
        <v>135</v>
      </c>
      <c r="B65" s="123"/>
      <c r="C65" s="123"/>
      <c r="D65" s="124"/>
      <c r="E65" s="111"/>
      <c r="F65" s="125"/>
      <c r="G65" s="125"/>
      <c r="H65" s="111"/>
      <c r="I65" s="97"/>
    </row>
    <row r="66" customFormat="false" ht="14.1" hidden="false" customHeight="true" outlineLevel="0" collapsed="false">
      <c r="A66" s="118"/>
      <c r="B66" s="119" t="s">
        <v>136</v>
      </c>
      <c r="C66" s="126"/>
      <c r="D66" s="115"/>
      <c r="E66" s="116"/>
      <c r="F66" s="117"/>
      <c r="G66" s="117"/>
      <c r="H66" s="116"/>
      <c r="I66" s="97"/>
    </row>
    <row r="67" customFormat="false" ht="14.1" hidden="false" customHeight="true" outlineLevel="0" collapsed="false">
      <c r="A67" s="118"/>
      <c r="B67" s="119" t="s">
        <v>137</v>
      </c>
      <c r="C67" s="127"/>
      <c r="D67" s="115"/>
      <c r="E67" s="116"/>
      <c r="F67" s="117"/>
      <c r="G67" s="117"/>
      <c r="H67" s="116"/>
      <c r="I67" s="97"/>
    </row>
    <row r="68" customFormat="false" ht="14.1" hidden="false" customHeight="true" outlineLevel="0" collapsed="false">
      <c r="A68" s="118"/>
      <c r="B68" s="119" t="s">
        <v>138</v>
      </c>
      <c r="C68" s="120"/>
      <c r="D68" s="115"/>
      <c r="E68" s="121"/>
      <c r="F68" s="117"/>
      <c r="G68" s="117"/>
      <c r="H68" s="116"/>
      <c r="I68" s="97"/>
    </row>
    <row r="69" customFormat="false" ht="14.1" hidden="false" customHeight="true" outlineLevel="0" collapsed="false">
      <c r="A69" s="118"/>
      <c r="B69" s="119" t="s">
        <v>139</v>
      </c>
      <c r="C69" s="120"/>
      <c r="D69" s="115"/>
      <c r="E69" s="121"/>
      <c r="F69" s="117"/>
      <c r="G69" s="117"/>
      <c r="H69" s="116"/>
      <c r="I69" s="97"/>
    </row>
    <row r="70" customFormat="false" ht="14.1" hidden="false" customHeight="true" outlineLevel="0" collapsed="false">
      <c r="A70" s="118"/>
      <c r="B70" s="128" t="s">
        <v>140</v>
      </c>
      <c r="C70" s="120"/>
      <c r="D70" s="115"/>
      <c r="E70" s="121"/>
      <c r="F70" s="117"/>
      <c r="G70" s="117"/>
      <c r="H70" s="116"/>
      <c r="I70" s="97"/>
    </row>
    <row r="71" customFormat="false" ht="14.1" hidden="false" customHeight="true" outlineLevel="0" collapsed="false">
      <c r="A71" s="123" t="s">
        <v>141</v>
      </c>
      <c r="B71" s="123"/>
      <c r="C71" s="123"/>
      <c r="D71" s="124"/>
      <c r="E71" s="111"/>
      <c r="F71" s="125"/>
      <c r="G71" s="125"/>
      <c r="H71" s="111"/>
      <c r="I71" s="97"/>
    </row>
    <row r="72" customFormat="false" ht="14.1" hidden="false" customHeight="true" outlineLevel="0" collapsed="false">
      <c r="A72" s="118"/>
      <c r="B72" s="119" t="s">
        <v>142</v>
      </c>
      <c r="C72" s="120"/>
      <c r="D72" s="115"/>
      <c r="E72" s="116"/>
      <c r="F72" s="117"/>
      <c r="G72" s="117"/>
      <c r="H72" s="116"/>
      <c r="I72" s="97"/>
    </row>
    <row r="73" customFormat="false" ht="14.1" hidden="false" customHeight="true" outlineLevel="0" collapsed="false">
      <c r="A73" s="118"/>
      <c r="B73" s="119" t="s">
        <v>143</v>
      </c>
      <c r="C73" s="127"/>
      <c r="D73" s="115"/>
      <c r="E73" s="121"/>
      <c r="F73" s="117"/>
      <c r="G73" s="117"/>
      <c r="H73" s="116"/>
      <c r="I73" s="97"/>
    </row>
    <row r="74" customFormat="false" ht="14.1" hidden="false" customHeight="true" outlineLevel="0" collapsed="false">
      <c r="A74" s="118"/>
      <c r="B74" s="119" t="s">
        <v>144</v>
      </c>
      <c r="C74" s="120"/>
      <c r="D74" s="115"/>
      <c r="E74" s="121"/>
      <c r="F74" s="117"/>
      <c r="G74" s="117"/>
      <c r="H74" s="116"/>
      <c r="I74" s="97"/>
    </row>
    <row r="75" customFormat="false" ht="14.1" hidden="false" customHeight="true" outlineLevel="0" collapsed="false">
      <c r="A75" s="118"/>
      <c r="B75" s="119" t="s">
        <v>145</v>
      </c>
      <c r="C75" s="120"/>
      <c r="D75" s="115"/>
      <c r="E75" s="121"/>
      <c r="F75" s="117"/>
      <c r="G75" s="117"/>
      <c r="H75" s="116"/>
      <c r="I75" s="97"/>
    </row>
    <row r="76" customFormat="false" ht="14.1" hidden="false" customHeight="true" outlineLevel="0" collapsed="false">
      <c r="A76" s="118"/>
      <c r="B76" s="128" t="s">
        <v>146</v>
      </c>
      <c r="C76" s="120"/>
      <c r="D76" s="115"/>
      <c r="E76" s="121"/>
      <c r="F76" s="117"/>
      <c r="G76" s="117"/>
      <c r="H76" s="116"/>
      <c r="I76" s="97"/>
    </row>
    <row r="77" customFormat="false" ht="14.1" hidden="false" customHeight="true" outlineLevel="0" collapsed="false">
      <c r="A77" s="129" t="s">
        <v>147</v>
      </c>
      <c r="B77" s="129"/>
      <c r="C77" s="129"/>
      <c r="D77" s="124"/>
      <c r="E77" s="111"/>
      <c r="F77" s="125"/>
      <c r="G77" s="125"/>
      <c r="H77" s="111"/>
      <c r="I77" s="97"/>
    </row>
    <row r="78" customFormat="false" ht="14.1" hidden="false" customHeight="true" outlineLevel="0" collapsed="false">
      <c r="A78" s="113"/>
      <c r="B78" s="119" t="s">
        <v>148</v>
      </c>
      <c r="C78" s="120"/>
      <c r="D78" s="115"/>
      <c r="E78" s="116"/>
      <c r="F78" s="117"/>
      <c r="G78" s="117"/>
      <c r="H78" s="116"/>
      <c r="I78" s="97"/>
    </row>
    <row r="79" customFormat="false" ht="14.1" hidden="false" customHeight="true" outlineLevel="0" collapsed="false">
      <c r="A79" s="118"/>
      <c r="B79" s="119" t="s">
        <v>149</v>
      </c>
      <c r="C79" s="127"/>
      <c r="D79" s="115"/>
      <c r="E79" s="121"/>
      <c r="F79" s="117"/>
      <c r="G79" s="117"/>
      <c r="H79" s="116"/>
      <c r="I79" s="97"/>
    </row>
    <row r="80" customFormat="false" ht="14.1" hidden="false" customHeight="true" outlineLevel="0" collapsed="false">
      <c r="A80" s="118"/>
      <c r="B80" s="119" t="s">
        <v>150</v>
      </c>
      <c r="C80" s="120"/>
      <c r="D80" s="115"/>
      <c r="E80" s="121"/>
      <c r="F80" s="117"/>
      <c r="G80" s="117"/>
      <c r="H80" s="116"/>
      <c r="I80" s="97"/>
    </row>
    <row r="81" customFormat="false" ht="14.1" hidden="false" customHeight="true" outlineLevel="0" collapsed="false">
      <c r="A81" s="118"/>
      <c r="B81" s="119" t="s">
        <v>151</v>
      </c>
      <c r="C81" s="120"/>
      <c r="D81" s="115"/>
      <c r="E81" s="121"/>
      <c r="F81" s="117"/>
      <c r="G81" s="117"/>
      <c r="H81" s="116"/>
      <c r="I81" s="97"/>
    </row>
    <row r="82" customFormat="false" ht="14.1" hidden="false" customHeight="true" outlineLevel="0" collapsed="false">
      <c r="A82" s="118"/>
      <c r="B82" s="119" t="s">
        <v>152</v>
      </c>
      <c r="C82" s="120"/>
      <c r="D82" s="115"/>
      <c r="E82" s="121"/>
      <c r="F82" s="117"/>
      <c r="G82" s="117"/>
      <c r="H82" s="116"/>
      <c r="I82" s="97"/>
    </row>
    <row r="83" customFormat="false" ht="14.1" hidden="false" customHeight="true" outlineLevel="0" collapsed="false">
      <c r="A83" s="118"/>
      <c r="B83" s="119" t="s">
        <v>153</v>
      </c>
      <c r="C83" s="120"/>
      <c r="D83" s="115"/>
      <c r="E83" s="116"/>
      <c r="F83" s="117"/>
      <c r="G83" s="117"/>
      <c r="H83" s="116"/>
      <c r="I83" s="97"/>
    </row>
    <row r="84" customFormat="false" ht="14.1" hidden="false" customHeight="true" outlineLevel="0" collapsed="false">
      <c r="A84" s="118"/>
      <c r="B84" s="119" t="s">
        <v>154</v>
      </c>
      <c r="C84" s="120"/>
      <c r="D84" s="115"/>
      <c r="E84" s="121"/>
      <c r="F84" s="117"/>
      <c r="G84" s="117"/>
      <c r="H84" s="116"/>
      <c r="I84" s="97"/>
    </row>
    <row r="85" customFormat="false" ht="14.1" hidden="false" customHeight="true" outlineLevel="0" collapsed="false">
      <c r="A85" s="118"/>
      <c r="B85" s="119" t="s">
        <v>155</v>
      </c>
      <c r="C85" s="120"/>
      <c r="D85" s="115"/>
      <c r="E85" s="121"/>
      <c r="F85" s="117"/>
      <c r="G85" s="117"/>
      <c r="H85" s="116"/>
      <c r="I85" s="97"/>
    </row>
    <row r="86" customFormat="false" ht="14.1" hidden="false" customHeight="true" outlineLevel="0" collapsed="false">
      <c r="A86" s="118"/>
      <c r="B86" s="119" t="s">
        <v>156</v>
      </c>
      <c r="C86" s="120"/>
      <c r="D86" s="115"/>
      <c r="E86" s="121"/>
      <c r="F86" s="117"/>
      <c r="G86" s="117"/>
      <c r="H86" s="116"/>
      <c r="I86" s="97"/>
    </row>
    <row r="87" customFormat="false" ht="14.1" hidden="false" customHeight="true" outlineLevel="0" collapsed="false">
      <c r="A87" s="118"/>
      <c r="B87" s="119" t="s">
        <v>157</v>
      </c>
      <c r="C87" s="120"/>
      <c r="D87" s="115"/>
      <c r="E87" s="121"/>
      <c r="F87" s="117"/>
      <c r="G87" s="117"/>
      <c r="H87" s="116"/>
      <c r="I87" s="97"/>
    </row>
    <row r="88" customFormat="false" ht="14.1" hidden="false" customHeight="true" outlineLevel="0" collapsed="false">
      <c r="A88" s="118"/>
      <c r="B88" s="119" t="s">
        <v>158</v>
      </c>
      <c r="C88" s="120"/>
      <c r="D88" s="115"/>
      <c r="E88" s="116"/>
      <c r="F88" s="117"/>
      <c r="G88" s="117"/>
      <c r="H88" s="116"/>
      <c r="I88" s="97"/>
    </row>
    <row r="89" customFormat="false" ht="14.1" hidden="false" customHeight="true" outlineLevel="0" collapsed="false">
      <c r="A89" s="118"/>
      <c r="B89" s="119" t="s">
        <v>159</v>
      </c>
      <c r="C89" s="120"/>
      <c r="D89" s="115"/>
      <c r="E89" s="116"/>
      <c r="F89" s="117"/>
      <c r="G89" s="117"/>
      <c r="H89" s="116"/>
      <c r="I89" s="97"/>
    </row>
    <row r="90" customFormat="false" ht="14.1" hidden="false" customHeight="true" outlineLevel="0" collapsed="false">
      <c r="A90" s="118"/>
      <c r="B90" s="119" t="s">
        <v>160</v>
      </c>
      <c r="C90" s="120"/>
      <c r="D90" s="115"/>
      <c r="E90" s="116"/>
      <c r="F90" s="117"/>
      <c r="G90" s="117"/>
      <c r="H90" s="116"/>
      <c r="I90" s="97"/>
    </row>
    <row r="91" customFormat="false" ht="14.1" hidden="false" customHeight="true" outlineLevel="0" collapsed="false">
      <c r="A91" s="122"/>
      <c r="B91" s="119" t="s">
        <v>161</v>
      </c>
      <c r="C91" s="120"/>
      <c r="D91" s="115"/>
      <c r="E91" s="116"/>
      <c r="F91" s="117"/>
      <c r="G91" s="117"/>
      <c r="H91" s="116"/>
      <c r="I91" s="97"/>
    </row>
    <row r="92" customFormat="false" ht="14.1" hidden="false" customHeight="true" outlineLevel="0" collapsed="false">
      <c r="A92" s="123" t="s">
        <v>162</v>
      </c>
      <c r="B92" s="123"/>
      <c r="C92" s="123"/>
      <c r="D92" s="124"/>
      <c r="E92" s="111"/>
      <c r="F92" s="125"/>
      <c r="G92" s="125"/>
      <c r="H92" s="111"/>
      <c r="I92" s="97"/>
    </row>
    <row r="93" customFormat="false" ht="14.1" hidden="false" customHeight="true" outlineLevel="0" collapsed="false">
      <c r="A93" s="118"/>
      <c r="B93" s="119" t="s">
        <v>163</v>
      </c>
      <c r="C93" s="120"/>
      <c r="D93" s="115"/>
      <c r="E93" s="121"/>
      <c r="F93" s="117"/>
      <c r="G93" s="117"/>
      <c r="H93" s="116"/>
      <c r="I93" s="97"/>
    </row>
    <row r="94" customFormat="false" ht="14.1" hidden="false" customHeight="true" outlineLevel="0" collapsed="false">
      <c r="A94" s="118"/>
      <c r="B94" s="119" t="s">
        <v>164</v>
      </c>
      <c r="C94" s="120"/>
      <c r="D94" s="115"/>
      <c r="E94" s="116"/>
      <c r="F94" s="130"/>
      <c r="G94" s="117"/>
      <c r="H94" s="116"/>
      <c r="I94" s="97"/>
    </row>
    <row r="95" customFormat="false" ht="14.1" hidden="false" customHeight="true" outlineLevel="0" collapsed="false">
      <c r="A95" s="118"/>
      <c r="B95" s="119" t="s">
        <v>165</v>
      </c>
      <c r="C95" s="120"/>
      <c r="D95" s="115"/>
      <c r="E95" s="121"/>
      <c r="F95" s="117"/>
      <c r="G95" s="117"/>
      <c r="H95" s="116"/>
      <c r="I95" s="97"/>
    </row>
    <row r="96" customFormat="false" ht="14.1" hidden="false" customHeight="true" outlineLevel="0" collapsed="false">
      <c r="A96" s="118"/>
      <c r="B96" s="119" t="s">
        <v>166</v>
      </c>
      <c r="C96" s="120"/>
      <c r="D96" s="115"/>
      <c r="E96" s="116"/>
      <c r="F96" s="130"/>
      <c r="G96" s="117"/>
      <c r="H96" s="116"/>
      <c r="I96" s="97"/>
    </row>
    <row r="97" customFormat="false" ht="14.1" hidden="false" customHeight="true" outlineLevel="0" collapsed="false">
      <c r="A97" s="118"/>
      <c r="B97" s="128" t="s">
        <v>167</v>
      </c>
      <c r="C97" s="131"/>
      <c r="D97" s="132"/>
      <c r="E97" s="133"/>
      <c r="F97" s="134"/>
      <c r="G97" s="134"/>
      <c r="H97" s="135"/>
      <c r="I97" s="97"/>
    </row>
    <row r="98" customFormat="false" ht="15.4" hidden="false" customHeight="true" outlineLevel="0" collapsed="false">
      <c r="A98" s="136"/>
      <c r="B98" s="131"/>
      <c r="C98" s="131"/>
      <c r="D98" s="137"/>
      <c r="E98" s="137"/>
      <c r="F98" s="138"/>
      <c r="G98" s="138"/>
      <c r="H98" s="137"/>
      <c r="I98" s="97"/>
    </row>
    <row r="99" customFormat="false" ht="14.45" hidden="false" customHeight="true" outlineLevel="0" collapsed="false">
      <c r="A99" s="62"/>
      <c r="B99" s="97"/>
      <c r="C99" s="139" t="s">
        <v>168</v>
      </c>
      <c r="D99" s="139"/>
      <c r="E99" s="140" t="s">
        <v>169</v>
      </c>
      <c r="F99" s="140"/>
      <c r="G99" s="139" t="s">
        <v>170</v>
      </c>
      <c r="H99" s="139"/>
      <c r="I99" s="139"/>
    </row>
    <row r="100" customFormat="false" ht="14.45" hidden="false" customHeight="true" outlineLevel="0" collapsed="false">
      <c r="A100" s="62"/>
      <c r="B100" s="97"/>
      <c r="C100" s="141" t="s">
        <v>171</v>
      </c>
      <c r="D100" s="142" t="s">
        <v>172</v>
      </c>
      <c r="E100" s="141" t="s">
        <v>173</v>
      </c>
      <c r="F100" s="143" t="s">
        <v>174</v>
      </c>
      <c r="G100" s="139"/>
      <c r="H100" s="139"/>
      <c r="I100" s="139"/>
    </row>
    <row r="101" customFormat="false" ht="14.45" hidden="false" customHeight="true" outlineLevel="0" collapsed="false">
      <c r="A101" s="144" t="s">
        <v>126</v>
      </c>
      <c r="B101" s="145"/>
      <c r="C101" s="141"/>
      <c r="D101" s="142"/>
      <c r="E101" s="141"/>
      <c r="F101" s="143"/>
      <c r="G101" s="139"/>
      <c r="H101" s="139"/>
      <c r="I101" s="139"/>
    </row>
    <row r="102" customFormat="false" ht="14.45" hidden="false" customHeight="true" outlineLevel="0" collapsed="false">
      <c r="A102" s="146" t="s">
        <v>4</v>
      </c>
      <c r="B102" s="146"/>
      <c r="C102" s="147"/>
      <c r="D102" s="148"/>
      <c r="E102" s="149"/>
      <c r="F102" s="150"/>
      <c r="G102" s="151"/>
      <c r="H102" s="151"/>
      <c r="I102" s="151"/>
    </row>
    <row r="103" customFormat="false" ht="14.45" hidden="false" customHeight="true" outlineLevel="0" collapsed="false">
      <c r="A103" s="119" t="s">
        <v>6</v>
      </c>
      <c r="B103" s="120"/>
      <c r="C103" s="152"/>
      <c r="D103" s="116"/>
      <c r="E103" s="153"/>
      <c r="F103" s="130"/>
      <c r="G103" s="154"/>
      <c r="H103" s="154"/>
      <c r="I103" s="154"/>
    </row>
    <row r="104" customFormat="false" ht="14.45" hidden="false" customHeight="true" outlineLevel="0" collapsed="false">
      <c r="A104" s="119" t="s">
        <v>127</v>
      </c>
      <c r="B104" s="120"/>
      <c r="C104" s="152"/>
      <c r="D104" s="116"/>
      <c r="E104" s="153"/>
      <c r="F104" s="130"/>
      <c r="G104" s="154"/>
      <c r="H104" s="154"/>
      <c r="I104" s="154"/>
    </row>
    <row r="105" customFormat="false" ht="14.45" hidden="false" customHeight="true" outlineLevel="0" collapsed="false">
      <c r="A105" s="119" t="s">
        <v>128</v>
      </c>
      <c r="B105" s="120"/>
      <c r="C105" s="152"/>
      <c r="D105" s="116"/>
      <c r="E105" s="153"/>
      <c r="F105" s="130"/>
      <c r="G105" s="154"/>
      <c r="H105" s="154"/>
      <c r="I105" s="154"/>
    </row>
    <row r="106" customFormat="false" ht="14.45" hidden="false" customHeight="true" outlineLevel="0" collapsed="false">
      <c r="A106" s="119" t="s">
        <v>129</v>
      </c>
      <c r="B106" s="120"/>
      <c r="C106" s="152"/>
      <c r="D106" s="116"/>
      <c r="E106" s="153"/>
      <c r="F106" s="130"/>
      <c r="G106" s="154"/>
      <c r="H106" s="154"/>
      <c r="I106" s="154"/>
    </row>
    <row r="107" customFormat="false" ht="14.45" hidden="false" customHeight="true" outlineLevel="0" collapsed="false">
      <c r="A107" s="119" t="s">
        <v>130</v>
      </c>
      <c r="B107" s="120"/>
      <c r="C107" s="152"/>
      <c r="D107" s="116"/>
      <c r="E107" s="153"/>
      <c r="F107" s="130"/>
      <c r="G107" s="154"/>
      <c r="H107" s="154"/>
      <c r="I107" s="154"/>
    </row>
    <row r="108" customFormat="false" ht="14.45" hidden="false" customHeight="true" outlineLevel="0" collapsed="false">
      <c r="A108" s="119" t="s">
        <v>131</v>
      </c>
      <c r="B108" s="120"/>
      <c r="C108" s="152"/>
      <c r="D108" s="116"/>
      <c r="E108" s="153"/>
      <c r="F108" s="130"/>
      <c r="G108" s="154"/>
      <c r="H108" s="154"/>
      <c r="I108" s="154"/>
    </row>
    <row r="109" customFormat="false" ht="14.45" hidden="false" customHeight="true" outlineLevel="0" collapsed="false">
      <c r="A109" s="119" t="s">
        <v>132</v>
      </c>
      <c r="B109" s="120"/>
      <c r="C109" s="152"/>
      <c r="D109" s="116"/>
      <c r="E109" s="153"/>
      <c r="F109" s="130"/>
      <c r="G109" s="154"/>
      <c r="H109" s="154"/>
      <c r="I109" s="154"/>
    </row>
    <row r="110" customFormat="false" ht="14.45" hidden="false" customHeight="true" outlineLevel="0" collapsed="false">
      <c r="A110" s="119" t="s">
        <v>133</v>
      </c>
      <c r="B110" s="120"/>
      <c r="C110" s="152"/>
      <c r="D110" s="116"/>
      <c r="E110" s="153"/>
      <c r="F110" s="130"/>
      <c r="G110" s="154"/>
      <c r="H110" s="154"/>
      <c r="I110" s="154"/>
    </row>
    <row r="111" customFormat="false" ht="14.45" hidden="false" customHeight="true" outlineLevel="0" collapsed="false">
      <c r="A111" s="119" t="s">
        <v>134</v>
      </c>
      <c r="B111" s="120"/>
      <c r="C111" s="152"/>
      <c r="D111" s="116"/>
      <c r="E111" s="153"/>
      <c r="F111" s="130"/>
      <c r="G111" s="154"/>
      <c r="H111" s="154"/>
      <c r="I111" s="154"/>
    </row>
    <row r="112" customFormat="false" ht="14.45" hidden="false" customHeight="true" outlineLevel="0" collapsed="false">
      <c r="A112" s="144" t="s">
        <v>135</v>
      </c>
      <c r="B112" s="145"/>
      <c r="C112" s="155"/>
      <c r="D112" s="111"/>
      <c r="E112" s="156"/>
      <c r="F112" s="157"/>
      <c r="G112" s="154"/>
      <c r="H112" s="154"/>
      <c r="I112" s="154"/>
    </row>
    <row r="113" customFormat="false" ht="14.45" hidden="false" customHeight="true" outlineLevel="0" collapsed="false">
      <c r="A113" s="158" t="s">
        <v>136</v>
      </c>
      <c r="B113" s="159"/>
      <c r="C113" s="147"/>
      <c r="D113" s="148"/>
      <c r="E113" s="149"/>
      <c r="F113" s="150"/>
      <c r="G113" s="154"/>
      <c r="H113" s="154"/>
      <c r="I113" s="154"/>
    </row>
    <row r="114" customFormat="false" ht="14.45" hidden="false" customHeight="true" outlineLevel="0" collapsed="false">
      <c r="A114" s="119" t="s">
        <v>137</v>
      </c>
      <c r="B114" s="127"/>
      <c r="C114" s="152"/>
      <c r="D114" s="116"/>
      <c r="E114" s="153"/>
      <c r="F114" s="130"/>
      <c r="G114" s="154"/>
      <c r="H114" s="154"/>
      <c r="I114" s="154"/>
    </row>
    <row r="115" customFormat="false" ht="14.45" hidden="false" customHeight="true" outlineLevel="0" collapsed="false">
      <c r="A115" s="119" t="s">
        <v>138</v>
      </c>
      <c r="B115" s="120"/>
      <c r="C115" s="152"/>
      <c r="D115" s="116"/>
      <c r="E115" s="153"/>
      <c r="F115" s="130"/>
      <c r="G115" s="154"/>
      <c r="H115" s="154"/>
      <c r="I115" s="154"/>
    </row>
    <row r="116" customFormat="false" ht="14.45" hidden="false" customHeight="true" outlineLevel="0" collapsed="false">
      <c r="A116" s="119" t="s">
        <v>139</v>
      </c>
      <c r="B116" s="120"/>
      <c r="C116" s="152"/>
      <c r="D116" s="116"/>
      <c r="E116" s="153"/>
      <c r="F116" s="130"/>
      <c r="G116" s="154"/>
      <c r="H116" s="154"/>
      <c r="I116" s="154"/>
    </row>
    <row r="117" customFormat="false" ht="14.45" hidden="false" customHeight="true" outlineLevel="0" collapsed="false">
      <c r="A117" s="128" t="s">
        <v>140</v>
      </c>
      <c r="B117" s="131"/>
      <c r="C117" s="147"/>
      <c r="D117" s="148"/>
      <c r="E117" s="149"/>
      <c r="F117" s="150"/>
      <c r="G117" s="154"/>
      <c r="H117" s="154"/>
      <c r="I117" s="154"/>
    </row>
    <row r="118" customFormat="false" ht="14.45" hidden="false" customHeight="true" outlineLevel="0" collapsed="false">
      <c r="A118" s="144" t="s">
        <v>141</v>
      </c>
      <c r="B118" s="145"/>
      <c r="C118" s="155"/>
      <c r="D118" s="111"/>
      <c r="E118" s="156"/>
      <c r="F118" s="157"/>
      <c r="G118" s="154"/>
      <c r="H118" s="154"/>
      <c r="I118" s="154"/>
    </row>
    <row r="119" customFormat="false" ht="14.45" hidden="false" customHeight="true" outlineLevel="0" collapsed="false">
      <c r="A119" s="158" t="s">
        <v>142</v>
      </c>
      <c r="B119" s="160"/>
      <c r="C119" s="147"/>
      <c r="D119" s="148"/>
      <c r="E119" s="149"/>
      <c r="F119" s="150"/>
      <c r="G119" s="154"/>
      <c r="H119" s="154"/>
      <c r="I119" s="154"/>
    </row>
    <row r="120" customFormat="false" ht="14.45" hidden="false" customHeight="true" outlineLevel="0" collapsed="false">
      <c r="A120" s="119" t="s">
        <v>143</v>
      </c>
      <c r="B120" s="127"/>
      <c r="C120" s="152"/>
      <c r="D120" s="148"/>
      <c r="E120" s="153"/>
      <c r="F120" s="130"/>
      <c r="G120" s="154"/>
      <c r="H120" s="154"/>
      <c r="I120" s="154"/>
    </row>
    <row r="121" customFormat="false" ht="14.45" hidden="false" customHeight="true" outlineLevel="0" collapsed="false">
      <c r="A121" s="119" t="s">
        <v>144</v>
      </c>
      <c r="B121" s="120"/>
      <c r="C121" s="152"/>
      <c r="D121" s="148"/>
      <c r="E121" s="153"/>
      <c r="F121" s="130"/>
      <c r="G121" s="154"/>
      <c r="H121" s="154"/>
      <c r="I121" s="154"/>
    </row>
    <row r="122" customFormat="false" ht="14.45" hidden="false" customHeight="true" outlineLevel="0" collapsed="false">
      <c r="A122" s="119" t="s">
        <v>175</v>
      </c>
      <c r="B122" s="120"/>
      <c r="C122" s="152"/>
      <c r="D122" s="148"/>
      <c r="E122" s="153"/>
      <c r="F122" s="130"/>
      <c r="G122" s="154"/>
      <c r="H122" s="154"/>
      <c r="I122" s="154"/>
    </row>
    <row r="123" customFormat="false" ht="14.45" hidden="false" customHeight="true" outlineLevel="0" collapsed="false">
      <c r="A123" s="128" t="s">
        <v>146</v>
      </c>
      <c r="B123" s="131"/>
      <c r="C123" s="147"/>
      <c r="D123" s="148"/>
      <c r="E123" s="149"/>
      <c r="F123" s="150"/>
      <c r="G123" s="154"/>
      <c r="H123" s="154"/>
      <c r="I123" s="154"/>
    </row>
    <row r="124" customFormat="false" ht="14.45" hidden="false" customHeight="true" outlineLevel="0" collapsed="false">
      <c r="A124" s="144" t="s">
        <v>147</v>
      </c>
      <c r="B124" s="145"/>
      <c r="C124" s="155"/>
      <c r="D124" s="111"/>
      <c r="E124" s="161" t="s">
        <v>176</v>
      </c>
      <c r="F124" s="161"/>
      <c r="G124" s="154"/>
      <c r="H124" s="154"/>
      <c r="I124" s="154"/>
    </row>
    <row r="125" customFormat="false" ht="14.45" hidden="false" customHeight="true" outlineLevel="0" collapsed="false">
      <c r="A125" s="158" t="s">
        <v>148</v>
      </c>
      <c r="B125" s="160"/>
      <c r="C125" s="147"/>
      <c r="D125" s="148"/>
      <c r="E125" s="149"/>
      <c r="F125" s="150"/>
      <c r="G125" s="154"/>
      <c r="H125" s="154"/>
      <c r="I125" s="154"/>
    </row>
    <row r="126" customFormat="false" ht="14.45" hidden="false" customHeight="true" outlineLevel="0" collapsed="false">
      <c r="A126" s="119" t="s">
        <v>149</v>
      </c>
      <c r="B126" s="127"/>
      <c r="C126" s="152"/>
      <c r="D126" s="116"/>
      <c r="E126" s="153"/>
      <c r="F126" s="130"/>
      <c r="G126" s="154"/>
      <c r="H126" s="154"/>
      <c r="I126" s="154"/>
    </row>
    <row r="127" customFormat="false" ht="14.45" hidden="false" customHeight="true" outlineLevel="0" collapsed="false">
      <c r="A127" s="119" t="s">
        <v>150</v>
      </c>
      <c r="B127" s="120"/>
      <c r="C127" s="152"/>
      <c r="D127" s="116"/>
      <c r="E127" s="153"/>
      <c r="F127" s="130"/>
      <c r="G127" s="154"/>
      <c r="H127" s="154"/>
      <c r="I127" s="154"/>
    </row>
    <row r="128" customFormat="false" ht="14.45" hidden="false" customHeight="true" outlineLevel="0" collapsed="false">
      <c r="A128" s="119" t="s">
        <v>151</v>
      </c>
      <c r="B128" s="120"/>
      <c r="C128" s="152"/>
      <c r="D128" s="116"/>
      <c r="E128" s="153"/>
      <c r="F128" s="130"/>
      <c r="G128" s="154"/>
      <c r="H128" s="154"/>
      <c r="I128" s="154"/>
    </row>
    <row r="129" customFormat="false" ht="14.45" hidden="false" customHeight="true" outlineLevel="0" collapsed="false">
      <c r="A129" s="119" t="s">
        <v>152</v>
      </c>
      <c r="B129" s="120"/>
      <c r="C129" s="152"/>
      <c r="D129" s="116"/>
      <c r="E129" s="153"/>
      <c r="F129" s="130"/>
      <c r="G129" s="154"/>
      <c r="H129" s="154"/>
      <c r="I129" s="154"/>
    </row>
    <row r="130" customFormat="false" ht="14.45" hidden="false" customHeight="true" outlineLevel="0" collapsed="false">
      <c r="A130" s="119" t="s">
        <v>153</v>
      </c>
      <c r="B130" s="120"/>
      <c r="C130" s="152"/>
      <c r="D130" s="116"/>
      <c r="E130" s="153"/>
      <c r="F130" s="130"/>
      <c r="G130" s="154"/>
      <c r="H130" s="154"/>
      <c r="I130" s="154"/>
    </row>
    <row r="131" customFormat="false" ht="14.45" hidden="false" customHeight="true" outlineLevel="0" collapsed="false">
      <c r="A131" s="119" t="s">
        <v>154</v>
      </c>
      <c r="B131" s="120"/>
      <c r="C131" s="152"/>
      <c r="D131" s="116"/>
      <c r="E131" s="153"/>
      <c r="F131" s="130"/>
      <c r="G131" s="154"/>
      <c r="H131" s="154"/>
      <c r="I131" s="154"/>
    </row>
    <row r="132" customFormat="false" ht="14.45" hidden="false" customHeight="true" outlineLevel="0" collapsed="false">
      <c r="A132" s="119" t="s">
        <v>155</v>
      </c>
      <c r="B132" s="120"/>
      <c r="C132" s="152"/>
      <c r="D132" s="116"/>
      <c r="E132" s="153"/>
      <c r="F132" s="130"/>
      <c r="G132" s="154"/>
      <c r="H132" s="154"/>
      <c r="I132" s="154"/>
    </row>
    <row r="133" customFormat="false" ht="14.45" hidden="false" customHeight="true" outlineLevel="0" collapsed="false">
      <c r="A133" s="119" t="s">
        <v>156</v>
      </c>
      <c r="B133" s="120"/>
      <c r="C133" s="152"/>
      <c r="D133" s="116"/>
      <c r="E133" s="153"/>
      <c r="F133" s="130"/>
      <c r="G133" s="154"/>
      <c r="H133" s="154"/>
      <c r="I133" s="154"/>
    </row>
    <row r="134" customFormat="false" ht="14.45" hidden="false" customHeight="true" outlineLevel="0" collapsed="false">
      <c r="A134" s="119" t="s">
        <v>157</v>
      </c>
      <c r="B134" s="120"/>
      <c r="C134" s="152"/>
      <c r="D134" s="116"/>
      <c r="E134" s="153"/>
      <c r="F134" s="130"/>
      <c r="G134" s="154"/>
      <c r="H134" s="154"/>
      <c r="I134" s="154"/>
    </row>
    <row r="135" customFormat="false" ht="14.45" hidden="false" customHeight="true" outlineLevel="0" collapsed="false">
      <c r="A135" s="119" t="s">
        <v>158</v>
      </c>
      <c r="B135" s="120"/>
      <c r="C135" s="152"/>
      <c r="D135" s="116"/>
      <c r="E135" s="153"/>
      <c r="F135" s="130"/>
      <c r="G135" s="154"/>
      <c r="H135" s="154"/>
      <c r="I135" s="154"/>
    </row>
    <row r="136" customFormat="false" ht="14.45" hidden="false" customHeight="true" outlineLevel="0" collapsed="false">
      <c r="A136" s="119" t="s">
        <v>159</v>
      </c>
      <c r="B136" s="120"/>
      <c r="C136" s="152"/>
      <c r="D136" s="116"/>
      <c r="E136" s="153"/>
      <c r="F136" s="130"/>
      <c r="G136" s="154"/>
      <c r="H136" s="154"/>
      <c r="I136" s="154"/>
    </row>
    <row r="137" customFormat="false" ht="14.45" hidden="false" customHeight="true" outlineLevel="0" collapsed="false">
      <c r="A137" s="119" t="s">
        <v>160</v>
      </c>
      <c r="B137" s="120"/>
      <c r="C137" s="152"/>
      <c r="D137" s="116"/>
      <c r="E137" s="153"/>
      <c r="F137" s="130"/>
      <c r="G137" s="154"/>
      <c r="H137" s="154"/>
      <c r="I137" s="154"/>
    </row>
    <row r="138" customFormat="false" ht="14.45" hidden="false" customHeight="true" outlineLevel="0" collapsed="false">
      <c r="A138" s="128" t="s">
        <v>161</v>
      </c>
      <c r="B138" s="131"/>
      <c r="C138" s="147"/>
      <c r="D138" s="148"/>
      <c r="E138" s="149"/>
      <c r="F138" s="150"/>
      <c r="G138" s="154"/>
      <c r="H138" s="154"/>
      <c r="I138" s="154"/>
    </row>
    <row r="139" customFormat="false" ht="14.45" hidden="false" customHeight="true" outlineLevel="0" collapsed="false">
      <c r="A139" s="144" t="s">
        <v>162</v>
      </c>
      <c r="B139" s="145"/>
      <c r="C139" s="155"/>
      <c r="D139" s="111"/>
      <c r="E139" s="156"/>
      <c r="F139" s="157"/>
      <c r="G139" s="154"/>
      <c r="H139" s="154"/>
      <c r="I139" s="154"/>
    </row>
    <row r="140" customFormat="false" ht="14.45" hidden="false" customHeight="true" outlineLevel="0" collapsed="false">
      <c r="A140" s="158" t="s">
        <v>177</v>
      </c>
      <c r="B140" s="160"/>
      <c r="C140" s="152"/>
      <c r="D140" s="116"/>
      <c r="E140" s="153"/>
      <c r="F140" s="162"/>
      <c r="G140" s="154"/>
      <c r="H140" s="154"/>
      <c r="I140" s="154"/>
    </row>
    <row r="141" customFormat="false" ht="14.45" hidden="false" customHeight="true" outlineLevel="0" collapsed="false">
      <c r="A141" s="119" t="s">
        <v>178</v>
      </c>
      <c r="B141" s="120"/>
      <c r="C141" s="152"/>
      <c r="D141" s="116"/>
      <c r="E141" s="153"/>
      <c r="F141" s="130"/>
      <c r="G141" s="154"/>
      <c r="H141" s="154"/>
      <c r="I141" s="154"/>
    </row>
    <row r="142" customFormat="false" ht="14.45" hidden="false" customHeight="true" outlineLevel="0" collapsed="false">
      <c r="A142" s="119" t="s">
        <v>167</v>
      </c>
      <c r="B142" s="120"/>
      <c r="C142" s="152"/>
      <c r="D142" s="116"/>
      <c r="E142" s="153"/>
      <c r="F142" s="130"/>
      <c r="G142" s="154"/>
      <c r="H142" s="154"/>
      <c r="I142" s="154"/>
    </row>
    <row r="143" customFormat="false" ht="14.45" hidden="false" customHeight="true" outlineLevel="0" collapsed="false">
      <c r="A143" s="119"/>
      <c r="B143" s="120"/>
      <c r="C143" s="152"/>
      <c r="D143" s="116"/>
      <c r="E143" s="163"/>
      <c r="F143" s="163"/>
      <c r="G143" s="163"/>
      <c r="H143" s="163"/>
      <c r="I143" s="163"/>
    </row>
    <row r="144" customFormat="false" ht="14.45" hidden="false" customHeight="true" outlineLevel="0" collapsed="false">
      <c r="A144" s="62"/>
      <c r="B144" s="97"/>
      <c r="C144" s="97"/>
      <c r="D144" s="97"/>
      <c r="E144" s="97"/>
      <c r="F144" s="97"/>
      <c r="G144" s="97"/>
      <c r="H144" s="97"/>
      <c r="I144" s="97"/>
    </row>
    <row r="145" customFormat="false" ht="14.45" hidden="false" customHeight="true" outlineLevel="0" collapsed="false">
      <c r="A145" s="164"/>
      <c r="B145" s="165"/>
      <c r="C145" s="164"/>
      <c r="D145" s="166" t="s">
        <v>179</v>
      </c>
      <c r="E145" s="166"/>
      <c r="F145" s="164"/>
      <c r="G145" s="166" t="s">
        <v>180</v>
      </c>
      <c r="H145" s="166"/>
      <c r="I145" s="97"/>
    </row>
    <row r="146" customFormat="false" ht="14.45" hidden="false" customHeight="true" outlineLevel="0" collapsed="false">
      <c r="A146" s="167" t="s">
        <v>181</v>
      </c>
      <c r="B146" s="167"/>
      <c r="C146" s="168" t="s">
        <v>182</v>
      </c>
      <c r="D146" s="169"/>
      <c r="E146" s="170" t="s">
        <v>183</v>
      </c>
      <c r="F146" s="168" t="s">
        <v>182</v>
      </c>
      <c r="G146" s="169"/>
      <c r="H146" s="170" t="s">
        <v>184</v>
      </c>
      <c r="I146" s="97"/>
    </row>
    <row r="147" customFormat="false" ht="14.45" hidden="false" customHeight="true" outlineLevel="0" collapsed="false">
      <c r="A147" s="167"/>
      <c r="B147" s="167"/>
      <c r="C147" s="168" t="s">
        <v>185</v>
      </c>
      <c r="D147" s="169"/>
      <c r="E147" s="170" t="s">
        <v>183</v>
      </c>
      <c r="F147" s="168" t="s">
        <v>185</v>
      </c>
      <c r="G147" s="169"/>
      <c r="H147" s="170" t="s">
        <v>184</v>
      </c>
      <c r="I147" s="97"/>
    </row>
    <row r="148" customFormat="false" ht="14.45" hidden="false" customHeight="true" outlineLevel="0" collapsed="false">
      <c r="A148" s="167"/>
      <c r="B148" s="167"/>
      <c r="C148" s="168" t="s">
        <v>186</v>
      </c>
      <c r="D148" s="169"/>
      <c r="E148" s="170" t="s">
        <v>183</v>
      </c>
      <c r="F148" s="168" t="s">
        <v>186</v>
      </c>
      <c r="G148" s="169"/>
      <c r="H148" s="170" t="s">
        <v>184</v>
      </c>
      <c r="I148" s="97"/>
    </row>
    <row r="149" customFormat="false" ht="14.45" hidden="false" customHeight="true" outlineLevel="0" collapsed="false">
      <c r="A149" s="167"/>
      <c r="B149" s="167"/>
      <c r="C149" s="171"/>
      <c r="D149" s="169"/>
      <c r="E149" s="170"/>
      <c r="F149" s="172"/>
      <c r="G149" s="169"/>
      <c r="H149" s="170"/>
      <c r="I149" s="97"/>
    </row>
    <row r="150" customFormat="false" ht="15.4" hidden="false" customHeight="true" outlineLevel="0" collapsed="false">
      <c r="A150" s="62"/>
      <c r="B150" s="97"/>
      <c r="C150" s="173" t="s">
        <v>187</v>
      </c>
      <c r="D150" s="173"/>
      <c r="E150" s="97"/>
      <c r="F150" s="97"/>
      <c r="G150" s="173" t="s">
        <v>188</v>
      </c>
      <c r="H150" s="173"/>
      <c r="I150" s="97"/>
    </row>
    <row r="151" customFormat="false" ht="15.4" hidden="false" customHeight="true" outlineLevel="0" collapsed="false">
      <c r="A151" s="62"/>
      <c r="B151" s="97"/>
      <c r="C151" s="174" t="s">
        <v>189</v>
      </c>
      <c r="D151" s="175" t="s">
        <v>190</v>
      </c>
      <c r="E151" s="97"/>
      <c r="F151" s="97"/>
      <c r="G151" s="174" t="s">
        <v>189</v>
      </c>
      <c r="H151" s="175" t="s">
        <v>190</v>
      </c>
      <c r="I151" s="97"/>
    </row>
    <row r="152" customFormat="false" ht="8.25" hidden="false" customHeight="true" outlineLevel="0" collapsed="false">
      <c r="A152" s="62"/>
      <c r="B152" s="97"/>
      <c r="C152" s="174"/>
      <c r="D152" s="175"/>
      <c r="E152" s="97"/>
      <c r="F152" s="97"/>
      <c r="G152" s="174"/>
      <c r="H152" s="175"/>
      <c r="I152" s="97"/>
    </row>
    <row r="153" customFormat="false" ht="15.4" hidden="false" customHeight="true" outlineLevel="0" collapsed="false">
      <c r="A153" s="176" t="s">
        <v>191</v>
      </c>
      <c r="B153" s="121"/>
      <c r="C153" s="152"/>
      <c r="D153" s="116"/>
      <c r="E153" s="177" t="s">
        <v>192</v>
      </c>
      <c r="F153" s="177"/>
      <c r="G153" s="152"/>
      <c r="H153" s="116"/>
      <c r="I153" s="97"/>
    </row>
    <row r="154" customFormat="false" ht="15.4" hidden="false" customHeight="true" outlineLevel="0" collapsed="false">
      <c r="A154" s="178" t="s">
        <v>95</v>
      </c>
      <c r="B154" s="179" t="s">
        <v>193</v>
      </c>
      <c r="C154" s="152"/>
      <c r="D154" s="116"/>
      <c r="E154" s="177" t="s">
        <v>194</v>
      </c>
      <c r="F154" s="177"/>
      <c r="G154" s="152"/>
      <c r="H154" s="116"/>
      <c r="I154" s="97"/>
    </row>
    <row r="155" customFormat="false" ht="15.4" hidden="false" customHeight="true" outlineLevel="0" collapsed="false">
      <c r="A155" s="178"/>
      <c r="B155" s="179" t="s">
        <v>195</v>
      </c>
      <c r="C155" s="152"/>
      <c r="D155" s="116"/>
      <c r="E155" s="177" t="s">
        <v>196</v>
      </c>
      <c r="F155" s="177"/>
      <c r="G155" s="152"/>
      <c r="H155" s="116"/>
      <c r="I155" s="97"/>
    </row>
    <row r="156" customFormat="false" ht="15.4" hidden="false" customHeight="true" outlineLevel="0" collapsed="false">
      <c r="A156" s="178"/>
      <c r="B156" s="179" t="s">
        <v>197</v>
      </c>
      <c r="C156" s="152"/>
      <c r="D156" s="116"/>
      <c r="E156" s="177" t="s">
        <v>198</v>
      </c>
      <c r="F156" s="177"/>
      <c r="G156" s="152"/>
      <c r="H156" s="116"/>
      <c r="I156" s="97"/>
    </row>
    <row r="157" customFormat="false" ht="15.4" hidden="false" customHeight="true" outlineLevel="0" collapsed="false">
      <c r="A157" s="176" t="s">
        <v>199</v>
      </c>
      <c r="B157" s="180"/>
      <c r="C157" s="152"/>
      <c r="D157" s="116"/>
      <c r="E157" s="177" t="s">
        <v>200</v>
      </c>
      <c r="F157" s="177"/>
      <c r="G157" s="152"/>
      <c r="H157" s="116"/>
      <c r="I157" s="97"/>
    </row>
    <row r="158" customFormat="false" ht="15.4" hidden="false" customHeight="true" outlineLevel="0" collapsed="false">
      <c r="A158" s="176" t="s">
        <v>201</v>
      </c>
      <c r="B158" s="121"/>
      <c r="C158" s="152"/>
      <c r="D158" s="116"/>
      <c r="E158" s="177" t="s">
        <v>202</v>
      </c>
      <c r="F158" s="177"/>
      <c r="G158" s="152"/>
      <c r="H158" s="116"/>
      <c r="I158" s="97"/>
    </row>
    <row r="159" customFormat="false" ht="15.4" hidden="false" customHeight="true" outlineLevel="0" collapsed="false">
      <c r="A159" s="178" t="s">
        <v>95</v>
      </c>
      <c r="B159" s="179" t="s">
        <v>203</v>
      </c>
      <c r="C159" s="152"/>
      <c r="D159" s="116"/>
      <c r="E159" s="177" t="s">
        <v>204</v>
      </c>
      <c r="F159" s="177"/>
      <c r="G159" s="152"/>
      <c r="H159" s="116"/>
      <c r="I159" s="97"/>
    </row>
    <row r="160" customFormat="false" ht="15.4" hidden="false" customHeight="true" outlineLevel="0" collapsed="false">
      <c r="A160" s="181"/>
      <c r="B160" s="179" t="s">
        <v>205</v>
      </c>
      <c r="C160" s="152"/>
      <c r="D160" s="116"/>
      <c r="E160" s="177" t="s">
        <v>206</v>
      </c>
      <c r="F160" s="177"/>
      <c r="G160" s="152"/>
      <c r="H160" s="116"/>
      <c r="I160" s="97"/>
    </row>
    <row r="161" customFormat="false" ht="15.4" hidden="false" customHeight="true" outlineLevel="0" collapsed="false">
      <c r="A161" s="181"/>
      <c r="B161" s="179" t="s">
        <v>207</v>
      </c>
      <c r="C161" s="152"/>
      <c r="D161" s="116"/>
      <c r="E161" s="177" t="s">
        <v>208</v>
      </c>
      <c r="F161" s="177"/>
      <c r="G161" s="152"/>
      <c r="H161" s="116"/>
      <c r="I161" s="97"/>
    </row>
    <row r="162" customFormat="false" ht="15.4" hidden="false" customHeight="true" outlineLevel="0" collapsed="false">
      <c r="A162" s="181"/>
      <c r="B162" s="179" t="s">
        <v>209</v>
      </c>
      <c r="C162" s="152"/>
      <c r="D162" s="116"/>
      <c r="E162" s="177" t="s">
        <v>210</v>
      </c>
      <c r="F162" s="177"/>
      <c r="G162" s="152"/>
      <c r="H162" s="116"/>
      <c r="I162" s="97"/>
    </row>
    <row r="163" customFormat="false" ht="15.4" hidden="false" customHeight="true" outlineLevel="0" collapsed="false">
      <c r="A163" s="181"/>
      <c r="B163" s="179" t="s">
        <v>211</v>
      </c>
      <c r="C163" s="152"/>
      <c r="D163" s="116"/>
      <c r="E163" s="177" t="s">
        <v>212</v>
      </c>
      <c r="F163" s="177"/>
      <c r="G163" s="152"/>
      <c r="H163" s="116"/>
      <c r="I163" s="97"/>
    </row>
    <row r="164" customFormat="false" ht="15.4" hidden="false" customHeight="true" outlineLevel="0" collapsed="false">
      <c r="A164" s="181"/>
      <c r="B164" s="179" t="s">
        <v>213</v>
      </c>
      <c r="C164" s="152"/>
      <c r="D164" s="116"/>
      <c r="E164" s="177" t="s">
        <v>214</v>
      </c>
      <c r="F164" s="177"/>
      <c r="G164" s="152"/>
      <c r="H164" s="116"/>
      <c r="I164" s="97"/>
    </row>
    <row r="165" customFormat="false" ht="15.4" hidden="false" customHeight="true" outlineLevel="0" collapsed="false">
      <c r="A165" s="181"/>
      <c r="B165" s="182" t="s">
        <v>215</v>
      </c>
      <c r="C165" s="152"/>
      <c r="D165" s="116"/>
      <c r="E165" s="177" t="s">
        <v>216</v>
      </c>
      <c r="F165" s="177"/>
      <c r="G165" s="152"/>
      <c r="H165" s="116"/>
      <c r="I165" s="97"/>
    </row>
    <row r="166" customFormat="false" ht="15.4" hidden="false" customHeight="true" outlineLevel="0" collapsed="false">
      <c r="A166" s="176" t="s">
        <v>217</v>
      </c>
      <c r="B166" s="180"/>
      <c r="C166" s="152"/>
      <c r="D166" s="116"/>
      <c r="E166" s="177" t="s">
        <v>218</v>
      </c>
      <c r="F166" s="177"/>
      <c r="G166" s="152"/>
      <c r="H166" s="116"/>
      <c r="I166" s="97"/>
    </row>
    <row r="167" customFormat="false" ht="15.4" hidden="false" customHeight="true" outlineLevel="0" collapsed="false">
      <c r="A167" s="176" t="s">
        <v>219</v>
      </c>
      <c r="B167" s="183" t="s">
        <v>95</v>
      </c>
      <c r="C167" s="152"/>
      <c r="D167" s="116"/>
      <c r="E167" s="127"/>
      <c r="F167" s="121"/>
      <c r="G167" s="152"/>
      <c r="H167" s="116"/>
      <c r="I167" s="97"/>
    </row>
    <row r="168" customFormat="false" ht="15.4" hidden="false" customHeight="true" outlineLevel="0" collapsed="false">
      <c r="A168" s="184" t="s">
        <v>220</v>
      </c>
      <c r="B168" s="184"/>
      <c r="C168" s="152"/>
      <c r="D168" s="116"/>
      <c r="E168" s="127"/>
      <c r="F168" s="121"/>
      <c r="G168" s="152"/>
      <c r="H168" s="116"/>
      <c r="I168" s="97"/>
    </row>
    <row r="169" customFormat="false" ht="15.4" hidden="false" customHeight="true" outlineLevel="0" collapsed="false">
      <c r="A169" s="184" t="s">
        <v>221</v>
      </c>
      <c r="B169" s="184"/>
      <c r="C169" s="152"/>
      <c r="D169" s="116"/>
      <c r="E169" s="127"/>
      <c r="F169" s="121"/>
      <c r="G169" s="152"/>
      <c r="H169" s="116"/>
      <c r="I169" s="97"/>
    </row>
    <row r="170" customFormat="false" ht="15.4" hidden="false" customHeight="true" outlineLevel="0" collapsed="false">
      <c r="A170" s="184" t="s">
        <v>222</v>
      </c>
      <c r="B170" s="184"/>
      <c r="C170" s="152"/>
      <c r="D170" s="116"/>
      <c r="E170" s="127"/>
      <c r="F170" s="121"/>
      <c r="G170" s="152"/>
      <c r="H170" s="116"/>
      <c r="I170" s="97"/>
    </row>
    <row r="171" customFormat="false" ht="15.4" hidden="false" customHeight="true" outlineLevel="0" collapsed="false">
      <c r="A171" s="185" t="s">
        <v>223</v>
      </c>
      <c r="B171" s="185"/>
      <c r="C171" s="152"/>
      <c r="D171" s="116"/>
      <c r="E171" s="97"/>
      <c r="F171" s="97"/>
      <c r="G171" s="97"/>
      <c r="H171" s="97"/>
      <c r="I171" s="97"/>
    </row>
    <row r="172" customFormat="false" ht="15.4" hidden="false" customHeight="true" outlineLevel="0" collapsed="false">
      <c r="A172" s="184" t="s">
        <v>224</v>
      </c>
      <c r="B172" s="184"/>
      <c r="C172" s="152"/>
      <c r="D172" s="116"/>
      <c r="E172" s="97"/>
      <c r="F172" s="97"/>
      <c r="G172" s="97"/>
      <c r="H172" s="97"/>
      <c r="I172" s="97"/>
    </row>
    <row r="173" customFormat="false" ht="15.4" hidden="false" customHeight="true" outlineLevel="0" collapsed="false">
      <c r="A173" s="184" t="s">
        <v>225</v>
      </c>
      <c r="B173" s="184"/>
      <c r="C173" s="152"/>
      <c r="D173" s="116"/>
      <c r="E173" s="97"/>
      <c r="F173" s="186" t="s">
        <v>226</v>
      </c>
      <c r="G173" s="186"/>
      <c r="H173" s="186"/>
      <c r="I173" s="97" t="s">
        <v>227</v>
      </c>
    </row>
    <row r="174" customFormat="false" ht="15.4" hidden="false" customHeight="true" outlineLevel="0" collapsed="false">
      <c r="A174" s="184" t="s">
        <v>228</v>
      </c>
      <c r="B174" s="184"/>
      <c r="C174" s="152"/>
      <c r="D174" s="116"/>
      <c r="E174" s="97"/>
      <c r="F174" s="187" t="s">
        <v>229</v>
      </c>
      <c r="G174" s="187"/>
      <c r="H174" s="187"/>
      <c r="I174" s="97" t="s">
        <v>230</v>
      </c>
    </row>
    <row r="175" customFormat="false" ht="15.4" hidden="false" customHeight="true" outlineLevel="0" collapsed="false">
      <c r="A175" s="184" t="s">
        <v>231</v>
      </c>
      <c r="B175" s="184"/>
      <c r="C175" s="152"/>
      <c r="D175" s="116"/>
      <c r="E175" s="97"/>
      <c r="F175" s="187"/>
      <c r="G175" s="187"/>
      <c r="H175" s="187"/>
      <c r="I175" s="97"/>
    </row>
    <row r="176" customFormat="false" ht="15.4" hidden="false" customHeight="true" outlineLevel="0" collapsed="false">
      <c r="A176" s="184" t="s">
        <v>232</v>
      </c>
      <c r="B176" s="184"/>
      <c r="C176" s="152"/>
      <c r="D176" s="116"/>
      <c r="E176" s="97"/>
      <c r="F176" s="187"/>
      <c r="G176" s="187"/>
      <c r="H176" s="187"/>
      <c r="I176" s="97"/>
    </row>
    <row r="177" customFormat="false" ht="15.4" hidden="false" customHeight="true" outlineLevel="0" collapsed="false">
      <c r="A177" s="184" t="s">
        <v>233</v>
      </c>
      <c r="B177" s="184"/>
      <c r="C177" s="152"/>
      <c r="D177" s="116"/>
      <c r="E177" s="97"/>
      <c r="F177" s="97"/>
      <c r="G177" s="97"/>
      <c r="H177" s="97"/>
      <c r="I177" s="97"/>
    </row>
    <row r="178" customFormat="false" ht="15.4" hidden="false" customHeight="true" outlineLevel="0" collapsed="false">
      <c r="A178" s="176" t="s">
        <v>234</v>
      </c>
      <c r="B178" s="188"/>
      <c r="C178" s="152"/>
      <c r="D178" s="116"/>
      <c r="E178" s="97"/>
      <c r="F178" s="97"/>
      <c r="G178" s="97"/>
      <c r="H178" s="97"/>
      <c r="I178" s="97"/>
    </row>
    <row r="179" customFormat="false" ht="15.4" hidden="false" customHeight="true" outlineLevel="0" collapsed="false">
      <c r="A179" s="176" t="s">
        <v>235</v>
      </c>
      <c r="B179" s="180"/>
      <c r="C179" s="152"/>
      <c r="D179" s="116"/>
      <c r="E179" s="97"/>
      <c r="F179" s="97"/>
      <c r="G179" s="97"/>
      <c r="H179" s="97"/>
      <c r="I179" s="97"/>
    </row>
    <row r="180" customFormat="false" ht="15.4" hidden="false" customHeight="true" outlineLevel="0" collapsed="false">
      <c r="A180" s="176" t="s">
        <v>236</v>
      </c>
      <c r="B180" s="180"/>
      <c r="C180" s="152"/>
      <c r="D180" s="116"/>
      <c r="E180" s="97"/>
      <c r="F180" s="97"/>
      <c r="G180" s="97"/>
      <c r="H180" s="97"/>
      <c r="I180" s="97"/>
    </row>
    <row r="181" customFormat="false" ht="15.4" hidden="false" customHeight="true" outlineLevel="0" collapsed="false">
      <c r="A181" s="176" t="s">
        <v>237</v>
      </c>
      <c r="B181" s="180"/>
      <c r="C181" s="152"/>
      <c r="D181" s="116"/>
      <c r="E181" s="97"/>
      <c r="F181" s="97"/>
      <c r="G181" s="97"/>
      <c r="H181" s="97"/>
      <c r="I181" s="97"/>
    </row>
    <row r="182" customFormat="false" ht="15.4" hidden="false" customHeight="true" outlineLevel="0" collapsed="false">
      <c r="A182" s="176" t="s">
        <v>238</v>
      </c>
      <c r="B182" s="180"/>
      <c r="C182" s="152"/>
      <c r="D182" s="116"/>
      <c r="E182" s="97"/>
      <c r="F182" s="97"/>
      <c r="G182" s="97"/>
      <c r="H182" s="97"/>
      <c r="I182" s="97"/>
    </row>
    <row r="183" customFormat="false" ht="15.4" hidden="false" customHeight="true" outlineLevel="0" collapsed="false">
      <c r="A183" s="176" t="s">
        <v>239</v>
      </c>
      <c r="B183" s="121"/>
      <c r="C183" s="152"/>
      <c r="D183" s="116"/>
      <c r="E183" s="97"/>
      <c r="F183" s="97"/>
      <c r="G183" s="97"/>
      <c r="H183" s="97"/>
      <c r="I183" s="97"/>
    </row>
    <row r="184" customFormat="false" ht="15.4" hidden="false" customHeight="true" outlineLevel="0" collapsed="false">
      <c r="A184" s="178" t="s">
        <v>95</v>
      </c>
      <c r="B184" s="179" t="s">
        <v>240</v>
      </c>
      <c r="C184" s="152"/>
      <c r="D184" s="116"/>
      <c r="E184" s="97"/>
      <c r="F184" s="97"/>
      <c r="G184" s="97"/>
      <c r="H184" s="97"/>
      <c r="I184" s="97"/>
    </row>
    <row r="185" customFormat="false" ht="15.4" hidden="false" customHeight="true" outlineLevel="0" collapsed="false">
      <c r="A185" s="181"/>
      <c r="B185" s="179" t="s">
        <v>241</v>
      </c>
      <c r="C185" s="152"/>
      <c r="D185" s="116"/>
      <c r="E185" s="97"/>
      <c r="L185" s="189"/>
      <c r="M185" s="189"/>
      <c r="N185" s="189"/>
      <c r="O185" s="189"/>
      <c r="P185" s="189"/>
    </row>
    <row r="186" customFormat="false" ht="15.4" hidden="false" customHeight="true" outlineLevel="0" collapsed="false">
      <c r="A186" s="181"/>
      <c r="B186" s="179" t="s">
        <v>242</v>
      </c>
      <c r="C186" s="152"/>
      <c r="D186" s="116"/>
      <c r="E186" s="97"/>
      <c r="L186" s="189"/>
      <c r="M186" s="189"/>
      <c r="N186" s="189"/>
      <c r="O186" s="189"/>
      <c r="P186" s="189"/>
    </row>
    <row r="187" customFormat="false" ht="15.4" hidden="false" customHeight="true" outlineLevel="0" collapsed="false">
      <c r="A187" s="181"/>
      <c r="B187" s="179" t="s">
        <v>243</v>
      </c>
      <c r="C187" s="152"/>
      <c r="D187" s="116"/>
      <c r="E187" s="97"/>
      <c r="L187" s="189"/>
      <c r="M187" s="189"/>
      <c r="N187" s="189"/>
      <c r="O187" s="189"/>
      <c r="P187" s="189"/>
    </row>
    <row r="188" customFormat="false" ht="15.4" hidden="false" customHeight="true" outlineLevel="0" collapsed="false">
      <c r="A188" s="176" t="s">
        <v>244</v>
      </c>
      <c r="B188" s="180"/>
      <c r="C188" s="152"/>
      <c r="D188" s="116"/>
      <c r="E188" s="97"/>
      <c r="F188" s="97"/>
      <c r="G188" s="97"/>
      <c r="H188" s="97"/>
      <c r="I188" s="97"/>
    </row>
    <row r="189" customFormat="false" ht="15.4" hidden="false" customHeight="true" outlineLevel="0" collapsed="false">
      <c r="A189" s="176"/>
      <c r="B189" s="180"/>
      <c r="C189" s="152"/>
      <c r="D189" s="116"/>
      <c r="E189" s="97"/>
      <c r="F189" s="97"/>
      <c r="G189" s="97"/>
      <c r="H189" s="97"/>
      <c r="I189" s="97"/>
    </row>
    <row r="190" customFormat="false" ht="15.4" hidden="false" customHeight="true" outlineLevel="0" collapsed="false">
      <c r="A190" s="168"/>
      <c r="B190" s="180"/>
      <c r="C190" s="152"/>
      <c r="D190" s="116"/>
    </row>
    <row r="191" customFormat="false" ht="9.75" hidden="false" customHeight="true" outlineLevel="0" collapsed="false">
      <c r="A191" s="62"/>
      <c r="B191" s="190"/>
      <c r="C191" s="97"/>
      <c r="D191" s="97"/>
    </row>
    <row r="192" customFormat="false" ht="15.4" hidden="false" customHeight="true" outlineLevel="0" collapsed="false">
      <c r="A192" s="191" t="s">
        <v>245</v>
      </c>
      <c r="B192" s="191"/>
      <c r="C192" s="191"/>
      <c r="D192" s="97"/>
      <c r="E192" s="97"/>
      <c r="F192" s="97"/>
      <c r="G192" s="97"/>
      <c r="H192" s="97"/>
      <c r="I192" s="97"/>
    </row>
    <row r="193" customFormat="false" ht="15.4" hidden="false" customHeight="true" outlineLevel="0" collapsed="false">
      <c r="A193" s="62" t="s">
        <v>246</v>
      </c>
      <c r="B193" s="91" t="s">
        <v>247</v>
      </c>
      <c r="C193" s="192"/>
      <c r="D193" s="97"/>
      <c r="E193" s="97"/>
      <c r="F193" s="97"/>
      <c r="G193" s="97"/>
      <c r="H193" s="84"/>
      <c r="I193" s="84"/>
    </row>
    <row r="194" customFormat="false" ht="15.4" hidden="false" customHeight="true" outlineLevel="0" collapsed="false">
      <c r="A194" s="62"/>
      <c r="B194" s="97"/>
      <c r="C194" s="97"/>
      <c r="D194" s="97"/>
      <c r="E194" s="97"/>
      <c r="F194" s="97"/>
      <c r="G194" s="97"/>
      <c r="H194" s="97"/>
      <c r="I194" s="97"/>
    </row>
    <row r="195" customFormat="false" ht="15.4" hidden="false" customHeight="true" outlineLevel="0" collapsed="false">
      <c r="A195" s="62" t="s">
        <v>248</v>
      </c>
      <c r="B195" s="91" t="s">
        <v>249</v>
      </c>
      <c r="C195" s="97"/>
      <c r="D195" s="97"/>
      <c r="E195" s="97"/>
      <c r="F195" s="97"/>
      <c r="G195" s="97"/>
      <c r="H195" s="84"/>
      <c r="I195" s="84"/>
    </row>
    <row r="196" customFormat="false" ht="15.4" hidden="false" customHeight="true" outlineLevel="0" collapsed="false">
      <c r="A196" s="62"/>
      <c r="B196" s="91"/>
      <c r="C196" s="97"/>
      <c r="D196" s="97"/>
      <c r="E196" s="97"/>
      <c r="F196" s="97"/>
      <c r="G196" s="97"/>
      <c r="H196" s="75"/>
      <c r="I196" s="75"/>
    </row>
    <row r="197" customFormat="false" ht="15.4" hidden="false" customHeight="true" outlineLevel="0" collapsed="false">
      <c r="A197" s="191" t="s">
        <v>250</v>
      </c>
      <c r="B197" s="191"/>
      <c r="C197" s="191"/>
      <c r="D197" s="97"/>
      <c r="E197" s="97"/>
      <c r="F197" s="97"/>
      <c r="G197" s="97"/>
      <c r="H197" s="97"/>
      <c r="I197" s="97"/>
    </row>
    <row r="198" customFormat="false" ht="15.4" hidden="false" customHeight="true" outlineLevel="0" collapsed="false">
      <c r="A198" s="62" t="s">
        <v>251</v>
      </c>
      <c r="B198" s="193" t="s">
        <v>252</v>
      </c>
      <c r="C198" s="193"/>
      <c r="D198" s="193"/>
      <c r="E198" s="193"/>
      <c r="F198" s="193"/>
      <c r="G198" s="194" t="s">
        <v>253</v>
      </c>
      <c r="H198" s="194" t="s">
        <v>254</v>
      </c>
      <c r="I198" s="97"/>
    </row>
    <row r="199" customFormat="false" ht="15.4" hidden="false" customHeight="true" outlineLevel="0" collapsed="false">
      <c r="A199" s="62"/>
      <c r="B199" s="193"/>
      <c r="C199" s="193"/>
      <c r="D199" s="193"/>
      <c r="E199" s="193"/>
      <c r="F199" s="193"/>
      <c r="G199" s="195"/>
      <c r="H199" s="195"/>
      <c r="I199" s="97"/>
    </row>
    <row r="200" customFormat="false" ht="15.4" hidden="false" customHeight="true" outlineLevel="0" collapsed="false">
      <c r="A200" s="62" t="s">
        <v>251</v>
      </c>
      <c r="B200" s="196" t="s">
        <v>255</v>
      </c>
      <c r="C200" s="196"/>
      <c r="D200" s="196"/>
      <c r="E200" s="196"/>
      <c r="F200" s="196"/>
      <c r="G200" s="194" t="s">
        <v>253</v>
      </c>
      <c r="H200" s="194" t="s">
        <v>254</v>
      </c>
      <c r="I200" s="97"/>
    </row>
    <row r="201" customFormat="false" ht="15.4" hidden="false" customHeight="true" outlineLevel="0" collapsed="false">
      <c r="B201" s="196"/>
      <c r="C201" s="196"/>
      <c r="D201" s="196"/>
      <c r="E201" s="196"/>
      <c r="F201" s="196"/>
      <c r="G201" s="195"/>
      <c r="H201" s="195"/>
      <c r="I201" s="97"/>
    </row>
    <row r="202" customFormat="false" ht="15.4" hidden="false" customHeight="true" outlineLevel="0" collapsed="false">
      <c r="A202" s="62"/>
      <c r="B202" s="197" t="s">
        <v>256</v>
      </c>
      <c r="C202" s="197"/>
      <c r="D202" s="197"/>
      <c r="E202" s="197"/>
      <c r="F202" s="197"/>
      <c r="G202" s="197"/>
      <c r="H202" s="197"/>
      <c r="I202" s="97"/>
    </row>
    <row r="203" customFormat="false" ht="15.4" hidden="false" customHeight="true" outlineLevel="0" collapsed="false">
      <c r="A203" s="62"/>
      <c r="B203" s="193"/>
      <c r="C203" s="193"/>
      <c r="D203" s="193"/>
      <c r="E203" s="193"/>
      <c r="F203" s="193"/>
      <c r="G203" s="97"/>
      <c r="H203" s="97"/>
      <c r="I203" s="97"/>
    </row>
    <row r="204" customFormat="false" ht="15.4" hidden="false" customHeight="true" outlineLevel="0" collapsed="false">
      <c r="A204" s="62" t="s">
        <v>257</v>
      </c>
      <c r="B204" s="196" t="s">
        <v>258</v>
      </c>
      <c r="C204" s="196"/>
      <c r="D204" s="196"/>
      <c r="E204" s="196"/>
      <c r="F204" s="196"/>
      <c r="G204" s="194" t="s">
        <v>253</v>
      </c>
      <c r="H204" s="194" t="s">
        <v>254</v>
      </c>
      <c r="I204" s="97"/>
    </row>
    <row r="205" customFormat="false" ht="15.4" hidden="false" customHeight="true" outlineLevel="0" collapsed="false">
      <c r="A205" s="62"/>
      <c r="B205" s="196"/>
      <c r="C205" s="196"/>
      <c r="D205" s="196"/>
      <c r="E205" s="196"/>
      <c r="F205" s="196"/>
      <c r="G205" s="195"/>
      <c r="H205" s="195"/>
      <c r="I205" s="97"/>
    </row>
    <row r="206" customFormat="false" ht="15.4" hidden="false" customHeight="true" outlineLevel="0" collapsed="false">
      <c r="A206" s="62"/>
      <c r="B206" s="97"/>
      <c r="C206" s="97"/>
      <c r="D206" s="97"/>
      <c r="E206" s="97"/>
      <c r="F206" s="97"/>
      <c r="G206" s="97"/>
      <c r="H206" s="97"/>
      <c r="I206" s="97"/>
    </row>
    <row r="207" customFormat="false" ht="15.4" hidden="false" customHeight="true" outlineLevel="0" collapsed="false">
      <c r="A207" s="191" t="s">
        <v>259</v>
      </c>
      <c r="B207" s="191"/>
      <c r="C207" s="191"/>
      <c r="D207" s="97"/>
      <c r="E207" s="97"/>
      <c r="F207" s="97"/>
      <c r="G207" s="97"/>
      <c r="H207" s="97"/>
      <c r="I207" s="97"/>
    </row>
    <row r="208" customFormat="false" ht="15.4" hidden="false" customHeight="true" outlineLevel="0" collapsed="false">
      <c r="A208" s="62" t="s">
        <v>260</v>
      </c>
      <c r="B208" s="193" t="s">
        <v>261</v>
      </c>
      <c r="C208" s="193"/>
      <c r="D208" s="193"/>
      <c r="E208" s="193"/>
      <c r="F208" s="193"/>
      <c r="G208" s="193"/>
      <c r="H208" s="84"/>
      <c r="I208" s="97"/>
    </row>
    <row r="209" customFormat="false" ht="15.4" hidden="false" customHeight="true" outlineLevel="0" collapsed="false">
      <c r="A209" s="62"/>
      <c r="B209" s="97"/>
      <c r="C209" s="97"/>
      <c r="D209" s="97"/>
      <c r="E209" s="97"/>
      <c r="F209" s="97"/>
      <c r="G209" s="97"/>
      <c r="H209" s="97"/>
      <c r="I209" s="97"/>
    </row>
    <row r="210" customFormat="false" ht="15.4" hidden="false" customHeight="true" outlineLevel="0" collapsed="false">
      <c r="A210" s="62"/>
      <c r="G210" s="194" t="s">
        <v>253</v>
      </c>
      <c r="H210" s="194" t="s">
        <v>254</v>
      </c>
      <c r="I210" s="97"/>
    </row>
    <row r="211" customFormat="false" ht="15.4" hidden="false" customHeight="true" outlineLevel="0" collapsed="false">
      <c r="A211" s="62"/>
      <c r="B211" s="193" t="s">
        <v>262</v>
      </c>
      <c r="C211" s="193"/>
      <c r="D211" s="193"/>
      <c r="E211" s="193"/>
      <c r="F211" s="193"/>
      <c r="G211" s="163"/>
      <c r="H211" s="163"/>
    </row>
    <row r="212" customFormat="false" ht="15.4" hidden="false" customHeight="true" outlineLevel="0" collapsed="false">
      <c r="A212" s="62"/>
      <c r="B212" s="193"/>
      <c r="C212" s="193"/>
      <c r="D212" s="193"/>
      <c r="E212" s="193"/>
      <c r="F212" s="193"/>
      <c r="G212" s="163"/>
      <c r="H212" s="163"/>
    </row>
    <row r="213" customFormat="false" ht="15.4" hidden="false" customHeight="true" outlineLevel="0" collapsed="false">
      <c r="A213" s="62"/>
      <c r="B213" s="193" t="s">
        <v>263</v>
      </c>
      <c r="C213" s="193"/>
      <c r="D213" s="193"/>
      <c r="E213" s="193"/>
      <c r="F213" s="193"/>
      <c r="G213" s="163"/>
      <c r="H213" s="163"/>
      <c r="I213" s="97"/>
    </row>
    <row r="214" customFormat="false" ht="15.4" hidden="false" customHeight="true" outlineLevel="0" collapsed="false">
      <c r="A214" s="62"/>
      <c r="B214" s="193"/>
      <c r="C214" s="193"/>
      <c r="D214" s="193"/>
      <c r="E214" s="193"/>
      <c r="F214" s="193"/>
      <c r="G214" s="163"/>
      <c r="H214" s="163"/>
    </row>
    <row r="215" customFormat="false" ht="15" hidden="false" customHeight="true" outlineLevel="0" collapsed="false">
      <c r="A215" s="62"/>
      <c r="B215" s="193" t="s">
        <v>264</v>
      </c>
      <c r="C215" s="193"/>
      <c r="D215" s="193"/>
      <c r="E215" s="193"/>
      <c r="F215" s="193"/>
      <c r="G215" s="163"/>
      <c r="H215" s="163"/>
    </row>
    <row r="216" customFormat="false" ht="15.4" hidden="false" customHeight="true" outlineLevel="0" collapsed="false">
      <c r="A216" s="62"/>
      <c r="B216" s="193"/>
      <c r="C216" s="193"/>
      <c r="D216" s="193"/>
      <c r="E216" s="193"/>
      <c r="F216" s="193"/>
      <c r="G216" s="163"/>
      <c r="H216" s="163"/>
      <c r="I216" s="97"/>
    </row>
    <row r="217" customFormat="false" ht="15.4" hidden="false" customHeight="true" outlineLevel="0" collapsed="false">
      <c r="A217" s="62"/>
      <c r="B217" s="198" t="s">
        <v>265</v>
      </c>
      <c r="C217" s="198"/>
      <c r="D217" s="198"/>
      <c r="E217" s="198"/>
      <c r="F217" s="198"/>
      <c r="G217" s="195"/>
      <c r="H217" s="195"/>
      <c r="I217" s="97"/>
    </row>
    <row r="218" customFormat="false" ht="11.25" hidden="false" customHeight="true" outlineLevel="0" collapsed="false">
      <c r="A218" s="62"/>
      <c r="B218" s="97"/>
      <c r="C218" s="97"/>
      <c r="D218" s="97"/>
      <c r="E218" s="97"/>
      <c r="F218" s="97"/>
      <c r="G218" s="97"/>
      <c r="H218" s="97"/>
      <c r="I218" s="97"/>
    </row>
    <row r="219" customFormat="false" ht="15.4" hidden="false" customHeight="true" outlineLevel="0" collapsed="false">
      <c r="A219" s="62"/>
      <c r="B219" s="198" t="s">
        <v>266</v>
      </c>
      <c r="C219" s="198"/>
      <c r="D219" s="198"/>
      <c r="E219" s="198"/>
      <c r="F219" s="198"/>
      <c r="G219" s="194" t="s">
        <v>253</v>
      </c>
      <c r="H219" s="194" t="s">
        <v>254</v>
      </c>
      <c r="I219" s="97"/>
    </row>
    <row r="220" customFormat="false" ht="15.4" hidden="false" customHeight="true" outlineLevel="0" collapsed="false">
      <c r="A220" s="62" t="s">
        <v>267</v>
      </c>
      <c r="B220" s="198"/>
      <c r="C220" s="198"/>
      <c r="D220" s="198"/>
      <c r="E220" s="198"/>
      <c r="F220" s="198"/>
      <c r="G220" s="195"/>
      <c r="H220" s="195"/>
      <c r="I220" s="97"/>
    </row>
    <row r="221" customFormat="false" ht="15.4" hidden="false" customHeight="true" outlineLevel="0" collapsed="false">
      <c r="A221" s="62"/>
      <c r="B221" s="97"/>
      <c r="C221" s="97"/>
      <c r="D221" s="97"/>
      <c r="E221" s="97"/>
      <c r="F221" s="97"/>
      <c r="G221" s="97"/>
      <c r="H221" s="97"/>
      <c r="I221" s="97"/>
    </row>
    <row r="222" customFormat="false" ht="15.4" hidden="false" customHeight="true" outlineLevel="0" collapsed="false">
      <c r="A222" s="62"/>
      <c r="B222" s="198" t="s">
        <v>268</v>
      </c>
      <c r="C222" s="198"/>
      <c r="D222" s="198"/>
      <c r="E222" s="198"/>
      <c r="F222" s="198"/>
      <c r="G222" s="97"/>
      <c r="H222" s="97"/>
      <c r="I222" s="97"/>
    </row>
    <row r="223" customFormat="false" ht="15.4" hidden="false" customHeight="true" outlineLevel="0" collapsed="false">
      <c r="A223" s="62"/>
      <c r="B223" s="62"/>
      <c r="C223" s="62"/>
      <c r="D223" s="62"/>
      <c r="E223" s="186" t="s">
        <v>269</v>
      </c>
      <c r="F223" s="186"/>
      <c r="G223" s="195"/>
      <c r="H223" s="97"/>
      <c r="I223" s="97"/>
    </row>
    <row r="224" customFormat="false" ht="15.4" hidden="false" customHeight="true" outlineLevel="0" collapsed="false">
      <c r="A224" s="62"/>
      <c r="B224" s="97"/>
      <c r="C224" s="97"/>
      <c r="D224" s="97"/>
      <c r="E224" s="186" t="s">
        <v>270</v>
      </c>
      <c r="F224" s="186"/>
      <c r="G224" s="195"/>
      <c r="H224" s="97"/>
      <c r="I224" s="97"/>
    </row>
    <row r="225" customFormat="false" ht="15.4" hidden="false" customHeight="true" outlineLevel="0" collapsed="false">
      <c r="A225" s="62"/>
      <c r="B225" s="97"/>
      <c r="C225" s="97"/>
      <c r="D225" s="97"/>
      <c r="E225" s="62"/>
      <c r="F225" s="97"/>
      <c r="G225" s="97"/>
      <c r="H225" s="97"/>
      <c r="I225" s="97"/>
    </row>
    <row r="226" customFormat="false" ht="15.4" hidden="false" customHeight="true" outlineLevel="0" collapsed="false">
      <c r="A226" s="62" t="s">
        <v>271</v>
      </c>
      <c r="B226" s="193" t="s">
        <v>272</v>
      </c>
      <c r="C226" s="193"/>
      <c r="D226" s="193"/>
      <c r="E226" s="193"/>
      <c r="F226" s="193"/>
      <c r="G226" s="84"/>
      <c r="H226" s="84"/>
      <c r="I226" s="97"/>
    </row>
    <row r="227" customFormat="false" ht="15.4" hidden="false" customHeight="true" outlineLevel="0" collapsed="false">
      <c r="A227" s="62"/>
      <c r="B227" s="193"/>
      <c r="C227" s="193"/>
      <c r="D227" s="193"/>
      <c r="E227" s="193"/>
      <c r="F227" s="193"/>
      <c r="G227" s="75"/>
      <c r="H227" s="75"/>
      <c r="I227" s="97"/>
    </row>
    <row r="228" customFormat="false" ht="15.4" hidden="false" customHeight="true" outlineLevel="0" collapsed="false">
      <c r="A228" s="191" t="s">
        <v>273</v>
      </c>
      <c r="B228" s="191"/>
      <c r="C228" s="191"/>
      <c r="D228" s="191"/>
      <c r="E228" s="75"/>
      <c r="F228" s="75"/>
      <c r="G228" s="75"/>
      <c r="H228" s="75"/>
      <c r="I228" s="97"/>
    </row>
    <row r="229" customFormat="false" ht="15.4" hidden="false" customHeight="true" outlineLevel="0" collapsed="false">
      <c r="A229" s="85" t="s">
        <v>274</v>
      </c>
      <c r="B229" s="75"/>
      <c r="C229" s="75"/>
      <c r="D229" s="97"/>
      <c r="E229" s="75"/>
      <c r="F229" s="97"/>
      <c r="G229" s="194" t="s">
        <v>253</v>
      </c>
      <c r="H229" s="194" t="s">
        <v>254</v>
      </c>
      <c r="I229" s="97"/>
    </row>
    <row r="230" customFormat="false" ht="15.4" hidden="false" customHeight="true" outlineLevel="0" collapsed="false">
      <c r="A230" s="199" t="s">
        <v>275</v>
      </c>
      <c r="B230" s="75"/>
      <c r="C230" s="200"/>
      <c r="D230" s="75"/>
      <c r="E230" s="75"/>
      <c r="F230" s="97"/>
      <c r="G230" s="195"/>
      <c r="H230" s="195"/>
      <c r="I230" s="97"/>
    </row>
    <row r="231" customFormat="false" ht="15.4" hidden="false" customHeight="true" outlineLevel="0" collapsed="false">
      <c r="A231" s="199" t="s">
        <v>276</v>
      </c>
      <c r="B231" s="75"/>
      <c r="C231" s="200"/>
      <c r="D231" s="75"/>
      <c r="E231" s="75"/>
      <c r="F231" s="97"/>
      <c r="G231" s="195"/>
      <c r="H231" s="195"/>
      <c r="I231" s="97"/>
    </row>
    <row r="232" customFormat="false" ht="15.4" hidden="false" customHeight="true" outlineLevel="0" collapsed="false">
      <c r="A232" s="199" t="s">
        <v>277</v>
      </c>
      <c r="B232" s="75"/>
      <c r="C232" s="200"/>
      <c r="D232" s="75"/>
      <c r="E232" s="75"/>
      <c r="F232" s="97"/>
      <c r="G232" s="195"/>
      <c r="H232" s="195"/>
      <c r="I232" s="97"/>
    </row>
    <row r="233" customFormat="false" ht="15.4" hidden="false" customHeight="true" outlineLevel="0" collapsed="false">
      <c r="A233" s="199" t="s">
        <v>278</v>
      </c>
      <c r="B233" s="75"/>
      <c r="C233" s="200"/>
      <c r="D233" s="75"/>
      <c r="E233" s="75"/>
      <c r="F233" s="97"/>
      <c r="G233" s="195"/>
      <c r="H233" s="195"/>
      <c r="I233" s="97"/>
    </row>
    <row r="234" customFormat="false" ht="15" hidden="false" customHeight="true" outlineLevel="0" collapsed="false">
      <c r="A234" s="62"/>
      <c r="B234" s="97"/>
      <c r="C234" s="97"/>
      <c r="D234" s="97"/>
      <c r="E234" s="97"/>
      <c r="F234" s="97"/>
      <c r="G234" s="97"/>
      <c r="H234" s="97"/>
      <c r="I234" s="97"/>
    </row>
    <row r="235" customFormat="false" ht="15.4" hidden="false" customHeight="true" outlineLevel="0" collapsed="false">
      <c r="A235" s="85" t="s">
        <v>279</v>
      </c>
      <c r="B235" s="75"/>
      <c r="C235" s="75"/>
      <c r="D235" s="75"/>
      <c r="E235" s="97"/>
      <c r="F235" s="97"/>
      <c r="G235" s="194" t="s">
        <v>253</v>
      </c>
      <c r="H235" s="194" t="s">
        <v>254</v>
      </c>
      <c r="I235" s="97"/>
    </row>
    <row r="236" customFormat="false" ht="15.4" hidden="false" customHeight="true" outlineLevel="0" collapsed="false">
      <c r="A236" s="201" t="s">
        <v>280</v>
      </c>
      <c r="B236" s="75"/>
      <c r="C236" s="75"/>
      <c r="D236" s="75"/>
      <c r="E236" s="75"/>
      <c r="F236" s="75"/>
      <c r="G236" s="195"/>
      <c r="H236" s="195"/>
      <c r="I236" s="97"/>
    </row>
    <row r="237" customFormat="false" ht="15.4" hidden="false" customHeight="true" outlineLevel="0" collapsed="false">
      <c r="A237" s="201" t="s">
        <v>281</v>
      </c>
      <c r="B237" s="75"/>
      <c r="C237" s="97"/>
      <c r="D237" s="97"/>
      <c r="E237" s="97"/>
      <c r="F237" s="97"/>
      <c r="G237" s="195"/>
      <c r="H237" s="195"/>
      <c r="I237" s="97"/>
    </row>
    <row r="238" customFormat="false" ht="15.4" hidden="false" customHeight="true" outlineLevel="0" collapsed="false">
      <c r="A238" s="199" t="s">
        <v>282</v>
      </c>
      <c r="B238" s="75"/>
      <c r="C238" s="97"/>
      <c r="D238" s="97"/>
      <c r="E238" s="97"/>
      <c r="F238" s="97"/>
      <c r="G238" s="195"/>
      <c r="H238" s="195"/>
      <c r="I238" s="97"/>
    </row>
    <row r="239" customFormat="false" ht="15.4" hidden="false" customHeight="true" outlineLevel="0" collapsed="false">
      <c r="A239" s="199" t="s">
        <v>283</v>
      </c>
      <c r="B239" s="75"/>
      <c r="C239" s="97"/>
      <c r="D239" s="97"/>
      <c r="E239" s="97"/>
      <c r="F239" s="97"/>
      <c r="G239" s="195"/>
      <c r="H239" s="195"/>
      <c r="I239" s="97"/>
    </row>
    <row r="240" customFormat="false" ht="15.4" hidden="false" customHeight="true" outlineLevel="0" collapsed="false">
      <c r="A240" s="199" t="s">
        <v>284</v>
      </c>
      <c r="B240" s="75"/>
      <c r="C240" s="97"/>
      <c r="D240" s="97"/>
      <c r="E240" s="97"/>
      <c r="F240" s="97"/>
      <c r="G240" s="195"/>
      <c r="H240" s="195"/>
      <c r="I240" s="97"/>
    </row>
    <row r="241" customFormat="false" ht="15.4" hidden="false" customHeight="true" outlineLevel="0" collapsed="false">
      <c r="A241" s="199" t="s">
        <v>285</v>
      </c>
      <c r="G241" s="195"/>
      <c r="H241" s="195"/>
      <c r="I241" s="97"/>
    </row>
    <row r="242" customFormat="false" ht="13.5" hidden="false" customHeight="true" outlineLevel="0" collapsed="false">
      <c r="A242" s="199" t="s">
        <v>286</v>
      </c>
      <c r="B242" s="97"/>
      <c r="C242" s="97"/>
      <c r="D242" s="97"/>
      <c r="E242" s="97"/>
      <c r="F242" s="97"/>
      <c r="G242" s="195"/>
      <c r="H242" s="195"/>
      <c r="I242" s="97"/>
    </row>
    <row r="243" customFormat="false" ht="15.4" hidden="false" customHeight="true" outlineLevel="0" collapsed="false">
      <c r="A243" s="199" t="s">
        <v>287</v>
      </c>
      <c r="B243" s="97"/>
      <c r="C243" s="97"/>
      <c r="F243" s="97"/>
      <c r="G243" s="195"/>
      <c r="H243" s="195"/>
    </row>
    <row r="244" customFormat="false" ht="15.4" hidden="false" customHeight="true" outlineLevel="0" collapsed="false">
      <c r="A244" s="199" t="s">
        <v>288</v>
      </c>
      <c r="B244" s="75"/>
      <c r="C244" s="97"/>
      <c r="D244" s="75"/>
      <c r="E244" s="90" t="s">
        <v>289</v>
      </c>
      <c r="F244" s="202"/>
      <c r="G244" s="202"/>
      <c r="H244" s="202"/>
    </row>
    <row r="245" customFormat="false" ht="15.4" hidden="false" customHeight="true" outlineLevel="0" collapsed="false">
      <c r="A245" s="199"/>
      <c r="B245" s="97"/>
      <c r="C245" s="97"/>
    </row>
    <row r="246" customFormat="false" ht="15.4" hidden="false" customHeight="true" outlineLevel="0" collapsed="false">
      <c r="A246" s="85" t="s">
        <v>290</v>
      </c>
      <c r="B246" s="97"/>
      <c r="C246" s="97"/>
      <c r="D246" s="194" t="s">
        <v>253</v>
      </c>
      <c r="E246" s="194" t="s">
        <v>254</v>
      </c>
      <c r="F246" s="199"/>
      <c r="H246" s="194" t="s">
        <v>253</v>
      </c>
      <c r="I246" s="194" t="s">
        <v>254</v>
      </c>
    </row>
    <row r="247" customFormat="false" ht="15.4" hidden="false" customHeight="true" outlineLevel="0" collapsed="false">
      <c r="A247" s="199" t="s">
        <v>291</v>
      </c>
      <c r="B247" s="97"/>
      <c r="C247" s="97"/>
      <c r="D247" s="195"/>
      <c r="E247" s="195"/>
      <c r="F247" s="199" t="s">
        <v>292</v>
      </c>
      <c r="H247" s="195"/>
      <c r="I247" s="195"/>
    </row>
    <row r="248" customFormat="false" ht="15.4" hidden="false" customHeight="true" outlineLevel="0" collapsed="false">
      <c r="A248" s="199" t="s">
        <v>293</v>
      </c>
      <c r="B248" s="97"/>
      <c r="C248" s="97"/>
      <c r="D248" s="195"/>
      <c r="E248" s="195"/>
      <c r="F248" s="199" t="s">
        <v>294</v>
      </c>
      <c r="H248" s="195"/>
      <c r="I248" s="195"/>
    </row>
    <row r="249" customFormat="false" ht="15.4" hidden="false" customHeight="true" outlineLevel="0" collapsed="false">
      <c r="A249" s="98" t="s">
        <v>295</v>
      </c>
      <c r="B249" s="98"/>
      <c r="C249" s="98"/>
      <c r="D249" s="98"/>
      <c r="E249" s="98"/>
      <c r="F249" s="98"/>
      <c r="G249" s="98"/>
      <c r="H249" s="98"/>
      <c r="I249" s="98"/>
    </row>
    <row r="250" customFormat="false" ht="15.4" hidden="false" customHeight="true" outlineLevel="0" collapsed="false">
      <c r="A250" s="62"/>
      <c r="B250" s="97"/>
      <c r="C250" s="97"/>
      <c r="D250" s="97"/>
      <c r="E250" s="97"/>
      <c r="F250" s="97"/>
      <c r="G250" s="97"/>
      <c r="H250" s="97"/>
      <c r="I250" s="97"/>
    </row>
    <row r="251" customFormat="false" ht="15.4" hidden="false" customHeight="true" outlineLevel="0" collapsed="false">
      <c r="A251" s="191" t="s">
        <v>296</v>
      </c>
      <c r="B251" s="191"/>
      <c r="C251" s="191"/>
      <c r="D251" s="97"/>
      <c r="E251" s="97"/>
      <c r="F251" s="97"/>
      <c r="G251" s="97"/>
      <c r="H251" s="97"/>
      <c r="I251" s="97"/>
    </row>
    <row r="252" customFormat="false" ht="15.4" hidden="false" customHeight="true" outlineLevel="0" collapsed="false">
      <c r="A252" s="62"/>
      <c r="B252" s="97"/>
      <c r="C252" s="97"/>
      <c r="D252" s="97"/>
      <c r="E252" s="97"/>
      <c r="F252" s="97"/>
      <c r="G252" s="97"/>
      <c r="H252" s="97"/>
      <c r="I252" s="97"/>
    </row>
    <row r="253" customFormat="false" ht="15.4" hidden="false" customHeight="true" outlineLevel="0" collapsed="false">
      <c r="A253" s="62"/>
      <c r="B253" s="97"/>
      <c r="C253" s="203" t="s">
        <v>297</v>
      </c>
      <c r="D253" s="203" t="s">
        <v>298</v>
      </c>
      <c r="E253" s="203" t="s">
        <v>299</v>
      </c>
      <c r="F253" s="203" t="s">
        <v>300</v>
      </c>
      <c r="G253" s="203" t="s">
        <v>301</v>
      </c>
      <c r="H253" s="203"/>
      <c r="I253" s="203"/>
    </row>
    <row r="254" customFormat="false" ht="36" hidden="false" customHeight="true" outlineLevel="0" collapsed="false">
      <c r="A254" s="62"/>
      <c r="B254" s="97"/>
      <c r="C254" s="204" t="s">
        <v>302</v>
      </c>
      <c r="D254" s="204" t="s">
        <v>303</v>
      </c>
      <c r="E254" s="204" t="s">
        <v>304</v>
      </c>
      <c r="F254" s="204" t="s">
        <v>305</v>
      </c>
      <c r="G254" s="204" t="s">
        <v>306</v>
      </c>
      <c r="H254" s="204" t="s">
        <v>307</v>
      </c>
      <c r="I254" s="204"/>
    </row>
    <row r="255" customFormat="false" ht="15.4" hidden="false" customHeight="true" outlineLevel="0" collapsed="false">
      <c r="A255" s="123" t="s">
        <v>308</v>
      </c>
      <c r="B255" s="123"/>
      <c r="C255" s="205"/>
      <c r="D255" s="205"/>
      <c r="E255" s="205"/>
      <c r="F255" s="205"/>
      <c r="G255" s="206"/>
      <c r="H255" s="127"/>
      <c r="I255" s="121"/>
    </row>
    <row r="256" customFormat="false" ht="15.4" hidden="false" customHeight="true" outlineLevel="0" collapsed="false">
      <c r="A256" s="168" t="s">
        <v>309</v>
      </c>
      <c r="B256" s="121"/>
      <c r="C256" s="207"/>
      <c r="D256" s="207"/>
      <c r="E256" s="207"/>
      <c r="F256" s="208"/>
      <c r="G256" s="209"/>
      <c r="H256" s="210"/>
      <c r="I256" s="210"/>
    </row>
    <row r="257" customFormat="false" ht="15.4" hidden="false" customHeight="true" outlineLevel="0" collapsed="false">
      <c r="A257" s="168" t="s">
        <v>202</v>
      </c>
      <c r="B257" s="121"/>
      <c r="C257" s="207"/>
      <c r="D257" s="207"/>
      <c r="E257" s="207"/>
      <c r="F257" s="208"/>
      <c r="G257" s="209"/>
      <c r="H257" s="210"/>
      <c r="I257" s="210"/>
    </row>
    <row r="258" customFormat="false" ht="15.4" hidden="false" customHeight="true" outlineLevel="0" collapsed="false">
      <c r="A258" s="168" t="s">
        <v>206</v>
      </c>
      <c r="B258" s="121"/>
      <c r="C258" s="207"/>
      <c r="D258" s="207"/>
      <c r="E258" s="207"/>
      <c r="F258" s="208"/>
      <c r="G258" s="209"/>
      <c r="H258" s="210"/>
      <c r="I258" s="210"/>
    </row>
    <row r="259" customFormat="false" ht="15.4" hidden="false" customHeight="true" outlineLevel="0" collapsed="false">
      <c r="A259" s="168" t="s">
        <v>310</v>
      </c>
      <c r="B259" s="121"/>
      <c r="C259" s="207"/>
      <c r="D259" s="207"/>
      <c r="E259" s="207"/>
      <c r="F259" s="208"/>
      <c r="G259" s="209"/>
      <c r="H259" s="210"/>
      <c r="I259" s="210"/>
    </row>
    <row r="260" customFormat="false" ht="15.4" hidden="false" customHeight="true" outlineLevel="0" collapsed="false">
      <c r="A260" s="168" t="s">
        <v>204</v>
      </c>
      <c r="B260" s="121"/>
      <c r="C260" s="207"/>
      <c r="D260" s="207"/>
      <c r="E260" s="207"/>
      <c r="F260" s="208"/>
      <c r="G260" s="209"/>
      <c r="H260" s="210"/>
      <c r="I260" s="210"/>
    </row>
    <row r="261" customFormat="false" ht="15.4" hidden="false" customHeight="true" outlineLevel="0" collapsed="false">
      <c r="A261" s="211" t="s">
        <v>311</v>
      </c>
      <c r="B261" s="121"/>
      <c r="C261" s="207"/>
      <c r="D261" s="207"/>
      <c r="E261" s="207"/>
      <c r="F261" s="207"/>
      <c r="G261" s="209"/>
      <c r="H261" s="210"/>
      <c r="I261" s="210"/>
    </row>
    <row r="262" customFormat="false" ht="15.4" hidden="false" customHeight="true" outlineLevel="0" collapsed="false">
      <c r="A262" s="211" t="s">
        <v>312</v>
      </c>
      <c r="B262" s="121"/>
      <c r="C262" s="207"/>
      <c r="D262" s="207"/>
      <c r="E262" s="207"/>
      <c r="F262" s="207"/>
      <c r="G262" s="209"/>
      <c r="H262" s="210"/>
      <c r="I262" s="210"/>
    </row>
    <row r="263" customFormat="false" ht="15.4" hidden="false" customHeight="true" outlineLevel="0" collapsed="false">
      <c r="A263" s="168" t="s">
        <v>313</v>
      </c>
      <c r="B263" s="121"/>
      <c r="C263" s="207"/>
      <c r="D263" s="207"/>
      <c r="E263" s="207"/>
      <c r="F263" s="207"/>
      <c r="G263" s="209"/>
      <c r="H263" s="210"/>
      <c r="I263" s="210"/>
    </row>
    <row r="264" customFormat="false" ht="15.4" hidden="false" customHeight="true" outlineLevel="0" collapsed="false">
      <c r="A264" s="168" t="s">
        <v>314</v>
      </c>
      <c r="B264" s="121"/>
      <c r="C264" s="207"/>
      <c r="D264" s="207"/>
      <c r="E264" s="207"/>
      <c r="F264" s="207"/>
      <c r="G264" s="209"/>
      <c r="H264" s="210"/>
      <c r="I264" s="210"/>
    </row>
    <row r="265" customFormat="false" ht="15.4" hidden="false" customHeight="true" outlineLevel="0" collapsed="false">
      <c r="A265" s="168"/>
      <c r="B265" s="121"/>
      <c r="C265" s="207"/>
      <c r="D265" s="207"/>
      <c r="E265" s="207"/>
      <c r="F265" s="207"/>
      <c r="G265" s="209"/>
      <c r="H265" s="210"/>
      <c r="I265" s="210"/>
    </row>
    <row r="266" customFormat="false" ht="15.4" hidden="false" customHeight="true" outlineLevel="0" collapsed="false">
      <c r="A266" s="211" t="s">
        <v>315</v>
      </c>
      <c r="B266" s="121"/>
      <c r="C266" s="208"/>
      <c r="D266" s="207"/>
      <c r="E266" s="207"/>
      <c r="F266" s="208"/>
      <c r="G266" s="209"/>
      <c r="H266" s="210"/>
      <c r="I266" s="210"/>
    </row>
    <row r="267" customFormat="false" ht="15.4" hidden="false" customHeight="true" outlineLevel="0" collapsed="false">
      <c r="A267" s="211" t="s">
        <v>316</v>
      </c>
      <c r="B267" s="121"/>
      <c r="C267" s="208"/>
      <c r="D267" s="207"/>
      <c r="E267" s="207"/>
      <c r="F267" s="208"/>
      <c r="G267" s="209"/>
      <c r="H267" s="210"/>
      <c r="I267" s="210"/>
    </row>
    <row r="268" customFormat="false" ht="29.45" hidden="false" customHeight="true" outlineLevel="0" collapsed="false">
      <c r="A268" s="212" t="s">
        <v>317</v>
      </c>
      <c r="B268" s="212"/>
      <c r="C268" s="205"/>
      <c r="D268" s="205"/>
      <c r="E268" s="205"/>
      <c r="F268" s="205"/>
      <c r="G268" s="206"/>
      <c r="H268" s="213"/>
      <c r="I268" s="213"/>
    </row>
    <row r="269" customFormat="false" ht="15.4" hidden="false" customHeight="true" outlineLevel="0" collapsed="false">
      <c r="A269" s="168" t="s">
        <v>318</v>
      </c>
      <c r="B269" s="121"/>
      <c r="C269" s="207"/>
      <c r="D269" s="207"/>
      <c r="E269" s="207"/>
      <c r="F269" s="207"/>
      <c r="G269" s="209"/>
      <c r="H269" s="210"/>
      <c r="I269" s="210"/>
    </row>
    <row r="270" customFormat="false" ht="15.4" hidden="false" customHeight="true" outlineLevel="0" collapsed="false">
      <c r="A270" s="168" t="s">
        <v>319</v>
      </c>
      <c r="B270" s="121"/>
      <c r="C270" s="207"/>
      <c r="D270" s="207"/>
      <c r="E270" s="207"/>
      <c r="F270" s="207"/>
      <c r="G270" s="209"/>
      <c r="H270" s="210"/>
      <c r="I270" s="210"/>
    </row>
    <row r="271" customFormat="false" ht="15.4" hidden="false" customHeight="true" outlineLevel="0" collapsed="false">
      <c r="A271" s="168" t="s">
        <v>320</v>
      </c>
      <c r="B271" s="121"/>
      <c r="C271" s="207"/>
      <c r="D271" s="207"/>
      <c r="E271" s="207"/>
      <c r="F271" s="207"/>
      <c r="G271" s="209"/>
      <c r="H271" s="210"/>
      <c r="I271" s="210"/>
    </row>
    <row r="272" customFormat="false" ht="15.4" hidden="false" customHeight="true" outlineLevel="0" collapsed="false">
      <c r="A272" s="168" t="s">
        <v>321</v>
      </c>
      <c r="B272" s="121"/>
      <c r="C272" s="207"/>
      <c r="D272" s="207"/>
      <c r="E272" s="207"/>
      <c r="F272" s="207"/>
      <c r="G272" s="209"/>
      <c r="H272" s="210"/>
      <c r="I272" s="210"/>
    </row>
    <row r="273" customFormat="false" ht="15.4" hidden="false" customHeight="true" outlineLevel="0" collapsed="false">
      <c r="A273" s="168" t="s">
        <v>322</v>
      </c>
      <c r="B273" s="121"/>
      <c r="C273" s="207"/>
      <c r="D273" s="207"/>
      <c r="E273" s="207"/>
      <c r="F273" s="207"/>
      <c r="G273" s="209"/>
      <c r="H273" s="210"/>
      <c r="I273" s="210"/>
    </row>
    <row r="274" customFormat="false" ht="15.4" hidden="false" customHeight="true" outlineLevel="0" collapsed="false">
      <c r="A274" s="168" t="s">
        <v>323</v>
      </c>
      <c r="B274" s="121"/>
      <c r="C274" s="207"/>
      <c r="D274" s="207"/>
      <c r="E274" s="207"/>
      <c r="F274" s="207"/>
      <c r="G274" s="209"/>
      <c r="H274" s="210"/>
      <c r="I274" s="210"/>
    </row>
    <row r="275" customFormat="false" ht="15.4" hidden="false" customHeight="true" outlineLevel="0" collapsed="false">
      <c r="A275" s="212" t="s">
        <v>324</v>
      </c>
      <c r="B275" s="212"/>
      <c r="C275" s="205"/>
      <c r="D275" s="205"/>
      <c r="E275" s="205"/>
      <c r="F275" s="205"/>
      <c r="G275" s="206"/>
      <c r="H275" s="213"/>
      <c r="I275" s="213"/>
    </row>
    <row r="276" customFormat="false" ht="15.4" hidden="false" customHeight="true" outlineLevel="0" collapsed="false">
      <c r="A276" s="168" t="s">
        <v>325</v>
      </c>
      <c r="B276" s="121"/>
      <c r="C276" s="207"/>
      <c r="D276" s="207"/>
      <c r="E276" s="207"/>
      <c r="F276" s="208"/>
      <c r="G276" s="209"/>
      <c r="H276" s="210"/>
      <c r="I276" s="210"/>
    </row>
    <row r="277" customFormat="false" ht="15.4" hidden="false" customHeight="true" outlineLevel="0" collapsed="false">
      <c r="A277" s="168" t="s">
        <v>326</v>
      </c>
      <c r="B277" s="121"/>
      <c r="C277" s="207"/>
      <c r="D277" s="207"/>
      <c r="E277" s="207"/>
      <c r="F277" s="208"/>
      <c r="G277" s="209"/>
      <c r="H277" s="210"/>
      <c r="I277" s="210"/>
    </row>
    <row r="278" customFormat="false" ht="15.4" hidden="false" customHeight="true" outlineLevel="0" collapsed="false">
      <c r="A278" s="168" t="s">
        <v>327</v>
      </c>
      <c r="B278" s="121"/>
      <c r="C278" s="207"/>
      <c r="D278" s="207"/>
      <c r="E278" s="207"/>
      <c r="F278" s="208"/>
      <c r="G278" s="209"/>
      <c r="H278" s="210"/>
      <c r="I278" s="210"/>
    </row>
    <row r="279" customFormat="false" ht="15.4" hidden="false" customHeight="true" outlineLevel="0" collapsed="false">
      <c r="A279" s="168" t="s">
        <v>328</v>
      </c>
      <c r="B279" s="121"/>
      <c r="C279" s="207"/>
      <c r="D279" s="207"/>
      <c r="E279" s="207"/>
      <c r="F279" s="207"/>
      <c r="G279" s="209"/>
      <c r="H279" s="210"/>
      <c r="I279" s="210"/>
    </row>
    <row r="280" customFormat="false" ht="15.4" hidden="false" customHeight="true" outlineLevel="0" collapsed="false">
      <c r="A280" s="168" t="s">
        <v>329</v>
      </c>
      <c r="B280" s="121"/>
      <c r="C280" s="207"/>
      <c r="D280" s="207"/>
      <c r="E280" s="207"/>
      <c r="F280" s="207"/>
      <c r="G280" s="209"/>
      <c r="H280" s="210"/>
      <c r="I280" s="210"/>
    </row>
    <row r="281" customFormat="false" ht="15.4" hidden="false" customHeight="true" outlineLevel="0" collapsed="false">
      <c r="A281" s="168"/>
      <c r="B281" s="121"/>
      <c r="C281" s="207"/>
      <c r="D281" s="207"/>
      <c r="E281" s="207"/>
      <c r="F281" s="207"/>
      <c r="G281" s="209"/>
      <c r="H281" s="210"/>
      <c r="I281" s="210"/>
    </row>
    <row r="282" customFormat="false" ht="15.4" hidden="false" customHeight="true" outlineLevel="0" collapsed="false">
      <c r="A282" s="168"/>
      <c r="B282" s="121"/>
      <c r="C282" s="207"/>
      <c r="D282" s="207"/>
      <c r="E282" s="207"/>
      <c r="F282" s="207"/>
      <c r="G282" s="209"/>
      <c r="H282" s="210"/>
      <c r="I282" s="210"/>
    </row>
    <row r="283" customFormat="false" ht="28.15" hidden="false" customHeight="true" outlineLevel="0" collapsed="false">
      <c r="A283" s="212" t="s">
        <v>330</v>
      </c>
      <c r="B283" s="212"/>
      <c r="C283" s="205"/>
      <c r="D283" s="205"/>
      <c r="E283" s="205"/>
      <c r="F283" s="205"/>
      <c r="G283" s="206"/>
      <c r="H283" s="213"/>
      <c r="I283" s="213"/>
    </row>
    <row r="284" customFormat="false" ht="15.4" hidden="false" customHeight="true" outlineLevel="0" collapsed="false">
      <c r="A284" s="168" t="s">
        <v>331</v>
      </c>
      <c r="B284" s="121"/>
      <c r="C284" s="208"/>
      <c r="D284" s="207"/>
      <c r="E284" s="207"/>
      <c r="F284" s="207"/>
      <c r="G284" s="209"/>
      <c r="H284" s="210"/>
      <c r="I284" s="210"/>
    </row>
    <row r="285" customFormat="false" ht="15.4" hidden="false" customHeight="true" outlineLevel="0" collapsed="false">
      <c r="A285" s="168" t="s">
        <v>332</v>
      </c>
      <c r="B285" s="121"/>
      <c r="C285" s="208"/>
      <c r="D285" s="207"/>
      <c r="E285" s="207"/>
      <c r="F285" s="207"/>
      <c r="G285" s="209"/>
      <c r="H285" s="210"/>
      <c r="I285" s="210"/>
    </row>
    <row r="286" customFormat="false" ht="15.4" hidden="false" customHeight="true" outlineLevel="0" collapsed="false">
      <c r="A286" s="168" t="s">
        <v>333</v>
      </c>
      <c r="B286" s="121"/>
      <c r="C286" s="208"/>
      <c r="D286" s="207"/>
      <c r="E286" s="207"/>
      <c r="F286" s="207"/>
      <c r="G286" s="209"/>
      <c r="H286" s="210"/>
      <c r="I286" s="210"/>
    </row>
    <row r="287" customFormat="false" ht="15.4" hidden="false" customHeight="true" outlineLevel="0" collapsed="false">
      <c r="A287" s="168" t="s">
        <v>334</v>
      </c>
      <c r="B287" s="121"/>
      <c r="C287" s="208"/>
      <c r="D287" s="207"/>
      <c r="E287" s="207"/>
      <c r="F287" s="207"/>
      <c r="G287" s="209"/>
      <c r="H287" s="210"/>
      <c r="I287" s="210"/>
    </row>
    <row r="288" customFormat="false" ht="15.4" hidden="false" customHeight="true" outlineLevel="0" collapsed="false">
      <c r="A288" s="212" t="s">
        <v>196</v>
      </c>
      <c r="B288" s="212"/>
      <c r="C288" s="207"/>
      <c r="D288" s="207"/>
      <c r="E288" s="207"/>
      <c r="F288" s="207"/>
      <c r="G288" s="209"/>
      <c r="H288" s="210"/>
      <c r="I288" s="210"/>
    </row>
    <row r="289" customFormat="false" ht="15.4" hidden="false" customHeight="true" outlineLevel="0" collapsed="false">
      <c r="A289" s="212" t="s">
        <v>198</v>
      </c>
      <c r="B289" s="212"/>
      <c r="C289" s="207"/>
      <c r="D289" s="207"/>
      <c r="E289" s="207"/>
      <c r="F289" s="207"/>
      <c r="G289" s="209"/>
      <c r="H289" s="210"/>
      <c r="I289" s="210"/>
    </row>
    <row r="290" customFormat="false" ht="15.4" hidden="false" customHeight="true" outlineLevel="0" collapsed="false">
      <c r="A290" s="62"/>
      <c r="B290" s="97"/>
      <c r="C290" s="97"/>
      <c r="D290" s="97"/>
      <c r="E290" s="97"/>
      <c r="F290" s="97"/>
      <c r="G290" s="97"/>
      <c r="H290" s="97"/>
      <c r="I290" s="97"/>
    </row>
    <row r="291" customFormat="false" ht="15.4" hidden="false" customHeight="true" outlineLevel="0" collapsed="false">
      <c r="A291" s="62"/>
      <c r="B291" s="97"/>
      <c r="C291" s="97"/>
      <c r="D291" s="97"/>
      <c r="E291" s="97"/>
      <c r="F291" s="97"/>
      <c r="G291" s="97"/>
      <c r="H291" s="97"/>
      <c r="I291" s="97"/>
    </row>
    <row r="292" customFormat="false" ht="15.4" hidden="false" customHeight="true" outlineLevel="0" collapsed="false">
      <c r="A292" s="62"/>
      <c r="B292" s="97"/>
      <c r="C292" s="97"/>
      <c r="D292" s="97"/>
      <c r="E292" s="97"/>
      <c r="F292" s="97"/>
      <c r="G292" s="97"/>
      <c r="H292" s="97"/>
      <c r="I292" s="97"/>
    </row>
    <row r="293" customFormat="false" ht="15.4" hidden="false" customHeight="true" outlineLevel="0" collapsed="false">
      <c r="A293" s="62"/>
      <c r="B293" s="97"/>
      <c r="C293" s="97"/>
      <c r="D293" s="97"/>
      <c r="E293" s="97"/>
      <c r="F293" s="97"/>
      <c r="G293" s="97"/>
      <c r="H293" s="97"/>
      <c r="I293" s="97"/>
    </row>
    <row r="294" customFormat="false" ht="15.4" hidden="false" customHeight="true" outlineLevel="0" collapsed="false">
      <c r="A294" s="62"/>
      <c r="B294" s="97"/>
      <c r="C294" s="97"/>
      <c r="D294" s="97"/>
      <c r="E294" s="97"/>
      <c r="F294" s="97"/>
      <c r="G294" s="97"/>
      <c r="H294" s="97"/>
      <c r="I294" s="97"/>
    </row>
    <row r="295" customFormat="false" ht="15.4" hidden="false" customHeight="true" outlineLevel="0" collapsed="false">
      <c r="A295" s="214" t="s">
        <v>335</v>
      </c>
      <c r="B295" s="214"/>
      <c r="C295" s="214"/>
      <c r="D295" s="97"/>
      <c r="E295" s="97"/>
      <c r="F295" s="97"/>
      <c r="G295" s="97"/>
      <c r="H295" s="97"/>
      <c r="I295" s="97"/>
    </row>
    <row r="296" customFormat="false" ht="15.4" hidden="false" customHeight="true" outlineLevel="0" collapsed="false">
      <c r="A296" s="214"/>
      <c r="B296" s="214"/>
      <c r="C296" s="214"/>
      <c r="D296" s="97"/>
      <c r="E296" s="97"/>
      <c r="F296" s="97"/>
      <c r="G296" s="97"/>
      <c r="H296" s="97"/>
      <c r="I296" s="97"/>
    </row>
    <row r="297" customFormat="false" ht="15.4" hidden="false" customHeight="true" outlineLevel="0" collapsed="false">
      <c r="A297" s="62"/>
      <c r="B297" s="97"/>
      <c r="C297" s="97"/>
      <c r="D297" s="97"/>
      <c r="E297" s="97"/>
      <c r="F297" s="97"/>
      <c r="G297" s="97"/>
      <c r="H297" s="97"/>
      <c r="I297" s="97"/>
    </row>
    <row r="298" customFormat="false" ht="15.4" hidden="false" customHeight="true" outlineLevel="0" collapsed="false">
      <c r="A298" s="62"/>
      <c r="B298" s="97"/>
      <c r="C298" s="203" t="s">
        <v>297</v>
      </c>
      <c r="D298" s="203" t="s">
        <v>298</v>
      </c>
      <c r="E298" s="203" t="s">
        <v>299</v>
      </c>
      <c r="F298" s="203" t="s">
        <v>336</v>
      </c>
      <c r="G298" s="203"/>
      <c r="H298" s="203"/>
      <c r="I298" s="203"/>
    </row>
    <row r="299" customFormat="false" ht="27.75" hidden="false" customHeight="true" outlineLevel="0" collapsed="false">
      <c r="A299" s="62"/>
      <c r="B299" s="97"/>
      <c r="C299" s="204" t="s">
        <v>337</v>
      </c>
      <c r="D299" s="204" t="s">
        <v>303</v>
      </c>
      <c r="E299" s="204" t="s">
        <v>338</v>
      </c>
      <c r="F299" s="204" t="s">
        <v>339</v>
      </c>
      <c r="G299" s="204" t="s">
        <v>340</v>
      </c>
      <c r="H299" s="204"/>
      <c r="I299" s="204"/>
    </row>
    <row r="300" customFormat="false" ht="15.4" hidden="false" customHeight="true" outlineLevel="0" collapsed="false">
      <c r="A300" s="212" t="s">
        <v>341</v>
      </c>
      <c r="B300" s="212"/>
      <c r="C300" s="205"/>
      <c r="D300" s="205"/>
      <c r="E300" s="205"/>
      <c r="F300" s="206"/>
      <c r="G300" s="127"/>
      <c r="H300" s="127"/>
      <c r="I300" s="121"/>
    </row>
    <row r="301" customFormat="false" ht="15.4" hidden="false" customHeight="true" outlineLevel="0" collapsed="false">
      <c r="A301" s="211" t="s">
        <v>342</v>
      </c>
      <c r="B301" s="121"/>
      <c r="C301" s="207"/>
      <c r="D301" s="207"/>
      <c r="E301" s="207"/>
      <c r="F301" s="209"/>
      <c r="G301" s="210"/>
      <c r="H301" s="210"/>
      <c r="I301" s="210"/>
    </row>
    <row r="302" customFormat="false" ht="15.4" hidden="false" customHeight="true" outlineLevel="0" collapsed="false">
      <c r="A302" s="168" t="s">
        <v>343</v>
      </c>
      <c r="B302" s="121"/>
      <c r="C302" s="207"/>
      <c r="D302" s="207"/>
      <c r="E302" s="207"/>
      <c r="F302" s="209"/>
      <c r="G302" s="210"/>
      <c r="H302" s="210"/>
      <c r="I302" s="210"/>
    </row>
    <row r="303" customFormat="false" ht="15.4" hidden="false" customHeight="true" outlineLevel="0" collapsed="false">
      <c r="A303" s="168" t="s">
        <v>344</v>
      </c>
      <c r="B303" s="121"/>
      <c r="C303" s="207"/>
      <c r="D303" s="207"/>
      <c r="E303" s="207"/>
      <c r="F303" s="209"/>
      <c r="G303" s="210"/>
      <c r="H303" s="210"/>
      <c r="I303" s="210"/>
    </row>
    <row r="304" customFormat="false" ht="15.4" hidden="false" customHeight="true" outlineLevel="0" collapsed="false">
      <c r="A304" s="168" t="s">
        <v>345</v>
      </c>
      <c r="B304" s="121"/>
      <c r="C304" s="207"/>
      <c r="D304" s="207"/>
      <c r="E304" s="207"/>
      <c r="F304" s="209"/>
      <c r="G304" s="210"/>
      <c r="H304" s="210"/>
      <c r="I304" s="210"/>
    </row>
    <row r="305" customFormat="false" ht="15.4" hidden="false" customHeight="true" outlineLevel="0" collapsed="false">
      <c r="A305" s="168" t="s">
        <v>346</v>
      </c>
      <c r="B305" s="121"/>
      <c r="C305" s="207"/>
      <c r="D305" s="207"/>
      <c r="E305" s="207"/>
      <c r="F305" s="209"/>
      <c r="G305" s="210"/>
      <c r="H305" s="210"/>
      <c r="I305" s="210"/>
    </row>
    <row r="306" customFormat="false" ht="15.4" hidden="false" customHeight="true" outlineLevel="0" collapsed="false">
      <c r="A306" s="168" t="s">
        <v>347</v>
      </c>
      <c r="B306" s="121"/>
      <c r="C306" s="207"/>
      <c r="D306" s="207"/>
      <c r="E306" s="207"/>
      <c r="F306" s="209"/>
      <c r="G306" s="210"/>
      <c r="H306" s="210"/>
      <c r="I306" s="210"/>
    </row>
    <row r="307" customFormat="false" ht="15.4" hidden="false" customHeight="true" outlineLevel="0" collapsed="false">
      <c r="A307" s="211" t="s">
        <v>348</v>
      </c>
      <c r="B307" s="121"/>
      <c r="C307" s="207"/>
      <c r="D307" s="207"/>
      <c r="E307" s="207"/>
      <c r="F307" s="209"/>
      <c r="G307" s="210"/>
      <c r="H307" s="210"/>
      <c r="I307" s="210"/>
    </row>
    <row r="308" customFormat="false" ht="15.4" hidden="false" customHeight="true" outlineLevel="0" collapsed="false">
      <c r="A308" s="168" t="s">
        <v>349</v>
      </c>
      <c r="B308" s="121"/>
      <c r="C308" s="207"/>
      <c r="D308" s="207"/>
      <c r="E308" s="207"/>
      <c r="F308" s="209"/>
      <c r="G308" s="210"/>
      <c r="H308" s="210"/>
      <c r="I308" s="210"/>
    </row>
    <row r="309" customFormat="false" ht="15.4" hidden="false" customHeight="true" outlineLevel="0" collapsed="false">
      <c r="A309" s="168" t="s">
        <v>350</v>
      </c>
      <c r="B309" s="121"/>
      <c r="C309" s="207"/>
      <c r="D309" s="207"/>
      <c r="E309" s="207"/>
      <c r="F309" s="209"/>
      <c r="G309" s="210"/>
      <c r="H309" s="210"/>
      <c r="I309" s="210"/>
    </row>
    <row r="310" customFormat="false" ht="15.4" hidden="false" customHeight="true" outlineLevel="0" collapsed="false">
      <c r="A310" s="168" t="s">
        <v>351</v>
      </c>
      <c r="B310" s="121"/>
      <c r="C310" s="207"/>
      <c r="D310" s="207"/>
      <c r="E310" s="207"/>
      <c r="F310" s="209"/>
      <c r="G310" s="210"/>
      <c r="H310" s="210"/>
      <c r="I310" s="210"/>
    </row>
    <row r="311" customFormat="false" ht="15.4" hidden="false" customHeight="true" outlineLevel="0" collapsed="false">
      <c r="A311" s="168" t="s">
        <v>352</v>
      </c>
      <c r="B311" s="121"/>
      <c r="C311" s="207"/>
      <c r="D311" s="207"/>
      <c r="E311" s="207"/>
      <c r="F311" s="209"/>
      <c r="G311" s="210"/>
      <c r="H311" s="210"/>
      <c r="I311" s="210"/>
    </row>
    <row r="312" customFormat="false" ht="15.4" hidden="false" customHeight="true" outlineLevel="0" collapsed="false">
      <c r="A312" s="168"/>
      <c r="B312" s="121"/>
      <c r="C312" s="207"/>
      <c r="D312" s="207"/>
      <c r="E312" s="207"/>
      <c r="F312" s="209"/>
      <c r="G312" s="210"/>
      <c r="H312" s="210"/>
      <c r="I312" s="210"/>
    </row>
    <row r="313" customFormat="false" ht="15.4" hidden="false" customHeight="true" outlineLevel="0" collapsed="false">
      <c r="A313" s="168"/>
      <c r="B313" s="121"/>
      <c r="C313" s="207"/>
      <c r="D313" s="207"/>
      <c r="E313" s="207"/>
      <c r="F313" s="209"/>
      <c r="G313" s="215"/>
      <c r="H313" s="215"/>
      <c r="I313" s="210"/>
    </row>
    <row r="314" customFormat="false" ht="15.4" hidden="false" customHeight="true" outlineLevel="0" collapsed="false">
      <c r="A314" s="168" t="s">
        <v>353</v>
      </c>
      <c r="B314" s="121"/>
      <c r="C314" s="207"/>
      <c r="D314" s="207"/>
      <c r="E314" s="207"/>
      <c r="F314" s="209"/>
      <c r="G314" s="215"/>
      <c r="H314" s="215"/>
      <c r="I314" s="210"/>
    </row>
    <row r="315" customFormat="false" ht="15.4" hidden="false" customHeight="true" outlineLevel="0" collapsed="false">
      <c r="A315" s="168" t="s">
        <v>354</v>
      </c>
      <c r="B315" s="121"/>
      <c r="C315" s="207"/>
      <c r="D315" s="207"/>
      <c r="E315" s="207"/>
      <c r="F315" s="209"/>
      <c r="G315" s="210"/>
      <c r="H315" s="210"/>
      <c r="I315" s="210"/>
    </row>
    <row r="316" customFormat="false" ht="15.4" hidden="false" customHeight="true" outlineLevel="0" collapsed="false">
      <c r="A316" s="168"/>
      <c r="B316" s="121"/>
      <c r="C316" s="207"/>
      <c r="D316" s="207"/>
      <c r="E316" s="207"/>
      <c r="F316" s="209"/>
      <c r="G316" s="210"/>
      <c r="H316" s="210"/>
      <c r="I316" s="210"/>
    </row>
    <row r="317" customFormat="false" ht="28.9" hidden="false" customHeight="true" outlineLevel="0" collapsed="false">
      <c r="A317" s="212" t="s">
        <v>355</v>
      </c>
      <c r="B317" s="212"/>
      <c r="C317" s="205"/>
      <c r="D317" s="205"/>
      <c r="E317" s="205"/>
      <c r="F317" s="206"/>
      <c r="G317" s="213"/>
      <c r="H317" s="213"/>
      <c r="I317" s="213"/>
    </row>
    <row r="318" customFormat="false" ht="15.4" hidden="false" customHeight="true" outlineLevel="0" collapsed="false">
      <c r="A318" s="211" t="s">
        <v>356</v>
      </c>
      <c r="B318" s="121"/>
      <c r="C318" s="207"/>
      <c r="D318" s="207"/>
      <c r="E318" s="207"/>
      <c r="F318" s="209"/>
      <c r="G318" s="210"/>
      <c r="H318" s="210"/>
      <c r="I318" s="210"/>
    </row>
    <row r="319" customFormat="false" ht="15.4" hidden="false" customHeight="true" outlineLevel="0" collapsed="false">
      <c r="A319" s="216" t="s">
        <v>357</v>
      </c>
      <c r="B319" s="217"/>
      <c r="C319" s="207"/>
      <c r="D319" s="207"/>
      <c r="E319" s="207"/>
      <c r="F319" s="209"/>
      <c r="G319" s="210"/>
      <c r="H319" s="210"/>
      <c r="I319" s="210"/>
    </row>
    <row r="320" customFormat="false" ht="15.4" hidden="false" customHeight="true" outlineLevel="0" collapsed="false">
      <c r="A320" s="211" t="s">
        <v>358</v>
      </c>
      <c r="B320" s="121"/>
      <c r="C320" s="207"/>
      <c r="D320" s="207"/>
      <c r="E320" s="207"/>
      <c r="F320" s="209"/>
      <c r="G320" s="210"/>
      <c r="H320" s="210"/>
      <c r="I320" s="210"/>
    </row>
    <row r="321" customFormat="false" ht="15.4" hidden="false" customHeight="true" outlineLevel="0" collapsed="false">
      <c r="A321" s="168" t="s">
        <v>359</v>
      </c>
      <c r="B321" s="121"/>
      <c r="C321" s="207"/>
      <c r="D321" s="207"/>
      <c r="E321" s="207"/>
      <c r="F321" s="209"/>
      <c r="G321" s="210"/>
      <c r="H321" s="210"/>
      <c r="I321" s="210"/>
    </row>
    <row r="322" customFormat="false" ht="15.4" hidden="false" customHeight="true" outlineLevel="0" collapsed="false">
      <c r="A322" s="168" t="s">
        <v>360</v>
      </c>
      <c r="B322" s="121"/>
      <c r="C322" s="207"/>
      <c r="D322" s="207"/>
      <c r="E322" s="207"/>
      <c r="F322" s="209"/>
      <c r="G322" s="210"/>
      <c r="H322" s="210"/>
      <c r="I322" s="210"/>
    </row>
    <row r="323" customFormat="false" ht="15.4" hidden="false" customHeight="true" outlineLevel="0" collapsed="false">
      <c r="A323" s="211"/>
      <c r="B323" s="121"/>
      <c r="C323" s="207"/>
      <c r="D323" s="207"/>
      <c r="E323" s="207"/>
      <c r="F323" s="209"/>
      <c r="G323" s="210"/>
      <c r="H323" s="210"/>
      <c r="I323" s="210"/>
    </row>
    <row r="324" customFormat="false" ht="28.15" hidden="false" customHeight="true" outlineLevel="0" collapsed="false">
      <c r="A324" s="212" t="s">
        <v>361</v>
      </c>
      <c r="B324" s="212"/>
      <c r="C324" s="205"/>
      <c r="D324" s="205"/>
      <c r="E324" s="205"/>
      <c r="F324" s="206"/>
      <c r="G324" s="218" t="s">
        <v>362</v>
      </c>
      <c r="H324" s="218"/>
      <c r="I324" s="218"/>
    </row>
    <row r="325" customFormat="false" ht="15.4" hidden="false" customHeight="true" outlineLevel="0" collapsed="false">
      <c r="A325" s="168"/>
      <c r="B325" s="121"/>
      <c r="C325" s="207"/>
      <c r="D325" s="207"/>
      <c r="E325" s="207"/>
      <c r="F325" s="209"/>
      <c r="G325" s="210"/>
      <c r="H325" s="210"/>
      <c r="I325" s="210"/>
    </row>
    <row r="326" customFormat="false" ht="15.4" hidden="false" customHeight="true" outlineLevel="0" collapsed="false">
      <c r="A326" s="168"/>
      <c r="B326" s="121"/>
      <c r="C326" s="207"/>
      <c r="D326" s="207"/>
      <c r="E326" s="207"/>
      <c r="F326" s="209"/>
      <c r="G326" s="210"/>
      <c r="H326" s="210"/>
      <c r="I326" s="210"/>
    </row>
    <row r="327" customFormat="false" ht="15.4" hidden="false" customHeight="true" outlineLevel="0" collapsed="false">
      <c r="A327" s="211"/>
      <c r="B327" s="121"/>
      <c r="C327" s="207"/>
      <c r="D327" s="207"/>
      <c r="E327" s="207"/>
      <c r="F327" s="209"/>
      <c r="G327" s="210"/>
      <c r="H327" s="210"/>
      <c r="I327" s="210"/>
    </row>
    <row r="328" customFormat="false" ht="15.4" hidden="false" customHeight="true" outlineLevel="0" collapsed="false">
      <c r="A328" s="212" t="s">
        <v>363</v>
      </c>
      <c r="B328" s="212"/>
      <c r="C328" s="205"/>
      <c r="D328" s="205"/>
      <c r="E328" s="205"/>
      <c r="F328" s="206"/>
      <c r="G328" s="218" t="s">
        <v>362</v>
      </c>
      <c r="H328" s="218"/>
      <c r="I328" s="218"/>
    </row>
    <row r="329" customFormat="false" ht="15.4" hidden="false" customHeight="true" outlineLevel="0" collapsed="false">
      <c r="A329" s="168" t="s">
        <v>364</v>
      </c>
      <c r="B329" s="121"/>
      <c r="C329" s="207"/>
      <c r="D329" s="207"/>
      <c r="E329" s="207"/>
      <c r="F329" s="209"/>
      <c r="G329" s="210"/>
      <c r="H329" s="210"/>
      <c r="I329" s="210"/>
    </row>
    <row r="330" customFormat="false" ht="15.4" hidden="false" customHeight="true" outlineLevel="0" collapsed="false">
      <c r="A330" s="168" t="s">
        <v>365</v>
      </c>
      <c r="B330" s="121"/>
      <c r="C330" s="207"/>
      <c r="D330" s="207"/>
      <c r="E330" s="207"/>
      <c r="F330" s="209"/>
      <c r="G330" s="210"/>
      <c r="H330" s="210"/>
      <c r="I330" s="210"/>
    </row>
    <row r="331" customFormat="false" ht="15.4" hidden="false" customHeight="true" outlineLevel="0" collapsed="false">
      <c r="A331" s="168" t="s">
        <v>366</v>
      </c>
      <c r="B331" s="121"/>
      <c r="C331" s="207"/>
      <c r="D331" s="207"/>
      <c r="E331" s="207"/>
      <c r="F331" s="209"/>
      <c r="G331" s="210"/>
      <c r="H331" s="210"/>
      <c r="I331" s="210"/>
    </row>
    <row r="332" customFormat="false" ht="15.4" hidden="false" customHeight="true" outlineLevel="0" collapsed="false">
      <c r="A332" s="168"/>
      <c r="B332" s="121"/>
      <c r="C332" s="207"/>
      <c r="D332" s="207"/>
      <c r="E332" s="207"/>
      <c r="F332" s="209"/>
      <c r="G332" s="210"/>
      <c r="H332" s="210"/>
      <c r="I332" s="210"/>
    </row>
    <row r="333" customFormat="false" ht="15.4" hidden="false" customHeight="true" outlineLevel="0" collapsed="false">
      <c r="A333" s="168"/>
      <c r="B333" s="121"/>
      <c r="C333" s="207"/>
      <c r="D333" s="207"/>
      <c r="E333" s="207"/>
      <c r="F333" s="209"/>
      <c r="G333" s="210"/>
      <c r="H333" s="210"/>
      <c r="I333" s="210"/>
    </row>
    <row r="334" customFormat="false" ht="15.4" hidden="false" customHeight="true" outlineLevel="0" collapsed="false">
      <c r="A334" s="212" t="s">
        <v>367</v>
      </c>
      <c r="B334" s="212"/>
      <c r="C334" s="205"/>
      <c r="D334" s="205"/>
      <c r="E334" s="205"/>
      <c r="F334" s="206"/>
      <c r="G334" s="213"/>
      <c r="H334" s="213"/>
      <c r="I334" s="213"/>
    </row>
    <row r="335" customFormat="false" ht="15.4" hidden="false" customHeight="true" outlineLevel="0" collapsed="false">
      <c r="A335" s="168" t="s">
        <v>368</v>
      </c>
      <c r="B335" s="121"/>
      <c r="C335" s="207"/>
      <c r="D335" s="207"/>
      <c r="E335" s="207"/>
      <c r="F335" s="209"/>
      <c r="G335" s="210"/>
      <c r="H335" s="210"/>
      <c r="I335" s="210"/>
    </row>
    <row r="336" customFormat="false" ht="15.4" hidden="false" customHeight="true" outlineLevel="0" collapsed="false">
      <c r="A336" s="176" t="s">
        <v>369</v>
      </c>
      <c r="B336" s="121"/>
      <c r="C336" s="207"/>
      <c r="D336" s="207"/>
      <c r="E336" s="207"/>
      <c r="F336" s="209"/>
      <c r="G336" s="210"/>
      <c r="H336" s="210"/>
      <c r="I336" s="210"/>
    </row>
    <row r="337" customFormat="false" ht="15.4" hidden="false" customHeight="true" outlineLevel="0" collapsed="false">
      <c r="A337" s="219"/>
      <c r="B337" s="121"/>
      <c r="C337" s="207"/>
      <c r="D337" s="207"/>
      <c r="E337" s="207"/>
      <c r="F337" s="209"/>
      <c r="G337" s="210"/>
      <c r="H337" s="210"/>
      <c r="I337" s="210"/>
    </row>
    <row r="338" customFormat="false" ht="15.4" hidden="false" customHeight="true" outlineLevel="0" collapsed="false">
      <c r="A338" s="212" t="s">
        <v>370</v>
      </c>
      <c r="B338" s="212"/>
      <c r="C338" s="207"/>
      <c r="D338" s="207"/>
      <c r="E338" s="207"/>
      <c r="F338" s="209"/>
      <c r="G338" s="210"/>
      <c r="H338" s="210"/>
      <c r="I338" s="210"/>
    </row>
    <row r="339" customFormat="false" ht="8.25" hidden="false" customHeight="true" outlineLevel="0" collapsed="false">
      <c r="A339" s="62"/>
      <c r="B339" s="97"/>
      <c r="C339" s="97"/>
      <c r="D339" s="97"/>
      <c r="E339" s="97"/>
      <c r="F339" s="97"/>
      <c r="G339" s="97"/>
      <c r="H339" s="97"/>
      <c r="I339" s="97"/>
    </row>
    <row r="340" customFormat="false" ht="15.4" hidden="false" customHeight="true" outlineLevel="0" collapsed="false">
      <c r="A340" s="62"/>
      <c r="B340" s="91" t="s">
        <v>371</v>
      </c>
      <c r="C340" s="91"/>
      <c r="D340" s="91"/>
      <c r="E340" s="91"/>
      <c r="F340" s="91"/>
      <c r="G340" s="194" t="s">
        <v>253</v>
      </c>
      <c r="H340" s="194" t="s">
        <v>254</v>
      </c>
      <c r="I340" s="97"/>
    </row>
    <row r="341" customFormat="false" ht="15.4" hidden="false" customHeight="true" outlineLevel="0" collapsed="false">
      <c r="A341" s="62"/>
      <c r="B341" s="220" t="s">
        <v>372</v>
      </c>
      <c r="C341" s="84"/>
      <c r="D341" s="84"/>
      <c r="E341" s="84"/>
      <c r="F341" s="84"/>
      <c r="G341" s="195"/>
      <c r="H341" s="195"/>
      <c r="I341" s="97"/>
    </row>
    <row r="342" customFormat="false" ht="15.4" hidden="false" customHeight="true" outlineLevel="0" collapsed="false">
      <c r="A342" s="191" t="s">
        <v>373</v>
      </c>
      <c r="B342" s="191"/>
      <c r="C342" s="191"/>
      <c r="D342" s="97"/>
      <c r="E342" s="97"/>
      <c r="F342" s="97"/>
      <c r="G342" s="97"/>
      <c r="H342" s="97"/>
      <c r="I342" s="97"/>
    </row>
    <row r="343" customFormat="false" ht="15.4" hidden="false" customHeight="true" outlineLevel="0" collapsed="false">
      <c r="A343" s="62"/>
      <c r="B343" s="97"/>
      <c r="C343" s="97"/>
      <c r="D343" s="97"/>
      <c r="E343" s="97"/>
      <c r="F343" s="97"/>
      <c r="G343" s="97"/>
      <c r="H343" s="97"/>
      <c r="I343" s="97"/>
    </row>
    <row r="344" customFormat="false" ht="30" hidden="false" customHeight="true" outlineLevel="0" collapsed="false">
      <c r="A344" s="62"/>
      <c r="B344" s="99" t="s">
        <v>374</v>
      </c>
      <c r="C344" s="221" t="s">
        <v>375</v>
      </c>
      <c r="D344" s="140" t="s">
        <v>376</v>
      </c>
      <c r="E344" s="140"/>
      <c r="F344" s="140"/>
      <c r="G344" s="140"/>
      <c r="H344" s="140"/>
      <c r="I344" s="97"/>
    </row>
    <row r="345" customFormat="false" ht="15.4" hidden="false" customHeight="true" outlineLevel="0" collapsed="false">
      <c r="A345" s="222" t="s">
        <v>377</v>
      </c>
      <c r="B345" s="207"/>
      <c r="C345" s="207"/>
      <c r="D345" s="223"/>
      <c r="E345" s="223"/>
      <c r="F345" s="223"/>
      <c r="G345" s="223"/>
      <c r="H345" s="223"/>
      <c r="I345" s="97"/>
    </row>
    <row r="346" customFormat="false" ht="15.4" hidden="false" customHeight="true" outlineLevel="0" collapsed="false">
      <c r="A346" s="222" t="s">
        <v>378</v>
      </c>
      <c r="B346" s="207"/>
      <c r="C346" s="207"/>
      <c r="D346" s="223"/>
      <c r="E346" s="223"/>
      <c r="F346" s="223"/>
      <c r="G346" s="223"/>
      <c r="H346" s="223"/>
      <c r="I346" s="97"/>
    </row>
    <row r="347" customFormat="false" ht="15.4" hidden="false" customHeight="true" outlineLevel="0" collapsed="false">
      <c r="A347" s="222" t="s">
        <v>379</v>
      </c>
      <c r="B347" s="207"/>
      <c r="C347" s="207"/>
      <c r="D347" s="223"/>
      <c r="E347" s="223"/>
      <c r="F347" s="223"/>
      <c r="G347" s="223"/>
      <c r="H347" s="223"/>
      <c r="I347" s="97"/>
    </row>
    <row r="348" customFormat="false" ht="15.4" hidden="false" customHeight="true" outlineLevel="0" collapsed="false">
      <c r="A348" s="222" t="s">
        <v>380</v>
      </c>
      <c r="B348" s="207"/>
      <c r="C348" s="207"/>
      <c r="D348" s="223"/>
      <c r="E348" s="223"/>
      <c r="F348" s="223"/>
      <c r="G348" s="223"/>
      <c r="H348" s="223"/>
      <c r="I348" s="97"/>
    </row>
    <row r="349" customFormat="false" ht="15.4" hidden="false" customHeight="true" outlineLevel="0" collapsed="false">
      <c r="A349" s="62"/>
      <c r="B349" s="97"/>
      <c r="C349" s="97"/>
      <c r="D349" s="97"/>
      <c r="E349" s="97"/>
      <c r="F349" s="97"/>
      <c r="G349" s="97"/>
      <c r="H349" s="97"/>
      <c r="I349" s="97"/>
    </row>
    <row r="350" customFormat="false" ht="15.4" hidden="false" customHeight="true" outlineLevel="0" collapsed="false">
      <c r="A350" s="62"/>
      <c r="B350" s="97"/>
      <c r="C350" s="97"/>
      <c r="D350" s="97"/>
      <c r="E350" s="97"/>
      <c r="F350" s="97"/>
      <c r="G350" s="97"/>
      <c r="H350" s="97"/>
      <c r="I350" s="97"/>
    </row>
    <row r="351" customFormat="false" ht="15.4" hidden="false" customHeight="true" outlineLevel="0" collapsed="false">
      <c r="A351" s="191" t="s">
        <v>381</v>
      </c>
      <c r="B351" s="191"/>
      <c r="C351" s="191"/>
      <c r="D351" s="97"/>
      <c r="E351" s="97"/>
      <c r="F351" s="97"/>
      <c r="G351" s="97"/>
      <c r="H351" s="97"/>
      <c r="I351" s="97"/>
    </row>
    <row r="352" customFormat="false" ht="15.4" hidden="false" customHeight="true" outlineLevel="0" collapsed="false">
      <c r="A352" s="62"/>
      <c r="B352" s="97"/>
      <c r="C352" s="97"/>
      <c r="D352" s="97"/>
      <c r="E352" s="97"/>
      <c r="F352" s="97"/>
      <c r="G352" s="97"/>
      <c r="H352" s="97"/>
      <c r="I352" s="97"/>
    </row>
    <row r="353" customFormat="false" ht="15.4" hidden="false" customHeight="true" outlineLevel="0" collapsed="false">
      <c r="A353" s="224"/>
      <c r="B353" s="97"/>
      <c r="C353" s="97"/>
      <c r="D353" s="173" t="s">
        <v>382</v>
      </c>
      <c r="E353" s="97"/>
      <c r="F353" s="97"/>
      <c r="G353" s="97"/>
      <c r="H353" s="97"/>
      <c r="I353" s="97"/>
    </row>
    <row r="354" customFormat="false" ht="15.4" hidden="false" customHeight="true" outlineLevel="0" collapsed="false">
      <c r="A354" s="225"/>
      <c r="B354" s="97"/>
      <c r="C354" s="97"/>
      <c r="D354" s="204" t="s">
        <v>383</v>
      </c>
      <c r="E354" s="97"/>
      <c r="F354" s="97"/>
      <c r="G354" s="97"/>
      <c r="H354" s="97"/>
      <c r="I354" s="97"/>
    </row>
    <row r="355" customFormat="false" ht="15.4" hidden="false" customHeight="true" outlineLevel="0" collapsed="false">
      <c r="A355" s="226" t="s">
        <v>384</v>
      </c>
      <c r="B355" s="227"/>
      <c r="C355" s="121"/>
      <c r="D355" s="207"/>
      <c r="E355" s="97"/>
      <c r="F355" s="97"/>
      <c r="G355" s="97"/>
      <c r="H355" s="97"/>
      <c r="I355" s="97"/>
    </row>
    <row r="356" customFormat="false" ht="15.4" hidden="false" customHeight="true" outlineLevel="0" collapsed="false">
      <c r="A356" s="226" t="s">
        <v>385</v>
      </c>
      <c r="B356" s="227"/>
      <c r="C356" s="121"/>
      <c r="D356" s="207"/>
      <c r="E356" s="97"/>
      <c r="F356" s="97"/>
      <c r="G356" s="97"/>
      <c r="H356" s="97"/>
      <c r="I356" s="97"/>
    </row>
    <row r="357" customFormat="false" ht="15.4" hidden="false" customHeight="true" outlineLevel="0" collapsed="false">
      <c r="A357" s="226" t="s">
        <v>386</v>
      </c>
      <c r="B357" s="227"/>
      <c r="C357" s="121"/>
      <c r="D357" s="207"/>
      <c r="E357" s="97"/>
      <c r="F357" s="97"/>
      <c r="G357" s="97"/>
      <c r="H357" s="97"/>
      <c r="I357" s="97"/>
    </row>
    <row r="358" customFormat="false" ht="15.4" hidden="false" customHeight="true" outlineLevel="0" collapsed="false">
      <c r="A358" s="226" t="s">
        <v>387</v>
      </c>
      <c r="B358" s="227"/>
      <c r="C358" s="121"/>
      <c r="D358" s="207"/>
      <c r="E358" s="97"/>
      <c r="F358" s="97"/>
      <c r="G358" s="97"/>
      <c r="H358" s="97"/>
      <c r="I358" s="97"/>
    </row>
    <row r="359" customFormat="false" ht="15.4" hidden="false" customHeight="true" outlineLevel="0" collapsed="false">
      <c r="A359" s="226" t="s">
        <v>388</v>
      </c>
      <c r="B359" s="227"/>
      <c r="C359" s="121"/>
      <c r="D359" s="207"/>
      <c r="E359" s="97"/>
      <c r="F359" s="97"/>
      <c r="G359" s="97"/>
      <c r="H359" s="97"/>
      <c r="I359" s="97"/>
    </row>
    <row r="360" customFormat="false" ht="15.4" hidden="false" customHeight="true" outlineLevel="0" collapsed="false">
      <c r="A360" s="226" t="s">
        <v>389</v>
      </c>
      <c r="B360" s="227"/>
      <c r="C360" s="121"/>
      <c r="D360" s="207"/>
      <c r="E360" s="97"/>
      <c r="F360" s="97"/>
      <c r="G360" s="97"/>
      <c r="H360" s="97"/>
      <c r="I360" s="97"/>
    </row>
    <row r="361" customFormat="false" ht="15.4" hidden="false" customHeight="true" outlineLevel="0" collapsed="false">
      <c r="A361" s="226" t="s">
        <v>390</v>
      </c>
      <c r="B361" s="227"/>
      <c r="C361" s="121"/>
      <c r="D361" s="207"/>
      <c r="E361" s="97"/>
      <c r="F361" s="97"/>
      <c r="G361" s="97"/>
      <c r="H361" s="97"/>
      <c r="I361" s="97"/>
    </row>
    <row r="362" customFormat="false" ht="15.4" hidden="false" customHeight="true" outlineLevel="0" collapsed="false">
      <c r="A362" s="226" t="s">
        <v>391</v>
      </c>
      <c r="B362" s="227"/>
      <c r="C362" s="121"/>
      <c r="D362" s="207"/>
      <c r="E362" s="97"/>
      <c r="F362" s="97"/>
      <c r="G362" s="97"/>
      <c r="H362" s="97"/>
      <c r="I362" s="97"/>
    </row>
    <row r="363" customFormat="false" ht="15.4" hidden="false" customHeight="true" outlineLevel="0" collapsed="false">
      <c r="A363" s="226" t="s">
        <v>392</v>
      </c>
      <c r="B363" s="227"/>
      <c r="C363" s="121"/>
      <c r="D363" s="207"/>
      <c r="E363" s="97"/>
      <c r="F363" s="97"/>
      <c r="G363" s="97"/>
      <c r="H363" s="97"/>
      <c r="I363" s="97"/>
    </row>
    <row r="364" customFormat="false" ht="15.4" hidden="false" customHeight="true" outlineLevel="0" collapsed="false">
      <c r="A364" s="226" t="s">
        <v>393</v>
      </c>
      <c r="B364" s="227"/>
      <c r="C364" s="121"/>
      <c r="D364" s="207"/>
      <c r="E364" s="97"/>
      <c r="F364" s="97"/>
      <c r="G364" s="97"/>
      <c r="H364" s="97"/>
      <c r="I364" s="97"/>
    </row>
    <row r="365" customFormat="false" ht="15.4" hidden="false" customHeight="true" outlineLevel="0" collapsed="false">
      <c r="A365" s="226" t="s">
        <v>394</v>
      </c>
      <c r="B365" s="227"/>
      <c r="C365" s="121"/>
      <c r="D365" s="207"/>
      <c r="E365" s="97"/>
      <c r="F365" s="97"/>
      <c r="G365" s="97"/>
      <c r="H365" s="97"/>
      <c r="I365" s="97"/>
    </row>
    <row r="366" customFormat="false" ht="15.4" hidden="false" customHeight="true" outlineLevel="0" collapsed="false">
      <c r="A366" s="226" t="s">
        <v>395</v>
      </c>
      <c r="B366" s="227"/>
      <c r="C366" s="121"/>
      <c r="D366" s="207"/>
      <c r="E366" s="97"/>
      <c r="F366" s="97"/>
      <c r="G366" s="97"/>
      <c r="H366" s="97"/>
      <c r="I366" s="97"/>
    </row>
    <row r="367" customFormat="false" ht="15.4" hidden="false" customHeight="true" outlineLevel="0" collapsed="false">
      <c r="A367" s="226" t="s">
        <v>396</v>
      </c>
      <c r="B367" s="227"/>
      <c r="C367" s="121"/>
      <c r="D367" s="207"/>
      <c r="E367" s="97"/>
      <c r="F367" s="97"/>
      <c r="G367" s="97"/>
      <c r="H367" s="97"/>
      <c r="I367" s="97"/>
    </row>
    <row r="368" customFormat="false" ht="15.4" hidden="false" customHeight="true" outlineLevel="0" collapsed="false">
      <c r="A368" s="226" t="s">
        <v>397</v>
      </c>
      <c r="B368" s="227"/>
      <c r="C368" s="121"/>
      <c r="D368" s="207"/>
      <c r="E368" s="97"/>
      <c r="F368" s="97"/>
      <c r="G368" s="97"/>
      <c r="H368" s="97"/>
      <c r="I368" s="97"/>
    </row>
    <row r="369" customFormat="false" ht="15.4" hidden="false" customHeight="true" outlineLevel="0" collapsed="false">
      <c r="A369" s="226" t="s">
        <v>398</v>
      </c>
      <c r="B369" s="227"/>
      <c r="C369" s="121"/>
      <c r="D369" s="207"/>
      <c r="E369" s="97"/>
      <c r="F369" s="97"/>
      <c r="G369" s="97"/>
      <c r="H369" s="97"/>
      <c r="I369" s="97"/>
    </row>
    <row r="370" customFormat="false" ht="15.4" hidden="false" customHeight="true" outlineLevel="0" collapsed="false">
      <c r="A370" s="226" t="s">
        <v>399</v>
      </c>
      <c r="B370" s="227"/>
      <c r="C370" s="121"/>
      <c r="D370" s="207"/>
      <c r="E370" s="97"/>
      <c r="F370" s="97"/>
      <c r="G370" s="97"/>
      <c r="H370" s="97"/>
      <c r="I370" s="97"/>
    </row>
    <row r="371" customFormat="false" ht="15.4" hidden="false" customHeight="true" outlineLevel="0" collapsed="false">
      <c r="A371" s="226" t="s">
        <v>400</v>
      </c>
      <c r="B371" s="227"/>
      <c r="C371" s="121"/>
      <c r="D371" s="207"/>
      <c r="E371" s="97"/>
      <c r="F371" s="97"/>
      <c r="G371" s="97"/>
      <c r="H371" s="97"/>
      <c r="I371" s="97"/>
    </row>
    <row r="372" customFormat="false" ht="15.4" hidden="false" customHeight="true" outlineLevel="0" collapsed="false">
      <c r="A372" s="226" t="s">
        <v>401</v>
      </c>
      <c r="B372" s="227"/>
      <c r="C372" s="121"/>
      <c r="D372" s="207"/>
      <c r="E372" s="97"/>
      <c r="F372" s="97"/>
      <c r="G372" s="97"/>
      <c r="H372" s="97"/>
      <c r="I372" s="97"/>
    </row>
    <row r="373" customFormat="false" ht="15.4" hidden="false" customHeight="true" outlineLevel="0" collapsed="false">
      <c r="A373" s="226" t="s">
        <v>402</v>
      </c>
      <c r="B373" s="227"/>
      <c r="C373" s="121"/>
      <c r="D373" s="207"/>
      <c r="E373" s="97"/>
      <c r="F373" s="97"/>
      <c r="G373" s="97"/>
      <c r="H373" s="97"/>
      <c r="I373" s="97"/>
    </row>
    <row r="374" customFormat="false" ht="15.4" hidden="false" customHeight="true" outlineLevel="0" collapsed="false">
      <c r="A374" s="226" t="s">
        <v>403</v>
      </c>
      <c r="B374" s="227"/>
      <c r="C374" s="121"/>
      <c r="D374" s="207"/>
      <c r="E374" s="97"/>
      <c r="F374" s="97"/>
      <c r="G374" s="97"/>
      <c r="H374" s="97"/>
      <c r="I374" s="97"/>
    </row>
    <row r="375" customFormat="false" ht="15.4" hidden="false" customHeight="true" outlineLevel="0" collapsed="false">
      <c r="A375" s="226" t="s">
        <v>404</v>
      </c>
      <c r="B375" s="227"/>
      <c r="C375" s="121"/>
      <c r="D375" s="207"/>
      <c r="E375" s="97"/>
      <c r="F375" s="97"/>
      <c r="G375" s="97"/>
      <c r="H375" s="97"/>
      <c r="I375" s="97"/>
    </row>
    <row r="376" customFormat="false" ht="15.4" hidden="false" customHeight="true" outlineLevel="0" collapsed="false">
      <c r="A376" s="226" t="s">
        <v>405</v>
      </c>
      <c r="B376" s="227"/>
      <c r="C376" s="121"/>
      <c r="D376" s="207"/>
      <c r="E376" s="173" t="s">
        <v>406</v>
      </c>
      <c r="F376" s="173" t="s">
        <v>407</v>
      </c>
      <c r="G376" s="173" t="s">
        <v>408</v>
      </c>
      <c r="H376" s="97"/>
      <c r="I376" s="97"/>
    </row>
    <row r="377" customFormat="false" ht="15.4" hidden="false" customHeight="true" outlineLevel="0" collapsed="false">
      <c r="A377" s="226" t="s">
        <v>409</v>
      </c>
      <c r="B377" s="227"/>
      <c r="C377" s="121"/>
      <c r="D377" s="207"/>
      <c r="E377" s="228" t="s">
        <v>410</v>
      </c>
      <c r="F377" s="228" t="s">
        <v>410</v>
      </c>
      <c r="G377" s="228" t="s">
        <v>410</v>
      </c>
      <c r="H377" s="97"/>
      <c r="I377" s="97"/>
    </row>
    <row r="378" customFormat="false" ht="15.4" hidden="false" customHeight="true" outlineLevel="0" collapsed="false">
      <c r="A378" s="226" t="s">
        <v>411</v>
      </c>
      <c r="B378" s="227"/>
      <c r="C378" s="121"/>
      <c r="D378" s="207"/>
      <c r="E378" s="228"/>
      <c r="F378" s="228"/>
      <c r="G378" s="228"/>
      <c r="H378" s="97"/>
      <c r="I378" s="97"/>
    </row>
    <row r="379" customFormat="false" ht="15.4" hidden="false" customHeight="true" outlineLevel="0" collapsed="false">
      <c r="A379" s="229"/>
      <c r="B379" s="227"/>
      <c r="C379" s="121"/>
      <c r="D379" s="207"/>
      <c r="E379" s="207"/>
      <c r="F379" s="207"/>
      <c r="G379" s="207"/>
      <c r="H379" s="97"/>
      <c r="I379" s="97"/>
    </row>
    <row r="380" customFormat="false" ht="15.4" hidden="false" customHeight="true" outlineLevel="0" collapsed="false">
      <c r="A380" s="229"/>
      <c r="B380" s="227"/>
      <c r="C380" s="121"/>
      <c r="D380" s="207"/>
      <c r="E380" s="207"/>
      <c r="F380" s="207"/>
      <c r="G380" s="207"/>
      <c r="H380" s="97"/>
      <c r="I380" s="97"/>
    </row>
    <row r="381" customFormat="false" ht="15.4" hidden="false" customHeight="true" outlineLevel="0" collapsed="false">
      <c r="A381" s="229"/>
      <c r="B381" s="227"/>
      <c r="C381" s="121"/>
      <c r="D381" s="207"/>
      <c r="E381" s="207"/>
      <c r="F381" s="207"/>
      <c r="G381" s="207"/>
      <c r="H381" s="97"/>
      <c r="I381" s="97"/>
    </row>
    <row r="382" customFormat="false" ht="15.4" hidden="false" customHeight="true" outlineLevel="0" collapsed="false">
      <c r="A382" s="168"/>
      <c r="B382" s="127"/>
      <c r="C382" s="121"/>
      <c r="D382" s="207"/>
      <c r="E382" s="207"/>
      <c r="F382" s="207"/>
      <c r="G382" s="207"/>
      <c r="H382" s="97"/>
      <c r="I382" s="97"/>
    </row>
    <row r="383" customFormat="false" ht="15.4" hidden="false" customHeight="true" outlineLevel="0" collapsed="false">
      <c r="A383" s="168"/>
      <c r="B383" s="127"/>
      <c r="C383" s="121"/>
      <c r="D383" s="207"/>
      <c r="E383" s="207"/>
      <c r="F383" s="207"/>
      <c r="G383" s="207"/>
      <c r="H383" s="97"/>
      <c r="I383" s="97"/>
    </row>
    <row r="384" customFormat="false" ht="15.4" hidden="false" customHeight="true" outlineLevel="0" collapsed="false">
      <c r="A384" s="62"/>
      <c r="B384" s="97"/>
      <c r="C384" s="97"/>
      <c r="D384" s="97"/>
      <c r="E384" s="97"/>
      <c r="F384" s="97"/>
      <c r="G384" s="97"/>
      <c r="H384" s="97"/>
      <c r="I384" s="97"/>
    </row>
    <row r="385" customFormat="false" ht="15.4" hidden="false" customHeight="true" outlineLevel="0" collapsed="false">
      <c r="A385" s="62"/>
      <c r="B385" s="97"/>
      <c r="C385" s="97"/>
      <c r="D385" s="97"/>
      <c r="E385" s="97"/>
      <c r="F385" s="97"/>
      <c r="G385" s="97"/>
      <c r="H385" s="97"/>
      <c r="I385" s="97"/>
    </row>
    <row r="386" customFormat="false" ht="15.4" hidden="false" customHeight="true" outlineLevel="0" collapsed="false">
      <c r="A386" s="62"/>
      <c r="B386" s="97"/>
      <c r="C386" s="97"/>
      <c r="D386" s="97"/>
      <c r="E386" s="97"/>
      <c r="F386" s="97"/>
      <c r="G386" s="97"/>
      <c r="H386" s="97"/>
      <c r="I386" s="97"/>
    </row>
    <row r="387" customFormat="false" ht="15.4" hidden="false" customHeight="true" outlineLevel="0" collapsed="false">
      <c r="A387" s="62"/>
      <c r="B387" s="97"/>
      <c r="C387" s="97"/>
      <c r="D387" s="97"/>
      <c r="E387" s="97"/>
      <c r="F387" s="97"/>
      <c r="G387" s="97"/>
      <c r="H387" s="97"/>
      <c r="I387" s="97"/>
    </row>
    <row r="388" customFormat="false" ht="15.4" hidden="false" customHeight="true" outlineLevel="0" collapsed="false">
      <c r="A388" s="62"/>
      <c r="B388" s="97"/>
      <c r="C388" s="97"/>
      <c r="D388" s="97"/>
      <c r="E388" s="97"/>
      <c r="F388" s="97"/>
      <c r="G388" s="97"/>
      <c r="H388" s="97"/>
      <c r="I388" s="97"/>
    </row>
    <row r="389" customFormat="false" ht="15.4" hidden="false" customHeight="true" outlineLevel="0" collapsed="false">
      <c r="A389" s="62"/>
      <c r="B389" s="97"/>
      <c r="C389" s="97"/>
      <c r="D389" s="97"/>
      <c r="E389" s="97"/>
      <c r="F389" s="97"/>
      <c r="G389" s="97"/>
      <c r="H389" s="97"/>
      <c r="I389" s="97"/>
    </row>
    <row r="390" customFormat="false" ht="15.4" hidden="false" customHeight="true" outlineLevel="0" collapsed="false">
      <c r="A390" s="191" t="s">
        <v>412</v>
      </c>
      <c r="B390" s="191"/>
      <c r="C390" s="191"/>
      <c r="D390" s="97"/>
      <c r="E390" s="97"/>
      <c r="F390" s="97"/>
      <c r="G390" s="97"/>
      <c r="H390" s="97"/>
      <c r="I390" s="97"/>
    </row>
    <row r="391" customFormat="false" ht="15.4" hidden="false" customHeight="true" outlineLevel="0" collapsed="false">
      <c r="A391" s="62"/>
      <c r="B391" s="97"/>
      <c r="C391" s="97"/>
      <c r="D391" s="97"/>
      <c r="E391" s="173" t="s">
        <v>413</v>
      </c>
      <c r="F391" s="173" t="s">
        <v>414</v>
      </c>
      <c r="G391" s="173" t="s">
        <v>415</v>
      </c>
      <c r="H391" s="97"/>
      <c r="I391" s="97"/>
    </row>
    <row r="392" customFormat="false" ht="15.4" hidden="false" customHeight="true" outlineLevel="0" collapsed="false">
      <c r="A392" s="230" t="s">
        <v>416</v>
      </c>
      <c r="B392" s="230"/>
      <c r="C392" s="230"/>
      <c r="D392" s="230"/>
      <c r="E392" s="173"/>
      <c r="F392" s="173"/>
      <c r="G392" s="173"/>
      <c r="H392" s="97"/>
      <c r="I392" s="97"/>
    </row>
    <row r="393" customFormat="false" ht="15.4" hidden="false" customHeight="true" outlineLevel="0" collapsed="false">
      <c r="A393" s="230"/>
      <c r="B393" s="230"/>
      <c r="C393" s="230"/>
      <c r="D393" s="230"/>
      <c r="E393" s="204" t="s">
        <v>417</v>
      </c>
      <c r="F393" s="204" t="s">
        <v>417</v>
      </c>
      <c r="G393" s="204" t="s">
        <v>417</v>
      </c>
      <c r="H393" s="97"/>
      <c r="I393" s="97"/>
    </row>
    <row r="394" customFormat="false" ht="15.4" hidden="false" customHeight="true" outlineLevel="0" collapsed="false">
      <c r="A394" s="231" t="s">
        <v>418</v>
      </c>
      <c r="B394" s="232"/>
      <c r="C394" s="232"/>
      <c r="D394" s="233"/>
      <c r="E394" s="234"/>
      <c r="F394" s="234"/>
      <c r="G394" s="234"/>
      <c r="H394" s="97"/>
      <c r="I394" s="97"/>
    </row>
    <row r="395" customFormat="false" ht="15.4" hidden="false" customHeight="true" outlineLevel="0" collapsed="false">
      <c r="A395" s="235" t="s">
        <v>419</v>
      </c>
      <c r="B395" s="127"/>
      <c r="C395" s="127"/>
      <c r="D395" s="121"/>
      <c r="E395" s="207"/>
      <c r="F395" s="207"/>
      <c r="G395" s="207"/>
      <c r="H395" s="97"/>
      <c r="I395" s="97"/>
    </row>
    <row r="396" customFormat="false" ht="15.4" hidden="false" customHeight="true" outlineLevel="0" collapsed="false">
      <c r="A396" s="235" t="s">
        <v>420</v>
      </c>
      <c r="B396" s="127"/>
      <c r="C396" s="127"/>
      <c r="D396" s="121"/>
      <c r="E396" s="207"/>
      <c r="F396" s="207"/>
      <c r="G396" s="207"/>
      <c r="H396" s="97"/>
      <c r="I396" s="97"/>
    </row>
    <row r="397" customFormat="false" ht="15.4" hidden="false" customHeight="true" outlineLevel="0" collapsed="false">
      <c r="A397" s="235" t="s">
        <v>421</v>
      </c>
      <c r="B397" s="127"/>
      <c r="C397" s="127"/>
      <c r="D397" s="121"/>
      <c r="E397" s="207"/>
      <c r="F397" s="207"/>
      <c r="G397" s="207"/>
      <c r="H397" s="97"/>
      <c r="I397" s="97"/>
    </row>
    <row r="398" customFormat="false" ht="15.4" hidden="false" customHeight="true" outlineLevel="0" collapsed="false">
      <c r="A398" s="235" t="s">
        <v>422</v>
      </c>
      <c r="B398" s="127"/>
      <c r="C398" s="127"/>
      <c r="D398" s="121"/>
      <c r="E398" s="207"/>
      <c r="F398" s="207"/>
      <c r="G398" s="207"/>
      <c r="H398" s="97"/>
      <c r="I398" s="97"/>
    </row>
    <row r="399" customFormat="false" ht="15.4" hidden="false" customHeight="true" outlineLevel="0" collapsed="false">
      <c r="A399" s="235" t="s">
        <v>423</v>
      </c>
      <c r="B399" s="127"/>
      <c r="C399" s="127"/>
      <c r="D399" s="121"/>
      <c r="E399" s="207"/>
      <c r="F399" s="207"/>
      <c r="G399" s="207"/>
      <c r="H399" s="97"/>
      <c r="I399" s="97"/>
    </row>
    <row r="400" customFormat="false" ht="15.4" hidden="false" customHeight="true" outlineLevel="0" collapsed="false">
      <c r="A400" s="235" t="s">
        <v>424</v>
      </c>
      <c r="B400" s="127"/>
      <c r="C400" s="127"/>
      <c r="D400" s="121"/>
      <c r="E400" s="207"/>
      <c r="F400" s="207"/>
      <c r="G400" s="207"/>
      <c r="H400" s="97"/>
      <c r="I400" s="97"/>
    </row>
    <row r="401" customFormat="false" ht="15.4" hidden="false" customHeight="true" outlineLevel="0" collapsed="false">
      <c r="A401" s="235" t="s">
        <v>425</v>
      </c>
      <c r="B401" s="127"/>
      <c r="C401" s="127"/>
      <c r="D401" s="121"/>
      <c r="E401" s="207"/>
      <c r="F401" s="207"/>
      <c r="G401" s="207"/>
      <c r="H401" s="97"/>
      <c r="I401" s="97"/>
    </row>
    <row r="402" customFormat="false" ht="15.4" hidden="false" customHeight="true" outlineLevel="0" collapsed="false">
      <c r="A402" s="235" t="s">
        <v>426</v>
      </c>
      <c r="B402" s="127"/>
      <c r="C402" s="127"/>
      <c r="D402" s="121"/>
      <c r="E402" s="207"/>
      <c r="F402" s="207"/>
      <c r="G402" s="207"/>
      <c r="H402" s="97"/>
      <c r="I402" s="97"/>
    </row>
    <row r="403" customFormat="false" ht="15.4" hidden="false" customHeight="true" outlineLevel="0" collapsed="false">
      <c r="A403" s="235" t="s">
        <v>427</v>
      </c>
      <c r="B403" s="127"/>
      <c r="C403" s="127"/>
      <c r="D403" s="121"/>
      <c r="E403" s="207"/>
      <c r="F403" s="207"/>
      <c r="G403" s="207"/>
      <c r="H403" s="97"/>
      <c r="I403" s="97"/>
    </row>
    <row r="404" customFormat="false" ht="15.4" hidden="false" customHeight="true" outlineLevel="0" collapsed="false">
      <c r="A404" s="235" t="s">
        <v>428</v>
      </c>
      <c r="B404" s="127"/>
      <c r="C404" s="127"/>
      <c r="D404" s="121"/>
      <c r="E404" s="207"/>
      <c r="F404" s="207"/>
      <c r="G404" s="207"/>
      <c r="H404" s="97"/>
      <c r="I404" s="97"/>
    </row>
    <row r="405" customFormat="false" ht="15.4" hidden="false" customHeight="true" outlineLevel="0" collapsed="false">
      <c r="A405" s="235" t="s">
        <v>429</v>
      </c>
      <c r="B405" s="127"/>
      <c r="C405" s="127"/>
      <c r="D405" s="121"/>
      <c r="E405" s="207"/>
      <c r="F405" s="207"/>
      <c r="G405" s="207"/>
      <c r="H405" s="97"/>
      <c r="I405" s="97"/>
    </row>
    <row r="406" customFormat="false" ht="15.4" hidden="false" customHeight="true" outlineLevel="0" collapsed="false">
      <c r="A406" s="235" t="s">
        <v>430</v>
      </c>
      <c r="B406" s="127"/>
      <c r="C406" s="127"/>
      <c r="D406" s="121"/>
      <c r="E406" s="207"/>
      <c r="F406" s="207"/>
      <c r="G406" s="207"/>
      <c r="H406" s="97"/>
      <c r="I406" s="97"/>
    </row>
    <row r="407" customFormat="false" ht="15.4" hidden="false" customHeight="true" outlineLevel="0" collapsed="false">
      <c r="A407" s="235" t="s">
        <v>431</v>
      </c>
      <c r="B407" s="127"/>
      <c r="C407" s="127"/>
      <c r="D407" s="121"/>
      <c r="E407" s="207"/>
      <c r="F407" s="207"/>
      <c r="G407" s="207"/>
      <c r="H407" s="97"/>
      <c r="I407" s="97"/>
    </row>
    <row r="408" customFormat="false" ht="15.4" hidden="false" customHeight="true" outlineLevel="0" collapsed="false">
      <c r="A408" s="235" t="s">
        <v>432</v>
      </c>
      <c r="B408" s="127"/>
      <c r="C408" s="127"/>
      <c r="D408" s="121"/>
      <c r="E408" s="207"/>
      <c r="F408" s="207"/>
      <c r="G408" s="207"/>
      <c r="H408" s="97"/>
      <c r="I408" s="97"/>
    </row>
    <row r="409" customFormat="false" ht="15.4" hidden="false" customHeight="true" outlineLevel="0" collapsed="false">
      <c r="A409" s="235" t="s">
        <v>433</v>
      </c>
      <c r="B409" s="127"/>
      <c r="C409" s="127"/>
      <c r="D409" s="121"/>
      <c r="E409" s="207"/>
      <c r="F409" s="207"/>
      <c r="G409" s="207"/>
      <c r="H409" s="97"/>
      <c r="I409" s="97"/>
    </row>
    <row r="410" customFormat="false" ht="15.4" hidden="false" customHeight="true" outlineLevel="0" collapsed="false">
      <c r="A410" s="235" t="s">
        <v>434</v>
      </c>
      <c r="B410" s="127"/>
      <c r="C410" s="127"/>
      <c r="D410" s="121"/>
      <c r="E410" s="207"/>
      <c r="F410" s="207"/>
      <c r="G410" s="207"/>
      <c r="H410" s="97"/>
      <c r="I410" s="97"/>
    </row>
    <row r="411" customFormat="false" ht="15.4" hidden="false" customHeight="true" outlineLevel="0" collapsed="false">
      <c r="A411" s="235" t="s">
        <v>435</v>
      </c>
      <c r="B411" s="127"/>
      <c r="C411" s="127"/>
      <c r="D411" s="121"/>
      <c r="E411" s="207"/>
      <c r="F411" s="207"/>
      <c r="G411" s="207"/>
      <c r="H411" s="97"/>
      <c r="I411" s="97"/>
    </row>
    <row r="412" customFormat="false" ht="15.4" hidden="false" customHeight="true" outlineLevel="0" collapsed="false">
      <c r="A412" s="235" t="s">
        <v>436</v>
      </c>
      <c r="B412" s="127"/>
      <c r="C412" s="127"/>
      <c r="D412" s="121"/>
      <c r="E412" s="207"/>
      <c r="F412" s="207"/>
      <c r="G412" s="207"/>
      <c r="H412" s="97"/>
      <c r="I412" s="97"/>
    </row>
    <row r="413" customFormat="false" ht="15.4" hidden="false" customHeight="true" outlineLevel="0" collapsed="false">
      <c r="A413" s="235" t="s">
        <v>437</v>
      </c>
      <c r="B413" s="127"/>
      <c r="C413" s="127"/>
      <c r="D413" s="121"/>
      <c r="E413" s="207"/>
      <c r="F413" s="207"/>
      <c r="G413" s="207"/>
      <c r="H413" s="97"/>
      <c r="I413" s="97"/>
    </row>
    <row r="414" customFormat="false" ht="15.4" hidden="false" customHeight="true" outlineLevel="0" collapsed="false">
      <c r="A414" s="235" t="s">
        <v>438</v>
      </c>
      <c r="B414" s="127"/>
      <c r="C414" s="127"/>
      <c r="D414" s="121"/>
      <c r="E414" s="207"/>
      <c r="F414" s="207"/>
      <c r="G414" s="207"/>
      <c r="H414" s="97"/>
      <c r="I414" s="97"/>
    </row>
    <row r="415" customFormat="false" ht="15.4" hidden="false" customHeight="true" outlineLevel="0" collapsed="false">
      <c r="A415" s="235" t="s">
        <v>439</v>
      </c>
      <c r="B415" s="127"/>
      <c r="C415" s="127"/>
      <c r="D415" s="121"/>
      <c r="E415" s="207"/>
      <c r="F415" s="207"/>
      <c r="G415" s="207"/>
      <c r="H415" s="97"/>
      <c r="I415" s="97"/>
    </row>
    <row r="416" customFormat="false" ht="15.4" hidden="false" customHeight="true" outlineLevel="0" collapsed="false">
      <c r="A416" s="235" t="s">
        <v>440</v>
      </c>
      <c r="B416" s="127"/>
      <c r="C416" s="127"/>
      <c r="D416" s="121"/>
      <c r="E416" s="207"/>
      <c r="F416" s="207"/>
      <c r="G416" s="207"/>
      <c r="H416" s="97"/>
      <c r="I416" s="97"/>
    </row>
    <row r="417" customFormat="false" ht="15.4" hidden="false" customHeight="true" outlineLevel="0" collapsed="false">
      <c r="A417" s="235" t="s">
        <v>441</v>
      </c>
      <c r="B417" s="127"/>
      <c r="C417" s="127"/>
      <c r="D417" s="121"/>
      <c r="E417" s="207"/>
      <c r="F417" s="207"/>
      <c r="G417" s="207"/>
      <c r="H417" s="97"/>
      <c r="I417" s="97"/>
    </row>
    <row r="418" customFormat="false" ht="15.4" hidden="false" customHeight="true" outlineLevel="0" collapsed="false">
      <c r="A418" s="235" t="s">
        <v>442</v>
      </c>
      <c r="B418" s="127"/>
      <c r="C418" s="127"/>
      <c r="D418" s="121"/>
      <c r="E418" s="207"/>
      <c r="F418" s="207"/>
      <c r="G418" s="207"/>
      <c r="H418" s="97"/>
      <c r="I418" s="97"/>
    </row>
    <row r="419" customFormat="false" ht="15.4" hidden="false" customHeight="true" outlineLevel="0" collapsed="false">
      <c r="A419" s="235" t="s">
        <v>443</v>
      </c>
      <c r="B419" s="127"/>
      <c r="C419" s="127"/>
      <c r="D419" s="121"/>
      <c r="E419" s="207"/>
      <c r="F419" s="207"/>
      <c r="G419" s="207"/>
      <c r="H419" s="97"/>
      <c r="I419" s="97"/>
    </row>
    <row r="420" customFormat="false" ht="15.4" hidden="false" customHeight="true" outlineLevel="0" collapsed="false">
      <c r="A420" s="235" t="s">
        <v>444</v>
      </c>
      <c r="B420" s="127"/>
      <c r="C420" s="127"/>
      <c r="D420" s="121"/>
      <c r="E420" s="207"/>
      <c r="F420" s="207"/>
      <c r="G420" s="207"/>
      <c r="H420" s="97"/>
      <c r="I420" s="97"/>
    </row>
    <row r="421" customFormat="false" ht="15.4" hidden="false" customHeight="true" outlineLevel="0" collapsed="false">
      <c r="A421" s="235" t="s">
        <v>445</v>
      </c>
      <c r="B421" s="127"/>
      <c r="C421" s="127"/>
      <c r="D421" s="121"/>
      <c r="E421" s="207"/>
      <c r="F421" s="207"/>
      <c r="G421" s="207"/>
      <c r="H421" s="97"/>
      <c r="I421" s="97"/>
    </row>
    <row r="422" customFormat="false" ht="15.4" hidden="false" customHeight="true" outlineLevel="0" collapsed="false">
      <c r="A422" s="235" t="s">
        <v>446</v>
      </c>
      <c r="B422" s="127"/>
      <c r="C422" s="127"/>
      <c r="D422" s="121"/>
      <c r="E422" s="207"/>
      <c r="F422" s="207"/>
      <c r="G422" s="207"/>
      <c r="H422" s="173" t="s">
        <v>406</v>
      </c>
      <c r="I422" s="97"/>
    </row>
    <row r="423" customFormat="false" ht="15.4" hidden="false" customHeight="true" outlineLevel="0" collapsed="false">
      <c r="A423" s="235" t="s">
        <v>447</v>
      </c>
      <c r="B423" s="127"/>
      <c r="C423" s="127"/>
      <c r="D423" s="121"/>
      <c r="E423" s="207"/>
      <c r="F423" s="207"/>
      <c r="G423" s="207"/>
      <c r="H423" s="228" t="s">
        <v>410</v>
      </c>
      <c r="I423" s="97"/>
    </row>
    <row r="424" customFormat="false" ht="15.4" hidden="false" customHeight="true" outlineLevel="0" collapsed="false">
      <c r="A424" s="236" t="s">
        <v>448</v>
      </c>
      <c r="B424" s="127"/>
      <c r="C424" s="127"/>
      <c r="D424" s="121"/>
      <c r="E424" s="207"/>
      <c r="F424" s="207"/>
      <c r="G424" s="207"/>
      <c r="H424" s="228"/>
      <c r="I424" s="97"/>
    </row>
    <row r="425" customFormat="false" ht="15.4" hidden="false" customHeight="true" outlineLevel="0" collapsed="false">
      <c r="A425" s="168"/>
      <c r="B425" s="127"/>
      <c r="C425" s="127"/>
      <c r="D425" s="121"/>
      <c r="E425" s="207"/>
      <c r="F425" s="207"/>
      <c r="G425" s="207"/>
      <c r="H425" s="207"/>
      <c r="I425" s="97"/>
    </row>
    <row r="426" customFormat="false" ht="15.4" hidden="false" customHeight="true" outlineLevel="0" collapsed="false">
      <c r="A426" s="168"/>
      <c r="B426" s="127"/>
      <c r="C426" s="127"/>
      <c r="D426" s="121"/>
      <c r="E426" s="207"/>
      <c r="F426" s="207"/>
      <c r="G426" s="207"/>
      <c r="H426" s="207"/>
      <c r="I426" s="97"/>
    </row>
    <row r="427" customFormat="false" ht="15.4" hidden="false" customHeight="true" outlineLevel="0" collapsed="false">
      <c r="A427" s="168"/>
      <c r="B427" s="127"/>
      <c r="C427" s="127"/>
      <c r="D427" s="121"/>
      <c r="E427" s="207"/>
      <c r="F427" s="207"/>
      <c r="G427" s="207"/>
      <c r="H427" s="207"/>
      <c r="I427" s="97"/>
    </row>
    <row r="428" customFormat="false" ht="15.4" hidden="false" customHeight="true" outlineLevel="0" collapsed="false">
      <c r="A428" s="168"/>
      <c r="B428" s="127"/>
      <c r="C428" s="127"/>
      <c r="D428" s="121"/>
      <c r="E428" s="207"/>
      <c r="F428" s="207"/>
      <c r="G428" s="207"/>
      <c r="H428" s="207"/>
      <c r="I428" s="97"/>
    </row>
    <row r="429" customFormat="false" ht="15.4" hidden="false" customHeight="true" outlineLevel="0" collapsed="false">
      <c r="A429" s="62"/>
      <c r="B429" s="97"/>
      <c r="C429" s="97"/>
      <c r="D429" s="97"/>
      <c r="E429" s="97"/>
      <c r="F429" s="97"/>
      <c r="G429" s="97"/>
      <c r="H429" s="97"/>
      <c r="I429" s="97"/>
    </row>
    <row r="430" customFormat="false" ht="15.4" hidden="false" customHeight="true" outlineLevel="0" collapsed="false">
      <c r="A430" s="62"/>
      <c r="B430" s="193" t="s">
        <v>449</v>
      </c>
      <c r="C430" s="193"/>
      <c r="D430" s="193"/>
      <c r="E430" s="193"/>
      <c r="F430" s="193"/>
      <c r="G430" s="194" t="s">
        <v>253</v>
      </c>
      <c r="H430" s="194" t="s">
        <v>254</v>
      </c>
      <c r="I430" s="97"/>
    </row>
    <row r="431" customFormat="false" ht="15.4" hidden="false" customHeight="true" outlineLevel="0" collapsed="false">
      <c r="A431" s="62"/>
      <c r="B431" s="193"/>
      <c r="C431" s="193"/>
      <c r="D431" s="193"/>
      <c r="E431" s="193"/>
      <c r="F431" s="193"/>
      <c r="G431" s="195"/>
      <c r="H431" s="195"/>
      <c r="I431" s="97"/>
    </row>
    <row r="432" customFormat="false" ht="15.4" hidden="false" customHeight="true" outlineLevel="0" collapsed="false">
      <c r="A432" s="62"/>
      <c r="B432" s="193"/>
      <c r="C432" s="193"/>
      <c r="D432" s="193"/>
      <c r="E432" s="193"/>
      <c r="F432" s="193"/>
      <c r="G432" s="97"/>
      <c r="H432" s="97"/>
      <c r="I432" s="97"/>
    </row>
    <row r="433" customFormat="false" ht="15.4" hidden="false" customHeight="true" outlineLevel="0" collapsed="false">
      <c r="A433" s="62"/>
      <c r="C433" s="192"/>
      <c r="D433" s="192"/>
      <c r="E433" s="192"/>
      <c r="F433" s="192"/>
      <c r="G433" s="97"/>
      <c r="H433" s="97"/>
      <c r="I433" s="97"/>
    </row>
    <row r="434" customFormat="false" ht="15.4" hidden="false" customHeight="true" outlineLevel="0" collapsed="false">
      <c r="A434" s="62" t="s">
        <v>227</v>
      </c>
      <c r="B434" s="193" t="s">
        <v>450</v>
      </c>
      <c r="C434" s="193"/>
      <c r="D434" s="193"/>
      <c r="E434" s="193"/>
      <c r="F434" s="193"/>
      <c r="G434" s="84"/>
      <c r="H434" s="84"/>
      <c r="I434" s="97"/>
    </row>
    <row r="435" customFormat="false" ht="15.4" hidden="false" customHeight="true" outlineLevel="0" collapsed="false">
      <c r="A435" s="62"/>
      <c r="B435" s="237" t="s">
        <v>372</v>
      </c>
      <c r="C435" s="84"/>
      <c r="D435" s="84"/>
      <c r="E435" s="84"/>
      <c r="F435" s="84"/>
      <c r="G435" s="75"/>
      <c r="H435" s="75"/>
      <c r="I435" s="97"/>
    </row>
    <row r="436" customFormat="false" ht="15.4" hidden="false" customHeight="true" outlineLevel="0" collapsed="false">
      <c r="A436" s="62"/>
      <c r="B436" s="97"/>
      <c r="C436" s="84"/>
      <c r="D436" s="84"/>
      <c r="E436" s="84"/>
      <c r="F436" s="84"/>
      <c r="G436" s="75"/>
      <c r="H436" s="75"/>
      <c r="I436" s="97"/>
    </row>
    <row r="437" customFormat="false" ht="15.4" hidden="false" customHeight="true" outlineLevel="0" collapsed="false">
      <c r="A437" s="62"/>
      <c r="B437" s="97"/>
      <c r="C437" s="97"/>
      <c r="D437" s="97"/>
      <c r="E437" s="97"/>
      <c r="F437" s="97"/>
      <c r="G437" s="194" t="s">
        <v>253</v>
      </c>
      <c r="H437" s="194" t="s">
        <v>254</v>
      </c>
      <c r="I437" s="97"/>
    </row>
    <row r="438" customFormat="false" ht="15.4" hidden="false" customHeight="true" outlineLevel="0" collapsed="false">
      <c r="A438" s="62" t="s">
        <v>227</v>
      </c>
      <c r="B438" s="238" t="s">
        <v>451</v>
      </c>
      <c r="C438" s="238"/>
      <c r="D438" s="238"/>
      <c r="E438" s="238"/>
      <c r="F438" s="238"/>
      <c r="G438" s="195"/>
      <c r="H438" s="195"/>
      <c r="I438" s="97"/>
    </row>
    <row r="439" customFormat="false" ht="15.4" hidden="false" customHeight="true" outlineLevel="0" collapsed="false">
      <c r="A439" s="191" t="s">
        <v>452</v>
      </c>
      <c r="B439" s="191"/>
      <c r="C439" s="191"/>
      <c r="D439" s="97"/>
      <c r="E439" s="97"/>
      <c r="F439" s="97"/>
      <c r="G439" s="97"/>
      <c r="H439" s="97"/>
      <c r="I439" s="97"/>
    </row>
    <row r="440" customFormat="false" ht="15.4" hidden="false" customHeight="true" outlineLevel="0" collapsed="false">
      <c r="A440" s="62"/>
      <c r="B440" s="97"/>
      <c r="C440" s="97"/>
      <c r="D440" s="97"/>
      <c r="E440" s="97"/>
      <c r="F440" s="97"/>
      <c r="G440" s="97"/>
      <c r="H440" s="97"/>
      <c r="I440" s="97"/>
    </row>
    <row r="441" customFormat="false" ht="15.4" hidden="false" customHeight="true" outlineLevel="0" collapsed="false">
      <c r="A441" s="62" t="s">
        <v>251</v>
      </c>
      <c r="B441" s="193" t="s">
        <v>453</v>
      </c>
      <c r="C441" s="193"/>
      <c r="D441" s="193"/>
      <c r="E441" s="193"/>
      <c r="F441" s="193"/>
      <c r="G441" s="194" t="s">
        <v>253</v>
      </c>
      <c r="H441" s="194" t="s">
        <v>254</v>
      </c>
      <c r="I441" s="97"/>
    </row>
    <row r="442" customFormat="false" ht="15" hidden="false" customHeight="true" outlineLevel="0" collapsed="false">
      <c r="A442" s="62"/>
      <c r="B442" s="193"/>
      <c r="C442" s="193"/>
      <c r="D442" s="193"/>
      <c r="E442" s="193"/>
      <c r="F442" s="193"/>
      <c r="G442" s="163"/>
      <c r="H442" s="163"/>
      <c r="I442" s="97"/>
    </row>
    <row r="443" customFormat="false" ht="15" hidden="false" customHeight="true" outlineLevel="0" collapsed="false">
      <c r="A443" s="62"/>
      <c r="B443" s="193"/>
      <c r="C443" s="193"/>
      <c r="D443" s="193"/>
      <c r="E443" s="193"/>
      <c r="F443" s="193"/>
      <c r="G443" s="163"/>
      <c r="H443" s="163"/>
      <c r="I443" s="97"/>
    </row>
    <row r="444" customFormat="false" ht="15.4" hidden="false" customHeight="true" outlineLevel="0" collapsed="false">
      <c r="A444" s="62"/>
      <c r="B444" s="239" t="s">
        <v>454</v>
      </c>
      <c r="C444" s="192"/>
      <c r="D444" s="192"/>
      <c r="E444" s="192"/>
      <c r="F444" s="192"/>
      <c r="I444" s="97"/>
    </row>
    <row r="445" customFormat="false" ht="15.4" hidden="false" customHeight="true" outlineLevel="0" collapsed="false">
      <c r="A445" s="62"/>
      <c r="C445" s="192"/>
      <c r="D445" s="192"/>
      <c r="E445" s="192"/>
      <c r="F445" s="192"/>
      <c r="G445" s="97"/>
      <c r="H445" s="97"/>
      <c r="I445" s="97"/>
    </row>
    <row r="446" customFormat="false" ht="15.4" hidden="false" customHeight="true" outlineLevel="0" collapsed="false">
      <c r="A446" s="62" t="s">
        <v>251</v>
      </c>
      <c r="B446" s="193" t="s">
        <v>455</v>
      </c>
      <c r="C446" s="193"/>
      <c r="D446" s="193"/>
      <c r="E446" s="193"/>
      <c r="F446" s="193"/>
      <c r="G446" s="194" t="s">
        <v>253</v>
      </c>
      <c r="H446" s="194" t="s">
        <v>254</v>
      </c>
      <c r="I446" s="97"/>
    </row>
    <row r="447" customFormat="false" ht="15.4" hidden="false" customHeight="true" outlineLevel="0" collapsed="false">
      <c r="B447" s="193"/>
      <c r="C447" s="193"/>
      <c r="D447" s="193"/>
      <c r="E447" s="193"/>
      <c r="F447" s="193"/>
      <c r="G447" s="195"/>
      <c r="H447" s="195"/>
      <c r="I447" s="97"/>
    </row>
    <row r="448" customFormat="false" ht="15.4" hidden="false" customHeight="true" outlineLevel="0" collapsed="false">
      <c r="A448" s="62"/>
      <c r="B448" s="239" t="s">
        <v>456</v>
      </c>
      <c r="C448" s="192"/>
      <c r="D448" s="192"/>
      <c r="E448" s="192"/>
      <c r="F448" s="97"/>
      <c r="G448" s="97"/>
      <c r="H448" s="97"/>
      <c r="I448" s="97"/>
    </row>
    <row r="450" customFormat="false" ht="15.4" hidden="false" customHeight="true" outlineLevel="0" collapsed="false">
      <c r="A450" s="62" t="s">
        <v>251</v>
      </c>
      <c r="B450" s="212" t="s">
        <v>457</v>
      </c>
      <c r="C450" s="212"/>
      <c r="D450" s="212"/>
      <c r="E450" s="97"/>
      <c r="F450" s="97"/>
      <c r="G450" s="97"/>
      <c r="H450" s="97"/>
      <c r="I450" s="97"/>
    </row>
    <row r="451" customFormat="false" ht="15.4" hidden="false" customHeight="true" outlineLevel="0" collapsed="false">
      <c r="A451" s="62"/>
      <c r="B451" s="173" t="s">
        <v>458</v>
      </c>
      <c r="C451" s="173"/>
      <c r="D451" s="173"/>
      <c r="E451" s="173"/>
      <c r="F451" s="173" t="s">
        <v>459</v>
      </c>
      <c r="G451" s="97"/>
      <c r="H451" s="97"/>
      <c r="I451" s="97"/>
    </row>
    <row r="452" customFormat="false" ht="15.4" hidden="false" customHeight="true" outlineLevel="0" collapsed="false">
      <c r="A452" s="62"/>
      <c r="B452" s="223"/>
      <c r="C452" s="223"/>
      <c r="D452" s="223"/>
      <c r="E452" s="223"/>
      <c r="F452" s="240"/>
      <c r="G452" s="97"/>
      <c r="H452" s="97"/>
      <c r="I452" s="97"/>
    </row>
    <row r="453" customFormat="false" ht="15.4" hidden="false" customHeight="true" outlineLevel="0" collapsed="false">
      <c r="A453" s="62"/>
      <c r="B453" s="223"/>
      <c r="C453" s="223"/>
      <c r="D453" s="223"/>
      <c r="E453" s="223"/>
      <c r="F453" s="240"/>
      <c r="G453" s="97"/>
      <c r="H453" s="97"/>
      <c r="I453" s="97"/>
    </row>
    <row r="454" customFormat="false" ht="15.4" hidden="false" customHeight="true" outlineLevel="0" collapsed="false">
      <c r="A454" s="62"/>
      <c r="B454" s="223"/>
      <c r="C454" s="223"/>
      <c r="D454" s="223"/>
      <c r="E454" s="223"/>
      <c r="F454" s="240"/>
      <c r="G454" s="97"/>
      <c r="H454" s="97"/>
      <c r="I454" s="97"/>
    </row>
    <row r="455" customFormat="false" ht="15.4" hidden="false" customHeight="true" outlineLevel="0" collapsed="false">
      <c r="A455" s="62"/>
      <c r="B455" s="223"/>
      <c r="C455" s="223"/>
      <c r="D455" s="223"/>
      <c r="E455" s="223"/>
      <c r="F455" s="240"/>
      <c r="G455" s="97"/>
      <c r="H455" s="97"/>
      <c r="I455" s="97"/>
    </row>
    <row r="456" customFormat="false" ht="15.4" hidden="false" customHeight="true" outlineLevel="0" collapsed="false">
      <c r="A456" s="62"/>
      <c r="B456" s="223"/>
      <c r="C456" s="223"/>
      <c r="D456" s="223"/>
      <c r="E456" s="223"/>
      <c r="F456" s="240"/>
      <c r="G456" s="97"/>
      <c r="H456" s="97"/>
      <c r="I456" s="97"/>
    </row>
    <row r="457" customFormat="false" ht="15.4" hidden="false" customHeight="true" outlineLevel="0" collapsed="false">
      <c r="A457" s="62"/>
      <c r="B457" s="223"/>
      <c r="C457" s="223"/>
      <c r="D457" s="223"/>
      <c r="E457" s="223"/>
      <c r="F457" s="240"/>
      <c r="G457" s="97"/>
      <c r="H457" s="97"/>
      <c r="I457" s="97"/>
    </row>
    <row r="458" customFormat="false" ht="15.4" hidden="false" customHeight="true" outlineLevel="0" collapsed="false">
      <c r="A458" s="62"/>
      <c r="B458" s="97"/>
      <c r="C458" s="97"/>
      <c r="D458" s="97"/>
      <c r="E458" s="97"/>
      <c r="F458" s="97"/>
      <c r="G458" s="97"/>
      <c r="H458" s="97"/>
      <c r="I458" s="97"/>
    </row>
    <row r="459" customFormat="false" ht="15.4" hidden="false" customHeight="true" outlineLevel="0" collapsed="false">
      <c r="A459" s="62"/>
      <c r="B459" s="212" t="s">
        <v>460</v>
      </c>
      <c r="C459" s="212"/>
      <c r="D459" s="97"/>
      <c r="E459" s="97"/>
      <c r="F459" s="97"/>
      <c r="G459" s="97"/>
      <c r="H459" s="97"/>
      <c r="I459" s="97"/>
    </row>
    <row r="460" customFormat="false" ht="15.4" hidden="false" customHeight="true" outlineLevel="0" collapsed="false">
      <c r="A460" s="62" t="s">
        <v>461</v>
      </c>
      <c r="B460" s="193" t="s">
        <v>462</v>
      </c>
      <c r="C460" s="193"/>
      <c r="D460" s="193"/>
      <c r="E460" s="193"/>
      <c r="F460" s="84"/>
      <c r="G460" s="84"/>
      <c r="H460" s="97"/>
      <c r="I460" s="97"/>
    </row>
    <row r="461" customFormat="false" ht="15.4" hidden="false" customHeight="true" outlineLevel="0" collapsed="false">
      <c r="A461" s="62"/>
      <c r="B461" s="241"/>
      <c r="C461" s="241"/>
      <c r="D461" s="242"/>
      <c r="E461" s="243"/>
      <c r="F461" s="244"/>
      <c r="G461" s="97"/>
      <c r="H461" s="97"/>
      <c r="I461" s="97"/>
    </row>
    <row r="462" customFormat="false" ht="15.4" hidden="false" customHeight="true" outlineLevel="0" collapsed="false">
      <c r="A462" s="62"/>
      <c r="B462" s="245" t="s">
        <v>463</v>
      </c>
      <c r="C462" s="245"/>
      <c r="D462" s="245"/>
      <c r="E462" s="195"/>
      <c r="F462" s="97" t="s">
        <v>464</v>
      </c>
      <c r="G462" s="97"/>
      <c r="H462" s="97"/>
      <c r="I462" s="97"/>
    </row>
    <row r="463" customFormat="false" ht="15.4" hidden="false" customHeight="true" outlineLevel="0" collapsed="false">
      <c r="A463" s="62"/>
      <c r="B463" s="97"/>
      <c r="C463" s="97"/>
      <c r="D463" s="97"/>
      <c r="E463" s="195"/>
      <c r="F463" s="97" t="s">
        <v>465</v>
      </c>
      <c r="G463" s="97"/>
      <c r="H463" s="97"/>
      <c r="I463" s="97"/>
    </row>
    <row r="464" customFormat="false" ht="15.4" hidden="false" customHeight="true" outlineLevel="0" collapsed="false">
      <c r="A464" s="62"/>
      <c r="B464" s="97"/>
      <c r="C464" s="97"/>
      <c r="D464" s="97"/>
      <c r="E464" s="195"/>
      <c r="F464" s="97" t="s">
        <v>466</v>
      </c>
      <c r="G464" s="97"/>
      <c r="H464" s="97"/>
      <c r="I464" s="97"/>
    </row>
    <row r="465" customFormat="false" ht="15.4" hidden="false" customHeight="true" outlineLevel="0" collapsed="false">
      <c r="A465" s="62"/>
      <c r="B465" s="97"/>
      <c r="C465" s="97"/>
      <c r="D465" s="97"/>
      <c r="E465" s="97"/>
      <c r="F465" s="97"/>
      <c r="G465" s="97"/>
      <c r="H465" s="97"/>
      <c r="I465" s="97"/>
    </row>
    <row r="466" customFormat="false" ht="15.4" hidden="false" customHeight="true" outlineLevel="0" collapsed="false">
      <c r="B466" s="212" t="s">
        <v>98</v>
      </c>
      <c r="C466" s="212"/>
      <c r="D466" s="62"/>
      <c r="E466" s="62"/>
      <c r="F466" s="97"/>
      <c r="G466" s="97"/>
      <c r="H466" s="97"/>
      <c r="I466" s="97"/>
    </row>
    <row r="467" customFormat="false" ht="15.4" hidden="false" customHeight="true" outlineLevel="0" collapsed="false">
      <c r="A467" s="62" t="s">
        <v>251</v>
      </c>
      <c r="B467" s="193" t="s">
        <v>467</v>
      </c>
      <c r="C467" s="193"/>
      <c r="D467" s="193"/>
      <c r="E467" s="193"/>
      <c r="F467" s="246"/>
      <c r="G467" s="84"/>
      <c r="H467" s="84"/>
      <c r="I467" s="97"/>
    </row>
    <row r="468" customFormat="false" ht="15.4" hidden="false" customHeight="true" outlineLevel="0" collapsed="false">
      <c r="A468" s="62"/>
      <c r="B468" s="97"/>
      <c r="C468" s="97"/>
      <c r="D468" s="97"/>
      <c r="E468" s="97"/>
      <c r="F468" s="97"/>
      <c r="G468" s="97"/>
      <c r="H468" s="97"/>
      <c r="I468" s="97"/>
    </row>
    <row r="469" customFormat="false" ht="15.4" hidden="false" customHeight="true" outlineLevel="0" collapsed="false">
      <c r="A469" s="62"/>
      <c r="B469" s="247" t="s">
        <v>468</v>
      </c>
      <c r="C469" s="247"/>
      <c r="D469" s="247"/>
      <c r="E469" s="247"/>
      <c r="F469" s="247"/>
      <c r="G469" s="194" t="s">
        <v>253</v>
      </c>
      <c r="H469" s="194" t="s">
        <v>254</v>
      </c>
      <c r="I469" s="97"/>
    </row>
    <row r="470" customFormat="false" ht="15.4" hidden="false" customHeight="true" outlineLevel="0" collapsed="false">
      <c r="A470" s="62"/>
      <c r="B470" s="247"/>
      <c r="C470" s="247"/>
      <c r="D470" s="247"/>
      <c r="E470" s="247"/>
      <c r="F470" s="247"/>
      <c r="G470" s="195"/>
      <c r="H470" s="195"/>
      <c r="I470" s="97"/>
    </row>
    <row r="471" customFormat="false" ht="15.4" hidden="false" customHeight="true" outlineLevel="0" collapsed="false">
      <c r="A471" s="62"/>
      <c r="B471" s="193"/>
      <c r="C471" s="193"/>
      <c r="D471" s="193"/>
      <c r="E471" s="193"/>
      <c r="F471" s="193"/>
      <c r="G471" s="97"/>
      <c r="H471" s="97"/>
      <c r="I471" s="97"/>
    </row>
    <row r="472" customFormat="false" ht="15.4" hidden="false" customHeight="true" outlineLevel="0" collapsed="false">
      <c r="A472" s="62"/>
      <c r="B472" s="193" t="s">
        <v>469</v>
      </c>
      <c r="C472" s="193"/>
      <c r="D472" s="193"/>
      <c r="E472" s="193"/>
      <c r="F472" s="193"/>
      <c r="G472" s="194" t="s">
        <v>253</v>
      </c>
      <c r="H472" s="194" t="s">
        <v>254</v>
      </c>
      <c r="I472" s="97"/>
    </row>
    <row r="473" customFormat="false" ht="15.4" hidden="false" customHeight="true" outlineLevel="0" collapsed="false">
      <c r="A473" s="62"/>
      <c r="B473" s="193"/>
      <c r="C473" s="193"/>
      <c r="D473" s="193"/>
      <c r="E473" s="193"/>
      <c r="F473" s="193"/>
      <c r="G473" s="195"/>
      <c r="H473" s="195"/>
      <c r="I473" s="97"/>
    </row>
    <row r="474" customFormat="false" ht="15.4" hidden="false" customHeight="true" outlineLevel="0" collapsed="false">
      <c r="A474" s="62"/>
      <c r="B474" s="97"/>
      <c r="C474" s="97"/>
      <c r="D474" s="97"/>
      <c r="E474" s="97"/>
      <c r="F474" s="97"/>
      <c r="G474" s="97"/>
      <c r="H474" s="97"/>
      <c r="I474" s="97"/>
    </row>
    <row r="475" customFormat="false" ht="15.4" hidden="false" customHeight="true" outlineLevel="0" collapsed="false">
      <c r="A475" s="62" t="s">
        <v>461</v>
      </c>
      <c r="B475" s="193" t="s">
        <v>470</v>
      </c>
      <c r="C475" s="193"/>
      <c r="D475" s="193"/>
      <c r="E475" s="193"/>
      <c r="F475" s="84"/>
      <c r="G475" s="84"/>
      <c r="H475" s="97"/>
      <c r="I475" s="97"/>
    </row>
    <row r="476" customFormat="false" ht="15.4" hidden="false" customHeight="true" outlineLevel="0" collapsed="false">
      <c r="A476" s="62"/>
      <c r="B476" s="241"/>
      <c r="C476" s="241"/>
      <c r="D476" s="242"/>
      <c r="E476" s="243"/>
      <c r="F476" s="244"/>
      <c r="G476" s="97"/>
      <c r="H476" s="97"/>
      <c r="I476" s="97"/>
    </row>
    <row r="477" customFormat="false" ht="15.4" hidden="false" customHeight="true" outlineLevel="0" collapsed="false">
      <c r="A477" s="62"/>
      <c r="B477" s="245" t="s">
        <v>463</v>
      </c>
      <c r="C477" s="245"/>
      <c r="D477" s="245"/>
      <c r="E477" s="195"/>
      <c r="F477" s="97" t="s">
        <v>464</v>
      </c>
      <c r="G477" s="97"/>
      <c r="H477" s="97"/>
      <c r="I477" s="97"/>
    </row>
    <row r="478" customFormat="false" ht="15.4" hidden="false" customHeight="true" outlineLevel="0" collapsed="false">
      <c r="A478" s="62"/>
      <c r="B478" s="97"/>
      <c r="C478" s="97"/>
      <c r="D478" s="97"/>
      <c r="E478" s="195"/>
      <c r="F478" s="97" t="s">
        <v>465</v>
      </c>
      <c r="G478" s="97"/>
      <c r="H478" s="97"/>
      <c r="I478" s="97"/>
    </row>
    <row r="479" customFormat="false" ht="15.4" hidden="false" customHeight="true" outlineLevel="0" collapsed="false">
      <c r="A479" s="62"/>
      <c r="B479" s="97"/>
      <c r="C479" s="97"/>
      <c r="D479" s="97"/>
      <c r="E479" s="195"/>
      <c r="F479" s="97" t="s">
        <v>466</v>
      </c>
      <c r="G479" s="97"/>
      <c r="H479" s="97"/>
      <c r="I479" s="97"/>
    </row>
    <row r="480" customFormat="false" ht="15.4" hidden="false" customHeight="true" outlineLevel="0" collapsed="false">
      <c r="A480" s="62"/>
      <c r="B480" s="97"/>
      <c r="C480" s="97"/>
      <c r="D480" s="97"/>
      <c r="E480" s="97"/>
      <c r="F480" s="97"/>
      <c r="G480" s="97"/>
      <c r="H480" s="97"/>
      <c r="I480" s="97"/>
    </row>
    <row r="481" customFormat="false" ht="15.4" hidden="false" customHeight="true" outlineLevel="0" collapsed="false">
      <c r="A481" s="62"/>
      <c r="B481" s="212" t="s">
        <v>100</v>
      </c>
      <c r="C481" s="212"/>
      <c r="D481" s="97"/>
      <c r="E481" s="97"/>
      <c r="F481" s="97"/>
      <c r="G481" s="97"/>
      <c r="H481" s="97"/>
      <c r="I481" s="97"/>
    </row>
    <row r="482" customFormat="false" ht="15.4" hidden="false" customHeight="true" outlineLevel="0" collapsed="false">
      <c r="A482" s="62" t="s">
        <v>471</v>
      </c>
      <c r="B482" s="248" t="s">
        <v>472</v>
      </c>
      <c r="C482" s="248"/>
      <c r="D482" s="248"/>
      <c r="E482" s="248"/>
      <c r="F482" s="248"/>
      <c r="G482" s="84"/>
      <c r="H482" s="84"/>
      <c r="I482" s="97"/>
    </row>
    <row r="483" customFormat="false" ht="15.4" hidden="false" customHeight="true" outlineLevel="0" collapsed="false">
      <c r="A483" s="62"/>
      <c r="B483" s="193" t="s">
        <v>473</v>
      </c>
      <c r="C483" s="193"/>
      <c r="D483" s="193"/>
      <c r="E483" s="193"/>
      <c r="F483" s="193"/>
      <c r="G483" s="194" t="s">
        <v>253</v>
      </c>
      <c r="H483" s="194" t="s">
        <v>254</v>
      </c>
      <c r="I483" s="97"/>
    </row>
    <row r="484" customFormat="false" ht="15.4" hidden="false" customHeight="true" outlineLevel="0" collapsed="false">
      <c r="A484" s="62"/>
      <c r="B484" s="193"/>
      <c r="C484" s="193"/>
      <c r="D484" s="193"/>
      <c r="E484" s="193"/>
      <c r="F484" s="193"/>
      <c r="G484" s="195"/>
      <c r="H484" s="195"/>
      <c r="I484" s="97"/>
    </row>
    <row r="485" customFormat="false" ht="15.4" hidden="false" customHeight="true" outlineLevel="0" collapsed="false">
      <c r="A485" s="62"/>
      <c r="B485" s="193"/>
      <c r="C485" s="193"/>
      <c r="D485" s="193"/>
      <c r="E485" s="193"/>
      <c r="F485" s="193"/>
      <c r="G485" s="193"/>
      <c r="H485" s="193"/>
      <c r="I485" s="97"/>
    </row>
    <row r="486" customFormat="false" ht="15.4" hidden="false" customHeight="true" outlineLevel="0" collapsed="false">
      <c r="A486" s="62" t="s">
        <v>471</v>
      </c>
      <c r="B486" s="193" t="s">
        <v>474</v>
      </c>
      <c r="C486" s="193"/>
      <c r="D486" s="193"/>
      <c r="E486" s="193"/>
      <c r="F486" s="193"/>
      <c r="G486" s="194" t="s">
        <v>253</v>
      </c>
      <c r="H486" s="194" t="s">
        <v>254</v>
      </c>
      <c r="I486" s="97"/>
    </row>
    <row r="487" customFormat="false" ht="15.4" hidden="false" customHeight="true" outlineLevel="0" collapsed="false">
      <c r="A487" s="62"/>
      <c r="B487" s="193"/>
      <c r="C487" s="193"/>
      <c r="D487" s="193"/>
      <c r="E487" s="193"/>
      <c r="F487" s="193"/>
      <c r="G487" s="195"/>
      <c r="H487" s="195"/>
      <c r="I487" s="97"/>
    </row>
    <row r="488" customFormat="false" ht="15.4" hidden="false" customHeight="true" outlineLevel="0" collapsed="false">
      <c r="A488" s="62" t="s">
        <v>251</v>
      </c>
      <c r="B488" s="193" t="s">
        <v>475</v>
      </c>
      <c r="C488" s="193"/>
      <c r="D488" s="193"/>
      <c r="E488" s="193"/>
      <c r="F488" s="193"/>
      <c r="G488" s="84"/>
      <c r="H488" s="84"/>
      <c r="I488" s="97"/>
    </row>
    <row r="489" customFormat="false" ht="15.4" hidden="false" customHeight="true" outlineLevel="0" collapsed="false">
      <c r="A489" s="62"/>
      <c r="B489" s="249"/>
      <c r="C489" s="249"/>
      <c r="D489" s="249"/>
      <c r="E489" s="249"/>
      <c r="F489" s="249"/>
      <c r="G489" s="194" t="s">
        <v>253</v>
      </c>
      <c r="H489" s="194" t="s">
        <v>254</v>
      </c>
      <c r="I489" s="97"/>
    </row>
    <row r="490" customFormat="false" ht="15.4" hidden="false" customHeight="true" outlineLevel="0" collapsed="false">
      <c r="A490" s="62"/>
      <c r="B490" s="193" t="s">
        <v>476</v>
      </c>
      <c r="C490" s="193"/>
      <c r="D490" s="193"/>
      <c r="E490" s="193"/>
      <c r="F490" s="193"/>
      <c r="G490" s="195"/>
      <c r="H490" s="195"/>
      <c r="I490" s="97"/>
    </row>
    <row r="491" customFormat="false" ht="15.4" hidden="false" customHeight="true" outlineLevel="0" collapsed="false">
      <c r="A491" s="62"/>
      <c r="B491" s="97"/>
      <c r="C491" s="97"/>
      <c r="D491" s="97"/>
      <c r="E491" s="97"/>
      <c r="F491" s="97"/>
      <c r="G491" s="97"/>
      <c r="H491" s="97"/>
      <c r="I491" s="97"/>
    </row>
    <row r="492" customFormat="false" ht="15.4" hidden="false" customHeight="true" outlineLevel="0" collapsed="false">
      <c r="A492" s="62" t="s">
        <v>461</v>
      </c>
      <c r="B492" s="193" t="s">
        <v>477</v>
      </c>
      <c r="C492" s="193"/>
      <c r="D492" s="193"/>
      <c r="E492" s="193"/>
      <c r="F492" s="193"/>
      <c r="G492" s="250"/>
      <c r="H492" s="62"/>
      <c r="I492" s="97"/>
    </row>
    <row r="493" customFormat="false" ht="15.4" hidden="false" customHeight="true" outlineLevel="0" collapsed="false">
      <c r="A493" s="62"/>
      <c r="B493" s="193"/>
      <c r="C493" s="193"/>
      <c r="D493" s="193"/>
      <c r="E493" s="193"/>
      <c r="F493" s="193"/>
      <c r="G493" s="84"/>
      <c r="H493" s="84"/>
      <c r="I493" s="97"/>
    </row>
    <row r="494" customFormat="false" ht="15.4" hidden="false" customHeight="true" outlineLevel="0" collapsed="false">
      <c r="A494" s="62"/>
      <c r="B494" s="193" t="s">
        <v>478</v>
      </c>
      <c r="C494" s="193"/>
      <c r="D494" s="193"/>
      <c r="E494" s="193"/>
      <c r="F494" s="193"/>
      <c r="G494" s="194" t="s">
        <v>253</v>
      </c>
      <c r="H494" s="194" t="s">
        <v>254</v>
      </c>
      <c r="I494" s="97"/>
    </row>
    <row r="495" customFormat="false" ht="15.4" hidden="false" customHeight="true" outlineLevel="0" collapsed="false">
      <c r="A495" s="62"/>
      <c r="B495" s="193"/>
      <c r="C495" s="193"/>
      <c r="D495" s="193"/>
      <c r="E495" s="193"/>
      <c r="F495" s="193"/>
      <c r="G495" s="195"/>
      <c r="H495" s="195"/>
      <c r="I495" s="97"/>
    </row>
    <row r="496" customFormat="false" ht="15.4" hidden="false" customHeight="true" outlineLevel="0" collapsed="false">
      <c r="A496" s="62"/>
      <c r="B496" s="193" t="s">
        <v>479</v>
      </c>
      <c r="C496" s="193"/>
      <c r="D496" s="193"/>
      <c r="E496" s="193"/>
      <c r="F496" s="193"/>
      <c r="I496" s="97"/>
    </row>
    <row r="497" customFormat="false" ht="15.4" hidden="false" customHeight="true" outlineLevel="0" collapsed="false">
      <c r="A497" s="62"/>
      <c r="B497" s="193"/>
      <c r="C497" s="193"/>
      <c r="D497" s="193"/>
      <c r="E497" s="193"/>
      <c r="F497" s="193"/>
      <c r="G497" s="195"/>
      <c r="H497" s="195"/>
      <c r="I497" s="97"/>
    </row>
    <row r="498" customFormat="false" ht="15.4" hidden="false" customHeight="true" outlineLevel="0" collapsed="false">
      <c r="A498" s="62"/>
      <c r="B498" s="193"/>
      <c r="C498" s="193"/>
      <c r="D498" s="193"/>
      <c r="E498" s="193"/>
      <c r="F498" s="193"/>
      <c r="I498" s="97"/>
    </row>
    <row r="499" customFormat="false" ht="15.4" hidden="false" customHeight="true" outlineLevel="0" collapsed="false">
      <c r="A499" s="62" t="s">
        <v>480</v>
      </c>
      <c r="B499" s="193" t="s">
        <v>481</v>
      </c>
      <c r="C499" s="193"/>
      <c r="D499" s="193"/>
      <c r="E499" s="193"/>
      <c r="F499" s="193"/>
      <c r="G499" s="194" t="s">
        <v>253</v>
      </c>
      <c r="H499" s="194" t="s">
        <v>254</v>
      </c>
      <c r="I499" s="97"/>
    </row>
    <row r="500" customFormat="false" ht="15.4" hidden="false" customHeight="true" outlineLevel="0" collapsed="false">
      <c r="A500" s="62"/>
      <c r="B500" s="193"/>
      <c r="C500" s="193"/>
      <c r="D500" s="193"/>
      <c r="E500" s="193"/>
      <c r="F500" s="193"/>
      <c r="G500" s="195"/>
      <c r="H500" s="195"/>
      <c r="I500" s="97"/>
    </row>
    <row r="501" customFormat="false" ht="15.4" hidden="false" customHeight="true" outlineLevel="0" collapsed="false">
      <c r="I501" s="97"/>
    </row>
    <row r="502" customFormat="false" ht="15.4" hidden="false" customHeight="true" outlineLevel="0" collapsed="false">
      <c r="A502" s="191" t="s">
        <v>482</v>
      </c>
      <c r="B502" s="191"/>
      <c r="C502" s="191"/>
      <c r="D502" s="62"/>
      <c r="E502" s="62"/>
      <c r="F502" s="62"/>
      <c r="G502" s="62"/>
      <c r="H502" s="62"/>
      <c r="I502" s="97"/>
    </row>
    <row r="503" customFormat="false" ht="15.4" hidden="false" customHeight="true" outlineLevel="0" collapsed="false">
      <c r="A503" s="62" t="s">
        <v>483</v>
      </c>
      <c r="B503" s="193" t="s">
        <v>484</v>
      </c>
      <c r="C503" s="193"/>
      <c r="D503" s="193"/>
      <c r="E503" s="193"/>
      <c r="F503" s="193"/>
      <c r="G503" s="97"/>
      <c r="H503" s="97"/>
      <c r="I503" s="97"/>
    </row>
    <row r="504" customFormat="false" ht="15.4" hidden="false" customHeight="true" outlineLevel="0" collapsed="false">
      <c r="A504" s="62"/>
      <c r="B504" s="193"/>
      <c r="C504" s="193"/>
      <c r="D504" s="193"/>
      <c r="E504" s="193"/>
      <c r="F504" s="193"/>
      <c r="G504" s="84"/>
      <c r="H504" s="84"/>
      <c r="I504" s="97"/>
    </row>
    <row r="505" customFormat="false" ht="15.4" hidden="false" customHeight="true" outlineLevel="0" collapsed="false">
      <c r="A505" s="62"/>
      <c r="B505" s="97"/>
      <c r="C505" s="62"/>
      <c r="D505" s="62"/>
      <c r="E505" s="62"/>
      <c r="F505" s="62"/>
      <c r="G505" s="62"/>
      <c r="H505" s="62"/>
      <c r="I505" s="97"/>
    </row>
    <row r="506" customFormat="false" ht="15.4" hidden="false" customHeight="true" outlineLevel="0" collapsed="false">
      <c r="A506" s="62" t="s">
        <v>227</v>
      </c>
      <c r="B506" s="193" t="s">
        <v>485</v>
      </c>
      <c r="C506" s="193"/>
      <c r="D506" s="193"/>
      <c r="E506" s="193"/>
      <c r="F506" s="193"/>
      <c r="G506" s="194" t="s">
        <v>253</v>
      </c>
      <c r="H506" s="194" t="s">
        <v>254</v>
      </c>
      <c r="I506" s="97"/>
    </row>
    <row r="507" customFormat="false" ht="15.4" hidden="false" customHeight="true" outlineLevel="0" collapsed="false">
      <c r="A507" s="62"/>
      <c r="B507" s="193"/>
      <c r="C507" s="193"/>
      <c r="D507" s="193"/>
      <c r="E507" s="193"/>
      <c r="F507" s="193"/>
      <c r="G507" s="195"/>
      <c r="H507" s="195"/>
      <c r="I507" s="97"/>
    </row>
    <row r="508" customFormat="false" ht="15.4" hidden="false" customHeight="true" outlineLevel="0" collapsed="false">
      <c r="A508" s="62"/>
      <c r="B508" s="251" t="s">
        <v>486</v>
      </c>
      <c r="C508" s="84"/>
      <c r="D508" s="84"/>
      <c r="E508" s="84"/>
      <c r="F508" s="84"/>
      <c r="G508" s="84"/>
      <c r="H508" s="84"/>
      <c r="I508" s="97"/>
    </row>
    <row r="509" customFormat="false" ht="15.4" hidden="false" customHeight="true" outlineLevel="0" collapsed="false">
      <c r="A509" s="62"/>
      <c r="B509" s="97"/>
      <c r="C509" s="84"/>
      <c r="D509" s="84"/>
      <c r="E509" s="84"/>
      <c r="F509" s="84"/>
      <c r="G509" s="84"/>
      <c r="H509" s="84"/>
      <c r="I509" s="97"/>
    </row>
    <row r="510" customFormat="false" ht="15.4" hidden="false" customHeight="true" outlineLevel="0" collapsed="false">
      <c r="A510" s="62"/>
      <c r="B510" s="97"/>
      <c r="C510" s="97"/>
      <c r="D510" s="97"/>
      <c r="E510" s="97"/>
      <c r="F510" s="97"/>
      <c r="G510" s="97"/>
      <c r="H510" s="97"/>
      <c r="I510" s="97"/>
    </row>
    <row r="511" customFormat="false" ht="15.4" hidden="false" customHeight="true" outlineLevel="0" collapsed="false">
      <c r="A511" s="62" t="s">
        <v>257</v>
      </c>
      <c r="B511" s="193" t="s">
        <v>487</v>
      </c>
      <c r="C511" s="193"/>
      <c r="D511" s="193"/>
      <c r="E511" s="193"/>
      <c r="F511" s="193"/>
      <c r="G511" s="194" t="s">
        <v>253</v>
      </c>
      <c r="H511" s="194" t="s">
        <v>254</v>
      </c>
      <c r="I511" s="97"/>
    </row>
    <row r="512" customFormat="false" ht="15.4" hidden="false" customHeight="true" outlineLevel="0" collapsed="false">
      <c r="A512" s="62"/>
      <c r="B512" s="193"/>
      <c r="C512" s="193"/>
      <c r="D512" s="193"/>
      <c r="E512" s="193"/>
      <c r="F512" s="193"/>
      <c r="G512" s="195"/>
      <c r="H512" s="195"/>
      <c r="I512" s="97"/>
    </row>
    <row r="513" customFormat="false" ht="15.4" hidden="false" customHeight="true" outlineLevel="0" collapsed="false">
      <c r="A513" s="62"/>
      <c r="B513" s="97"/>
      <c r="C513" s="97"/>
      <c r="D513" s="97"/>
      <c r="E513" s="97"/>
      <c r="F513" s="97"/>
      <c r="G513" s="97"/>
      <c r="H513" s="97"/>
      <c r="I513" s="97"/>
    </row>
    <row r="514" customFormat="false" ht="15.4" hidden="false" customHeight="true" outlineLevel="0" collapsed="false">
      <c r="A514" s="191" t="s">
        <v>488</v>
      </c>
      <c r="B514" s="191"/>
      <c r="C514" s="191"/>
      <c r="D514" s="97"/>
      <c r="E514" s="97"/>
      <c r="F514" s="97"/>
      <c r="G514" s="97"/>
      <c r="H514" s="97"/>
      <c r="I514" s="97"/>
    </row>
    <row r="515" customFormat="false" ht="15.4" hidden="false" customHeight="true" outlineLevel="0" collapsed="false">
      <c r="A515" s="62" t="s">
        <v>267</v>
      </c>
      <c r="B515" s="245" t="s">
        <v>489</v>
      </c>
      <c r="C515" s="245"/>
      <c r="D515" s="245"/>
      <c r="E515" s="245"/>
      <c r="F515" s="195"/>
      <c r="G515" s="97" t="s">
        <v>490</v>
      </c>
      <c r="H515" s="97"/>
      <c r="I515" s="97"/>
    </row>
    <row r="516" customFormat="false" ht="15.4" hidden="false" customHeight="true" outlineLevel="0" collapsed="false">
      <c r="A516" s="62"/>
      <c r="B516" s="245"/>
      <c r="C516" s="245"/>
      <c r="D516" s="245"/>
      <c r="E516" s="245"/>
      <c r="F516" s="195"/>
      <c r="G516" s="97" t="s">
        <v>491</v>
      </c>
      <c r="H516" s="97"/>
      <c r="I516" s="97"/>
    </row>
    <row r="517" customFormat="false" ht="15.4" hidden="false" customHeight="true" outlineLevel="0" collapsed="false">
      <c r="A517" s="62"/>
      <c r="B517" s="97"/>
      <c r="C517" s="97"/>
      <c r="D517" s="97"/>
      <c r="E517" s="97"/>
      <c r="F517" s="195"/>
      <c r="G517" s="97" t="s">
        <v>492</v>
      </c>
      <c r="H517" s="97"/>
      <c r="I517" s="97"/>
    </row>
    <row r="518" customFormat="false" ht="15.4" hidden="false" customHeight="true" outlineLevel="0" collapsed="false">
      <c r="A518" s="62"/>
      <c r="B518" s="97"/>
      <c r="C518" s="97"/>
      <c r="D518" s="97"/>
      <c r="E518" s="97"/>
      <c r="F518" s="97"/>
      <c r="G518" s="97"/>
      <c r="H518" s="97"/>
      <c r="I518" s="97"/>
    </row>
    <row r="519" customFormat="false" ht="15.4" hidden="false" customHeight="true" outlineLevel="0" collapsed="false">
      <c r="A519" s="62"/>
      <c r="B519" s="97"/>
      <c r="C519" s="97"/>
      <c r="D519" s="97"/>
      <c r="E519" s="97"/>
      <c r="F519" s="97"/>
      <c r="G519" s="194" t="s">
        <v>253</v>
      </c>
      <c r="H519" s="194" t="s">
        <v>254</v>
      </c>
      <c r="I519" s="97"/>
    </row>
    <row r="520" customFormat="false" ht="15.4" hidden="false" customHeight="true" outlineLevel="0" collapsed="false">
      <c r="A520" s="62" t="s">
        <v>493</v>
      </c>
      <c r="B520" s="198" t="s">
        <v>494</v>
      </c>
      <c r="C520" s="198"/>
      <c r="D520" s="198"/>
      <c r="E520" s="198"/>
      <c r="F520" s="198"/>
      <c r="G520" s="195"/>
      <c r="H520" s="195"/>
      <c r="I520" s="97"/>
    </row>
    <row r="521" customFormat="false" ht="15.4" hidden="false" customHeight="true" outlineLevel="0" collapsed="false">
      <c r="A521" s="62"/>
      <c r="B521" s="97"/>
      <c r="C521" s="97"/>
      <c r="D521" s="97"/>
      <c r="E521" s="97"/>
      <c r="F521" s="97"/>
      <c r="G521" s="97"/>
      <c r="H521" s="97"/>
      <c r="I521" s="97"/>
    </row>
    <row r="522" customFormat="false" ht="15.4" hidden="false" customHeight="true" outlineLevel="0" collapsed="false">
      <c r="A522" s="62" t="s">
        <v>260</v>
      </c>
      <c r="B522" s="193" t="s">
        <v>495</v>
      </c>
      <c r="C522" s="193"/>
      <c r="D522" s="193"/>
      <c r="E522" s="193"/>
      <c r="F522" s="193"/>
      <c r="G522" s="194" t="s">
        <v>253</v>
      </c>
      <c r="H522" s="194" t="s">
        <v>254</v>
      </c>
      <c r="I522" s="97"/>
    </row>
    <row r="523" customFormat="false" ht="15.4" hidden="false" customHeight="true" outlineLevel="0" collapsed="false">
      <c r="A523" s="62"/>
      <c r="B523" s="193"/>
      <c r="C523" s="193"/>
      <c r="D523" s="193"/>
      <c r="E523" s="193"/>
      <c r="F523" s="193"/>
      <c r="G523" s="195"/>
      <c r="H523" s="195"/>
      <c r="I523" s="97"/>
    </row>
    <row r="524" customFormat="false" ht="15.4" hidden="false" customHeight="true" outlineLevel="0" collapsed="false">
      <c r="A524" s="62"/>
      <c r="I524" s="97"/>
    </row>
    <row r="525" customFormat="false" ht="15.4" hidden="false" customHeight="true" outlineLevel="0" collapsed="false">
      <c r="A525" s="62" t="s">
        <v>260</v>
      </c>
      <c r="B525" s="193" t="s">
        <v>496</v>
      </c>
      <c r="C525" s="193"/>
      <c r="D525" s="193"/>
      <c r="E525" s="193"/>
      <c r="F525" s="193"/>
      <c r="G525" s="194"/>
      <c r="H525" s="194"/>
      <c r="I525" s="97"/>
    </row>
    <row r="526" customFormat="false" ht="15.4" hidden="false" customHeight="true" outlineLevel="0" collapsed="false">
      <c r="B526" s="193"/>
      <c r="C526" s="193"/>
      <c r="D526" s="193"/>
      <c r="E526" s="193"/>
      <c r="F526" s="193"/>
      <c r="G526" s="194" t="s">
        <v>253</v>
      </c>
      <c r="H526" s="194" t="s">
        <v>254</v>
      </c>
      <c r="I526" s="97"/>
    </row>
    <row r="527" customFormat="false" ht="15.4" hidden="false" customHeight="true" outlineLevel="0" collapsed="false">
      <c r="A527" s="62"/>
      <c r="B527" s="252" t="s">
        <v>497</v>
      </c>
      <c r="C527" s="252"/>
      <c r="D527" s="252"/>
      <c r="E527" s="252"/>
      <c r="F527" s="252"/>
      <c r="G527" s="195"/>
      <c r="H527" s="195"/>
      <c r="I527" s="97"/>
    </row>
    <row r="528" customFormat="false" ht="15.4" hidden="false" customHeight="true" outlineLevel="0" collapsed="false">
      <c r="B528" s="252" t="s">
        <v>498</v>
      </c>
      <c r="C528" s="252"/>
      <c r="D528" s="252"/>
      <c r="E528" s="252"/>
      <c r="F528" s="252"/>
      <c r="G528" s="195"/>
      <c r="H528" s="195"/>
      <c r="I528" s="97"/>
    </row>
    <row r="529" customFormat="false" ht="15.4" hidden="false" customHeight="true" outlineLevel="0" collapsed="false">
      <c r="B529" s="252" t="s">
        <v>499</v>
      </c>
      <c r="C529" s="252"/>
      <c r="D529" s="252"/>
      <c r="E529" s="252"/>
      <c r="F529" s="252"/>
      <c r="G529" s="195"/>
      <c r="H529" s="195"/>
      <c r="I529" s="97"/>
    </row>
    <row r="530" customFormat="false" ht="15.4" hidden="false" customHeight="true" outlineLevel="0" collapsed="false">
      <c r="A530" s="62"/>
      <c r="B530" s="252" t="s">
        <v>500</v>
      </c>
      <c r="C530" s="252"/>
      <c r="D530" s="252"/>
      <c r="E530" s="252"/>
      <c r="F530" s="252"/>
      <c r="G530" s="195"/>
      <c r="H530" s="195"/>
      <c r="I530" s="97"/>
    </row>
    <row r="531" customFormat="false" ht="15.4" hidden="false" customHeight="true" outlineLevel="0" collapsed="false">
      <c r="A531" s="62"/>
      <c r="B531" s="196"/>
      <c r="C531" s="196"/>
      <c r="D531" s="196"/>
      <c r="E531" s="196"/>
      <c r="F531" s="196"/>
      <c r="I531" s="97"/>
    </row>
    <row r="532" customFormat="false" ht="15.4" hidden="false" customHeight="true" outlineLevel="0" collapsed="false">
      <c r="A532" s="62" t="s">
        <v>271</v>
      </c>
      <c r="B532" s="196" t="s">
        <v>501</v>
      </c>
      <c r="C532" s="196"/>
      <c r="D532" s="196"/>
      <c r="E532" s="196"/>
      <c r="F532" s="196"/>
      <c r="I532" s="97"/>
    </row>
    <row r="533" customFormat="false" ht="15.4" hidden="false" customHeight="true" outlineLevel="0" collapsed="false">
      <c r="A533" s="62"/>
      <c r="B533" s="196"/>
      <c r="C533" s="196"/>
      <c r="D533" s="196"/>
      <c r="E533" s="196"/>
      <c r="F533" s="196"/>
      <c r="G533" s="253"/>
      <c r="H533" s="253"/>
      <c r="I533" s="97"/>
    </row>
    <row r="534" customFormat="false" ht="15.4" hidden="false" customHeight="true" outlineLevel="0" collapsed="false">
      <c r="A534" s="62"/>
      <c r="B534" s="196"/>
      <c r="C534" s="196"/>
      <c r="D534" s="196"/>
      <c r="E534" s="196"/>
      <c r="F534" s="196"/>
      <c r="G534" s="196"/>
      <c r="H534" s="196"/>
      <c r="I534" s="97"/>
    </row>
    <row r="535" customFormat="false" ht="15.4" hidden="false" customHeight="true" outlineLevel="0" collapsed="false">
      <c r="A535" s="62"/>
      <c r="B535" s="196"/>
      <c r="C535" s="196"/>
      <c r="D535" s="196"/>
      <c r="E535" s="196"/>
      <c r="F535" s="196"/>
      <c r="G535" s="196"/>
      <c r="H535" s="196"/>
      <c r="I535" s="97"/>
    </row>
    <row r="536" customFormat="false" ht="15.4" hidden="false" customHeight="true" outlineLevel="0" collapsed="false">
      <c r="A536" s="62"/>
      <c r="B536" s="196"/>
      <c r="C536" s="196"/>
      <c r="D536" s="196"/>
      <c r="E536" s="196"/>
      <c r="F536" s="196"/>
      <c r="G536" s="196"/>
      <c r="H536" s="196"/>
      <c r="I536" s="97"/>
    </row>
    <row r="537" customFormat="false" ht="15.4" hidden="false" customHeight="true" outlineLevel="0" collapsed="false">
      <c r="A537" s="62"/>
      <c r="B537" s="212" t="s">
        <v>502</v>
      </c>
      <c r="C537" s="212"/>
      <c r="D537" s="212"/>
      <c r="E537" s="193"/>
      <c r="F537" s="193"/>
      <c r="G537" s="97"/>
      <c r="H537" s="97"/>
      <c r="I537" s="97"/>
    </row>
    <row r="538" customFormat="false" ht="15.4" hidden="false" customHeight="true" outlineLevel="0" collapsed="false">
      <c r="A538" s="62"/>
      <c r="B538" s="97"/>
      <c r="C538" s="97"/>
      <c r="D538" s="97"/>
      <c r="E538" s="97"/>
      <c r="F538" s="97"/>
      <c r="G538" s="97"/>
      <c r="H538" s="97"/>
      <c r="I538" s="97"/>
    </row>
    <row r="539" customFormat="false" ht="15.4" hidden="false" customHeight="true" outlineLevel="0" collapsed="false">
      <c r="A539" s="254" t="s">
        <v>503</v>
      </c>
      <c r="B539" s="254"/>
      <c r="C539" s="255" t="s">
        <v>504</v>
      </c>
      <c r="D539" s="255"/>
      <c r="E539" s="256" t="s">
        <v>505</v>
      </c>
      <c r="F539" s="257" t="s">
        <v>506</v>
      </c>
      <c r="G539" s="258" t="s">
        <v>507</v>
      </c>
      <c r="H539" s="257" t="s">
        <v>508</v>
      </c>
      <c r="I539" s="258" t="s">
        <v>509</v>
      </c>
    </row>
    <row r="540" customFormat="false" ht="35.45" hidden="false" customHeight="true" outlineLevel="0" collapsed="false">
      <c r="A540" s="254"/>
      <c r="B540" s="254"/>
      <c r="C540" s="255"/>
      <c r="D540" s="255"/>
      <c r="E540" s="259" t="s">
        <v>510</v>
      </c>
      <c r="F540" s="257"/>
      <c r="G540" s="258"/>
      <c r="H540" s="257"/>
      <c r="I540" s="258"/>
    </row>
    <row r="541" customFormat="false" ht="15.4" hidden="false" customHeight="true" outlineLevel="0" collapsed="false">
      <c r="A541" s="260"/>
      <c r="B541" s="260"/>
      <c r="C541" s="261"/>
      <c r="D541" s="261"/>
      <c r="E541" s="262"/>
      <c r="F541" s="263"/>
      <c r="G541" s="264"/>
      <c r="H541" s="263"/>
      <c r="I541" s="264"/>
    </row>
    <row r="542" customFormat="false" ht="15.4" hidden="false" customHeight="true" outlineLevel="0" collapsed="false">
      <c r="A542" s="260"/>
      <c r="B542" s="260"/>
      <c r="C542" s="261"/>
      <c r="D542" s="261"/>
      <c r="E542" s="262"/>
      <c r="F542" s="265"/>
      <c r="G542" s="262"/>
      <c r="H542" s="265"/>
      <c r="I542" s="262"/>
    </row>
    <row r="543" customFormat="false" ht="15.4" hidden="false" customHeight="true" outlineLevel="0" collapsed="false">
      <c r="A543" s="260"/>
      <c r="B543" s="260"/>
      <c r="C543" s="261"/>
      <c r="D543" s="261"/>
      <c r="E543" s="262"/>
      <c r="F543" s="265"/>
      <c r="G543" s="262"/>
      <c r="H543" s="265"/>
      <c r="I543" s="262"/>
    </row>
    <row r="544" customFormat="false" ht="15.4" hidden="false" customHeight="true" outlineLevel="0" collapsed="false">
      <c r="A544" s="260"/>
      <c r="B544" s="260"/>
      <c r="C544" s="261"/>
      <c r="D544" s="261"/>
      <c r="E544" s="262"/>
      <c r="F544" s="265"/>
      <c r="G544" s="262"/>
      <c r="H544" s="265"/>
      <c r="I544" s="262"/>
    </row>
    <row r="545" customFormat="false" ht="15.4" hidden="false" customHeight="true" outlineLevel="0" collapsed="false">
      <c r="A545" s="260"/>
      <c r="B545" s="260"/>
      <c r="C545" s="261"/>
      <c r="D545" s="261"/>
      <c r="E545" s="262"/>
      <c r="F545" s="265"/>
      <c r="G545" s="262"/>
      <c r="H545" s="265"/>
      <c r="I545" s="262"/>
    </row>
    <row r="546" customFormat="false" ht="15.4" hidden="false" customHeight="true" outlineLevel="0" collapsed="false">
      <c r="A546" s="260"/>
      <c r="B546" s="260"/>
      <c r="C546" s="261"/>
      <c r="D546" s="261"/>
      <c r="E546" s="262"/>
      <c r="F546" s="265"/>
      <c r="G546" s="262"/>
      <c r="H546" s="265"/>
      <c r="I546" s="262"/>
    </row>
    <row r="547" customFormat="false" ht="15.4" hidden="false" customHeight="true" outlineLevel="0" collapsed="false">
      <c r="A547" s="260"/>
      <c r="B547" s="260"/>
      <c r="C547" s="261"/>
      <c r="D547" s="261"/>
      <c r="E547" s="262"/>
      <c r="F547" s="265"/>
      <c r="G547" s="262"/>
      <c r="H547" s="265"/>
      <c r="I547" s="262"/>
    </row>
    <row r="548" customFormat="false" ht="15.4" hidden="false" customHeight="true" outlineLevel="0" collapsed="false">
      <c r="A548" s="260"/>
      <c r="B548" s="260"/>
      <c r="C548" s="261"/>
      <c r="D548" s="261"/>
      <c r="E548" s="262"/>
      <c r="F548" s="265"/>
      <c r="G548" s="262"/>
      <c r="H548" s="265"/>
      <c r="I548" s="262"/>
    </row>
    <row r="549" customFormat="false" ht="15.4" hidden="false" customHeight="true" outlineLevel="0" collapsed="false">
      <c r="A549" s="260"/>
      <c r="B549" s="260"/>
      <c r="C549" s="261"/>
      <c r="D549" s="261"/>
      <c r="E549" s="262"/>
      <c r="F549" s="265"/>
      <c r="G549" s="262"/>
      <c r="H549" s="265"/>
      <c r="I549" s="262"/>
    </row>
    <row r="550" customFormat="false" ht="15.4" hidden="false" customHeight="true" outlineLevel="0" collapsed="false">
      <c r="A550" s="266"/>
      <c r="B550" s="267"/>
      <c r="C550" s="266"/>
      <c r="D550" s="268"/>
      <c r="E550" s="262"/>
      <c r="F550" s="265"/>
      <c r="G550" s="262"/>
      <c r="H550" s="265"/>
      <c r="I550" s="262"/>
    </row>
    <row r="551" customFormat="false" ht="15.4" hidden="false" customHeight="true" outlineLevel="0" collapsed="false">
      <c r="A551" s="266"/>
      <c r="B551" s="267"/>
      <c r="C551" s="266"/>
      <c r="D551" s="268"/>
      <c r="E551" s="262"/>
      <c r="F551" s="265"/>
      <c r="G551" s="262"/>
      <c r="H551" s="265"/>
      <c r="I551" s="262"/>
    </row>
    <row r="552" customFormat="false" ht="15.4" hidden="false" customHeight="true" outlineLevel="0" collapsed="false">
      <c r="A552" s="266"/>
      <c r="B552" s="267"/>
      <c r="C552" s="266"/>
      <c r="D552" s="268"/>
      <c r="E552" s="262"/>
      <c r="F552" s="265"/>
      <c r="G552" s="262"/>
      <c r="H552" s="265"/>
      <c r="I552" s="262"/>
    </row>
    <row r="553" customFormat="false" ht="15.4" hidden="false" customHeight="true" outlineLevel="0" collapsed="false">
      <c r="A553" s="266"/>
      <c r="B553" s="267"/>
      <c r="C553" s="266"/>
      <c r="D553" s="268"/>
      <c r="E553" s="262"/>
      <c r="F553" s="265"/>
      <c r="G553" s="262"/>
      <c r="H553" s="265"/>
      <c r="I553" s="262"/>
    </row>
    <row r="554" customFormat="false" ht="15.4" hidden="false" customHeight="true" outlineLevel="0" collapsed="false">
      <c r="A554" s="266"/>
      <c r="B554" s="267"/>
      <c r="C554" s="266"/>
      <c r="D554" s="268"/>
      <c r="E554" s="262"/>
      <c r="F554" s="265"/>
      <c r="G554" s="262"/>
      <c r="H554" s="265"/>
      <c r="I554" s="262"/>
    </row>
    <row r="555" customFormat="false" ht="15.4" hidden="false" customHeight="true" outlineLevel="0" collapsed="false">
      <c r="A555" s="266"/>
      <c r="B555" s="267"/>
      <c r="C555" s="266"/>
      <c r="D555" s="268"/>
      <c r="E555" s="262"/>
      <c r="F555" s="265"/>
      <c r="G555" s="262"/>
      <c r="H555" s="265"/>
      <c r="I555" s="262"/>
    </row>
    <row r="556" customFormat="false" ht="15.4" hidden="false" customHeight="true" outlineLevel="0" collapsed="false">
      <c r="A556" s="266"/>
      <c r="B556" s="267"/>
      <c r="C556" s="266"/>
      <c r="D556" s="268"/>
      <c r="E556" s="262"/>
      <c r="F556" s="265"/>
      <c r="G556" s="262"/>
      <c r="H556" s="265"/>
      <c r="I556" s="262"/>
    </row>
    <row r="557" customFormat="false" ht="15.4" hidden="false" customHeight="true" outlineLevel="0" collapsed="false">
      <c r="A557" s="266"/>
      <c r="B557" s="267"/>
      <c r="C557" s="266"/>
      <c r="D557" s="268"/>
      <c r="E557" s="262"/>
      <c r="F557" s="265"/>
      <c r="G557" s="262"/>
      <c r="H557" s="265"/>
      <c r="I557" s="262"/>
    </row>
    <row r="558" customFormat="false" ht="15.4" hidden="false" customHeight="true" outlineLevel="0" collapsed="false">
      <c r="A558" s="266"/>
      <c r="B558" s="267"/>
      <c r="C558" s="266"/>
      <c r="D558" s="268"/>
      <c r="E558" s="262"/>
      <c r="F558" s="265"/>
      <c r="G558" s="262"/>
      <c r="H558" s="265"/>
      <c r="I558" s="262"/>
    </row>
    <row r="559" customFormat="false" ht="15.4" hidden="false" customHeight="true" outlineLevel="0" collapsed="false">
      <c r="A559" s="266"/>
      <c r="B559" s="267"/>
      <c r="C559" s="266"/>
      <c r="D559" s="268"/>
      <c r="E559" s="262"/>
      <c r="F559" s="265"/>
      <c r="G559" s="262"/>
      <c r="H559" s="265"/>
      <c r="I559" s="262"/>
    </row>
    <row r="560" customFormat="false" ht="15.4" hidden="false" customHeight="true" outlineLevel="0" collapsed="false">
      <c r="A560" s="266"/>
      <c r="B560" s="267"/>
      <c r="C560" s="266"/>
      <c r="D560" s="268"/>
      <c r="E560" s="262"/>
      <c r="F560" s="265"/>
      <c r="G560" s="262"/>
      <c r="H560" s="265"/>
      <c r="I560" s="262"/>
    </row>
    <row r="561" customFormat="false" ht="15.4" hidden="false" customHeight="true" outlineLevel="0" collapsed="false">
      <c r="A561" s="266"/>
      <c r="B561" s="267"/>
      <c r="C561" s="266"/>
      <c r="D561" s="268"/>
      <c r="E561" s="262"/>
      <c r="F561" s="265"/>
      <c r="G561" s="262"/>
      <c r="H561" s="265"/>
      <c r="I561" s="262"/>
    </row>
    <row r="562" customFormat="false" ht="15.4" hidden="false" customHeight="true" outlineLevel="0" collapsed="false">
      <c r="A562" s="266"/>
      <c r="B562" s="267"/>
      <c r="C562" s="266"/>
      <c r="D562" s="268"/>
      <c r="E562" s="262"/>
      <c r="F562" s="265"/>
      <c r="G562" s="262"/>
      <c r="H562" s="265"/>
      <c r="I562" s="262"/>
    </row>
    <row r="563" customFormat="false" ht="15.4" hidden="false" customHeight="true" outlineLevel="0" collapsed="false">
      <c r="A563" s="266"/>
      <c r="B563" s="267"/>
      <c r="C563" s="266"/>
      <c r="D563" s="268"/>
      <c r="E563" s="262"/>
      <c r="F563" s="265"/>
      <c r="G563" s="262"/>
      <c r="H563" s="265"/>
      <c r="I563" s="262"/>
    </row>
    <row r="564" customFormat="false" ht="15.4" hidden="false" customHeight="true" outlineLevel="0" collapsed="false">
      <c r="A564" s="266"/>
      <c r="B564" s="267"/>
      <c r="C564" s="266"/>
      <c r="D564" s="268"/>
      <c r="E564" s="262"/>
      <c r="F564" s="265"/>
      <c r="G564" s="262"/>
      <c r="H564" s="265"/>
      <c r="I564" s="262"/>
    </row>
    <row r="565" customFormat="false" ht="15.4" hidden="false" customHeight="true" outlineLevel="0" collapsed="false">
      <c r="A565" s="266"/>
      <c r="B565" s="267"/>
      <c r="C565" s="266"/>
      <c r="D565" s="268"/>
      <c r="E565" s="262"/>
      <c r="F565" s="265"/>
      <c r="G565" s="262"/>
      <c r="H565" s="265"/>
      <c r="I565" s="262"/>
    </row>
    <row r="566" customFormat="false" ht="15.4" hidden="false" customHeight="true" outlineLevel="0" collapsed="false">
      <c r="A566" s="266"/>
      <c r="B566" s="267"/>
      <c r="C566" s="266"/>
      <c r="D566" s="268"/>
      <c r="E566" s="262"/>
      <c r="F566" s="265"/>
      <c r="G566" s="262"/>
      <c r="H566" s="265"/>
      <c r="I566" s="262"/>
    </row>
    <row r="567" customFormat="false" ht="15.4" hidden="false" customHeight="true" outlineLevel="0" collapsed="false">
      <c r="A567" s="266"/>
      <c r="B567" s="267"/>
      <c r="C567" s="266"/>
      <c r="D567" s="268"/>
      <c r="E567" s="262"/>
      <c r="F567" s="265"/>
      <c r="G567" s="262"/>
      <c r="H567" s="265"/>
      <c r="I567" s="262"/>
    </row>
    <row r="568" customFormat="false" ht="15.4" hidden="false" customHeight="true" outlineLevel="0" collapsed="false">
      <c r="A568" s="266"/>
      <c r="B568" s="267"/>
      <c r="C568" s="266"/>
      <c r="D568" s="268"/>
      <c r="E568" s="262"/>
      <c r="F568" s="265"/>
      <c r="G568" s="262"/>
      <c r="H568" s="265"/>
      <c r="I568" s="262"/>
    </row>
    <row r="569" customFormat="false" ht="15.4" hidden="false" customHeight="true" outlineLevel="0" collapsed="false">
      <c r="A569" s="266"/>
      <c r="B569" s="267"/>
      <c r="C569" s="266"/>
      <c r="D569" s="268"/>
      <c r="E569" s="262"/>
      <c r="F569" s="265"/>
      <c r="G569" s="262"/>
      <c r="H569" s="265"/>
      <c r="I569" s="262"/>
    </row>
    <row r="570" customFormat="false" ht="15.4" hidden="false" customHeight="true" outlineLevel="0" collapsed="false">
      <c r="A570" s="266"/>
      <c r="B570" s="267"/>
      <c r="C570" s="266"/>
      <c r="D570" s="268"/>
      <c r="E570" s="262"/>
      <c r="F570" s="265"/>
      <c r="G570" s="262"/>
      <c r="H570" s="265"/>
      <c r="I570" s="262"/>
    </row>
    <row r="571" customFormat="false" ht="15.4" hidden="false" customHeight="true" outlineLevel="0" collapsed="false">
      <c r="A571" s="266"/>
      <c r="B571" s="267"/>
      <c r="C571" s="266"/>
      <c r="D571" s="268"/>
      <c r="E571" s="262"/>
      <c r="F571" s="265"/>
      <c r="G571" s="262"/>
      <c r="H571" s="265"/>
      <c r="I571" s="262"/>
    </row>
    <row r="572" customFormat="false" ht="15.4" hidden="false" customHeight="true" outlineLevel="0" collapsed="false">
      <c r="A572" s="266"/>
      <c r="B572" s="267"/>
      <c r="C572" s="266"/>
      <c r="D572" s="268"/>
      <c r="E572" s="262"/>
      <c r="F572" s="265"/>
      <c r="G572" s="262"/>
      <c r="H572" s="265"/>
      <c r="I572" s="262"/>
    </row>
    <row r="573" customFormat="false" ht="15.4" hidden="false" customHeight="true" outlineLevel="0" collapsed="false">
      <c r="A573" s="266"/>
      <c r="B573" s="267"/>
      <c r="C573" s="266"/>
      <c r="D573" s="268"/>
      <c r="E573" s="262"/>
      <c r="F573" s="265"/>
      <c r="G573" s="262"/>
      <c r="H573" s="265"/>
      <c r="I573" s="262"/>
    </row>
    <row r="574" customFormat="false" ht="15.4" hidden="false" customHeight="true" outlineLevel="0" collapsed="false">
      <c r="A574" s="266"/>
      <c r="B574" s="267"/>
      <c r="C574" s="266"/>
      <c r="D574" s="268"/>
      <c r="E574" s="262"/>
      <c r="F574" s="265"/>
      <c r="G574" s="262"/>
      <c r="H574" s="265"/>
      <c r="I574" s="262"/>
    </row>
    <row r="575" customFormat="false" ht="15.4" hidden="false" customHeight="true" outlineLevel="0" collapsed="false">
      <c r="A575" s="266"/>
      <c r="B575" s="267"/>
      <c r="C575" s="266"/>
      <c r="D575" s="268"/>
      <c r="E575" s="262"/>
      <c r="F575" s="265"/>
      <c r="G575" s="262"/>
      <c r="H575" s="265"/>
      <c r="I575" s="262"/>
    </row>
    <row r="576" customFormat="false" ht="15.4" hidden="false" customHeight="true" outlineLevel="0" collapsed="false">
      <c r="A576" s="266"/>
      <c r="B576" s="267"/>
      <c r="C576" s="266"/>
      <c r="D576" s="268"/>
      <c r="E576" s="262"/>
      <c r="F576" s="265"/>
      <c r="G576" s="262"/>
      <c r="H576" s="265"/>
      <c r="I576" s="262"/>
    </row>
    <row r="577" customFormat="false" ht="15.4" hidden="false" customHeight="true" outlineLevel="0" collapsed="false">
      <c r="A577" s="266"/>
      <c r="B577" s="267"/>
      <c r="C577" s="266"/>
      <c r="D577" s="268"/>
      <c r="E577" s="262"/>
      <c r="F577" s="265"/>
      <c r="G577" s="262"/>
      <c r="H577" s="265"/>
      <c r="I577" s="262"/>
    </row>
    <row r="578" customFormat="false" ht="15.4" hidden="false" customHeight="true" outlineLevel="0" collapsed="false">
      <c r="A578" s="266"/>
      <c r="B578" s="267"/>
      <c r="C578" s="266"/>
      <c r="D578" s="268"/>
      <c r="E578" s="262"/>
      <c r="F578" s="265"/>
      <c r="G578" s="262"/>
      <c r="H578" s="265"/>
      <c r="I578" s="262"/>
    </row>
    <row r="579" customFormat="false" ht="15.4" hidden="false" customHeight="true" outlineLevel="0" collapsed="false">
      <c r="A579" s="266"/>
      <c r="B579" s="267"/>
      <c r="C579" s="266"/>
      <c r="D579" s="268"/>
      <c r="E579" s="262"/>
      <c r="F579" s="265"/>
      <c r="G579" s="262"/>
      <c r="H579" s="265"/>
      <c r="I579" s="262"/>
    </row>
    <row r="580" customFormat="false" ht="15.4" hidden="false" customHeight="true" outlineLevel="0" collapsed="false">
      <c r="A580" s="266"/>
      <c r="B580" s="267"/>
      <c r="C580" s="266"/>
      <c r="D580" s="268"/>
      <c r="E580" s="262"/>
      <c r="F580" s="265"/>
      <c r="G580" s="262"/>
      <c r="H580" s="265"/>
      <c r="I580" s="262"/>
    </row>
    <row r="581" customFormat="false" ht="15.4" hidden="false" customHeight="true" outlineLevel="0" collapsed="false">
      <c r="A581" s="266"/>
      <c r="B581" s="267"/>
      <c r="C581" s="266"/>
      <c r="D581" s="268"/>
      <c r="E581" s="262"/>
      <c r="F581" s="265"/>
      <c r="G581" s="262"/>
      <c r="H581" s="265"/>
      <c r="I581" s="262"/>
    </row>
    <row r="582" customFormat="false" ht="15.4" hidden="false" customHeight="true" outlineLevel="0" collapsed="false">
      <c r="A582" s="266"/>
      <c r="B582" s="267"/>
      <c r="C582" s="266"/>
      <c r="D582" s="268"/>
      <c r="E582" s="262"/>
      <c r="F582" s="265"/>
      <c r="G582" s="262"/>
      <c r="H582" s="265"/>
      <c r="I582" s="262"/>
    </row>
    <row r="583" customFormat="false" ht="15.4" hidden="false" customHeight="true" outlineLevel="0" collapsed="false">
      <c r="A583" s="266"/>
      <c r="B583" s="267"/>
      <c r="C583" s="266"/>
      <c r="D583" s="268"/>
      <c r="E583" s="262"/>
      <c r="F583" s="265"/>
      <c r="G583" s="262"/>
      <c r="H583" s="265"/>
      <c r="I583" s="262"/>
    </row>
    <row r="584" customFormat="false" ht="15.4" hidden="false" customHeight="true" outlineLevel="0" collapsed="false">
      <c r="A584" s="269" t="s">
        <v>511</v>
      </c>
      <c r="B584" s="269"/>
      <c r="C584" s="269"/>
      <c r="D584" s="269"/>
      <c r="E584" s="269"/>
      <c r="F584" s="269"/>
      <c r="G584" s="269"/>
      <c r="H584" s="269"/>
      <c r="I584" s="269"/>
    </row>
    <row r="585" customFormat="false" ht="15.4" hidden="false" customHeight="true" outlineLevel="0" collapsed="false">
      <c r="A585" s="62"/>
      <c r="B585" s="97"/>
      <c r="C585" s="97"/>
      <c r="D585" s="97"/>
      <c r="E585" s="97"/>
      <c r="F585" s="97"/>
      <c r="G585" s="97"/>
      <c r="H585" s="97"/>
      <c r="I585" s="97"/>
    </row>
    <row r="586" customFormat="false" ht="15.4" hidden="false" customHeight="true" outlineLevel="0" collapsed="false">
      <c r="A586" s="191" t="s">
        <v>512</v>
      </c>
      <c r="B586" s="191"/>
      <c r="C586" s="191"/>
      <c r="D586" s="97"/>
      <c r="E586" s="97"/>
      <c r="F586" s="97"/>
      <c r="G586" s="97"/>
      <c r="H586" s="97"/>
      <c r="I586" s="97"/>
    </row>
    <row r="587" customFormat="false" ht="15.4" hidden="false" customHeight="true" outlineLevel="0" collapsed="false">
      <c r="A587" s="62"/>
      <c r="B587" s="97"/>
      <c r="C587" s="97"/>
      <c r="D587" s="97"/>
      <c r="E587" s="97"/>
      <c r="F587" s="97"/>
      <c r="G587" s="97"/>
      <c r="H587" s="97"/>
      <c r="I587" s="97"/>
    </row>
    <row r="588" customFormat="false" ht="15.4" hidden="false" customHeight="true" outlineLevel="0" collapsed="false">
      <c r="A588" s="62"/>
      <c r="B588" s="212" t="s">
        <v>513</v>
      </c>
      <c r="C588" s="212"/>
      <c r="D588" s="212"/>
      <c r="E588" s="97"/>
      <c r="F588" s="97"/>
      <c r="G588" s="97"/>
      <c r="H588" s="97"/>
      <c r="I588" s="97"/>
    </row>
    <row r="589" customFormat="false" ht="15.4" hidden="false" customHeight="true" outlineLevel="0" collapsed="false">
      <c r="A589" s="62" t="s">
        <v>514</v>
      </c>
      <c r="B589" s="193" t="s">
        <v>515</v>
      </c>
      <c r="C589" s="193"/>
      <c r="D589" s="193"/>
      <c r="E589" s="193"/>
      <c r="F589" s="193"/>
      <c r="G589" s="253"/>
      <c r="H589" s="253"/>
      <c r="I589" s="97"/>
    </row>
    <row r="590" customFormat="false" ht="15.4" hidden="false" customHeight="true" outlineLevel="0" collapsed="false">
      <c r="A590" s="62"/>
      <c r="B590" s="192"/>
      <c r="C590" s="192"/>
      <c r="D590" s="192"/>
      <c r="E590" s="192"/>
      <c r="F590" s="192"/>
      <c r="G590" s="97"/>
      <c r="H590" s="97"/>
      <c r="I590" s="97"/>
    </row>
    <row r="591" customFormat="false" ht="15.4" hidden="false" customHeight="true" outlineLevel="0" collapsed="false">
      <c r="A591" s="62"/>
      <c r="B591" s="193" t="s">
        <v>516</v>
      </c>
      <c r="C591" s="193"/>
      <c r="D591" s="193"/>
      <c r="E591" s="193"/>
      <c r="F591" s="193"/>
      <c r="G591" s="97"/>
      <c r="H591" s="97"/>
      <c r="I591" s="97"/>
    </row>
    <row r="592" customFormat="false" ht="15.4" hidden="false" customHeight="true" outlineLevel="0" collapsed="false">
      <c r="A592" s="62"/>
      <c r="B592" s="193"/>
      <c r="C592" s="193"/>
      <c r="D592" s="193"/>
      <c r="E592" s="193"/>
      <c r="F592" s="193"/>
      <c r="G592" s="253"/>
      <c r="H592" s="253"/>
      <c r="I592" s="97"/>
    </row>
    <row r="593" customFormat="false" ht="15.4" hidden="false" customHeight="true" outlineLevel="0" collapsed="false">
      <c r="A593" s="62"/>
      <c r="B593" s="97"/>
      <c r="C593" s="97"/>
      <c r="D593" s="97"/>
      <c r="E593" s="97"/>
      <c r="F593" s="97"/>
      <c r="G593" s="97"/>
      <c r="H593" s="97"/>
      <c r="I593" s="97"/>
    </row>
    <row r="594" customFormat="false" ht="15.4" hidden="false" customHeight="true" outlineLevel="0" collapsed="false">
      <c r="A594" s="62"/>
      <c r="B594" s="193" t="s">
        <v>517</v>
      </c>
      <c r="C594" s="193"/>
      <c r="D594" s="193"/>
      <c r="E594" s="193"/>
      <c r="F594" s="193"/>
      <c r="G594" s="97"/>
      <c r="H594" s="97"/>
      <c r="I594" s="97"/>
    </row>
    <row r="595" customFormat="false" ht="15.4" hidden="false" customHeight="true" outlineLevel="0" collapsed="false">
      <c r="A595" s="62"/>
      <c r="B595" s="193"/>
      <c r="C595" s="193"/>
      <c r="D595" s="193"/>
      <c r="E595" s="193"/>
      <c r="F595" s="193"/>
      <c r="G595" s="253"/>
      <c r="H595" s="253"/>
      <c r="I595" s="97"/>
    </row>
    <row r="596" customFormat="false" ht="15.4" hidden="false" customHeight="true" outlineLevel="0" collapsed="false">
      <c r="A596" s="62"/>
      <c r="B596" s="97"/>
      <c r="C596" s="97"/>
      <c r="D596" s="97"/>
      <c r="E596" s="97"/>
      <c r="F596" s="97"/>
      <c r="G596" s="97"/>
      <c r="H596" s="97"/>
      <c r="I596" s="97"/>
    </row>
    <row r="597" customFormat="false" ht="15.4" hidden="false" customHeight="true" outlineLevel="0" collapsed="false">
      <c r="A597" s="62"/>
      <c r="B597" s="212" t="s">
        <v>518</v>
      </c>
      <c r="C597" s="212"/>
      <c r="D597" s="212"/>
      <c r="E597" s="97"/>
      <c r="F597" s="97"/>
      <c r="G597" s="97"/>
      <c r="H597" s="97"/>
      <c r="I597" s="97"/>
    </row>
    <row r="598" customFormat="false" ht="15.4" hidden="false" customHeight="true" outlineLevel="0" collapsed="false">
      <c r="A598" s="62" t="s">
        <v>519</v>
      </c>
      <c r="B598" s="193" t="s">
        <v>520</v>
      </c>
      <c r="C598" s="193"/>
      <c r="D598" s="193"/>
      <c r="E598" s="193"/>
      <c r="F598" s="193"/>
      <c r="G598" s="97"/>
      <c r="H598" s="97"/>
      <c r="I598" s="97"/>
    </row>
    <row r="599" customFormat="false" ht="15.4" hidden="false" customHeight="true" outlineLevel="0" collapsed="false">
      <c r="A599" s="62"/>
      <c r="B599" s="193"/>
      <c r="C599" s="193"/>
      <c r="D599" s="193"/>
      <c r="E599" s="193"/>
      <c r="F599" s="193"/>
      <c r="G599" s="253"/>
      <c r="H599" s="253"/>
      <c r="I599" s="97"/>
    </row>
    <row r="600" customFormat="false" ht="15.4" hidden="false" customHeight="true" outlineLevel="0" collapsed="false">
      <c r="A600" s="62"/>
      <c r="B600" s="270" t="s">
        <v>521</v>
      </c>
      <c r="C600" s="253"/>
      <c r="D600" s="253"/>
      <c r="E600" s="253"/>
      <c r="F600" s="253"/>
      <c r="G600" s="253"/>
      <c r="H600" s="253"/>
      <c r="I600" s="97"/>
    </row>
    <row r="601" customFormat="false" ht="15.4" hidden="false" customHeight="true" outlineLevel="0" collapsed="false">
      <c r="A601" s="62"/>
      <c r="B601" s="97"/>
      <c r="C601" s="253"/>
      <c r="D601" s="253"/>
      <c r="E601" s="253"/>
      <c r="F601" s="253"/>
      <c r="G601" s="253"/>
      <c r="H601" s="253"/>
      <c r="I601" s="97"/>
    </row>
    <row r="602" customFormat="false" ht="15.4" hidden="false" customHeight="true" outlineLevel="0" collapsed="false">
      <c r="A602" s="62"/>
      <c r="B602" s="97"/>
      <c r="C602" s="97"/>
      <c r="D602" s="97"/>
      <c r="E602" s="97"/>
      <c r="F602" s="97"/>
      <c r="G602" s="194" t="s">
        <v>253</v>
      </c>
      <c r="H602" s="194" t="s">
        <v>254</v>
      </c>
      <c r="I602" s="97"/>
    </row>
    <row r="603" customFormat="false" ht="15.4" hidden="false" customHeight="true" outlineLevel="0" collapsed="false">
      <c r="A603" s="62"/>
      <c r="B603" s="238" t="s">
        <v>522</v>
      </c>
      <c r="C603" s="238"/>
      <c r="D603" s="238"/>
      <c r="E603" s="238"/>
      <c r="F603" s="238"/>
      <c r="G603" s="195"/>
      <c r="H603" s="195"/>
      <c r="I603" s="97"/>
    </row>
    <row r="604" customFormat="false" ht="15.4" hidden="false" customHeight="true" outlineLevel="0" collapsed="false">
      <c r="A604" s="62"/>
      <c r="B604" s="96"/>
      <c r="C604" s="85"/>
      <c r="D604" s="85"/>
      <c r="E604" s="97"/>
      <c r="F604" s="97"/>
      <c r="G604" s="194" t="s">
        <v>253</v>
      </c>
      <c r="H604" s="194" t="s">
        <v>254</v>
      </c>
      <c r="I604" s="97"/>
    </row>
    <row r="605" customFormat="false" ht="15.4" hidden="false" customHeight="true" outlineLevel="0" collapsed="false">
      <c r="A605" s="62"/>
      <c r="B605" s="75" t="s">
        <v>523</v>
      </c>
      <c r="C605" s="271"/>
      <c r="D605" s="271"/>
      <c r="E605" s="97"/>
      <c r="F605" s="97"/>
      <c r="G605" s="195"/>
      <c r="H605" s="195"/>
      <c r="I605" s="97"/>
    </row>
    <row r="606" customFormat="false" ht="15.4" hidden="false" customHeight="true" outlineLevel="0" collapsed="false">
      <c r="A606" s="62"/>
      <c r="B606" s="272" t="s">
        <v>524</v>
      </c>
      <c r="C606" s="272"/>
      <c r="D606" s="272"/>
      <c r="E606" s="272"/>
      <c r="F606" s="272"/>
      <c r="G606" s="272"/>
      <c r="H606" s="272"/>
      <c r="I606" s="97"/>
    </row>
    <row r="607" customFormat="false" ht="15.4" hidden="false" customHeight="true" outlineLevel="0" collapsed="false">
      <c r="A607" s="62"/>
      <c r="B607" s="97"/>
      <c r="C607" s="97"/>
      <c r="D607" s="97"/>
      <c r="E607" s="97"/>
      <c r="F607" s="97"/>
      <c r="G607" s="97"/>
      <c r="H607" s="97"/>
      <c r="I607" s="97"/>
    </row>
    <row r="608" customFormat="false" ht="15.4" hidden="false" customHeight="true" outlineLevel="0" collapsed="false">
      <c r="A608" s="62"/>
      <c r="B608" s="212" t="s">
        <v>525</v>
      </c>
      <c r="C608" s="212"/>
      <c r="D608" s="212"/>
      <c r="E608" s="273"/>
      <c r="F608" s="271"/>
      <c r="G608" s="97"/>
      <c r="H608" s="97"/>
      <c r="I608" s="97"/>
    </row>
    <row r="609" customFormat="false" ht="15.4" hidden="false" customHeight="true" outlineLevel="0" collapsed="false">
      <c r="A609" s="62" t="s">
        <v>519</v>
      </c>
      <c r="B609" s="198" t="s">
        <v>526</v>
      </c>
      <c r="C609" s="198"/>
      <c r="D609" s="198"/>
      <c r="E609" s="198"/>
      <c r="F609" s="198"/>
      <c r="G609" s="253"/>
      <c r="H609" s="253"/>
      <c r="I609" s="97"/>
    </row>
    <row r="610" customFormat="false" ht="15.4" hidden="false" customHeight="true" outlineLevel="0" collapsed="false">
      <c r="A610" s="62"/>
      <c r="B610" s="97"/>
      <c r="C610" s="97"/>
      <c r="D610" s="97"/>
      <c r="E610" s="97"/>
      <c r="F610" s="97"/>
      <c r="G610" s="97"/>
      <c r="H610" s="97"/>
      <c r="I610" s="97"/>
    </row>
    <row r="611" customFormat="false" ht="15.4" hidden="false" customHeight="true" outlineLevel="0" collapsed="false">
      <c r="A611" s="62"/>
      <c r="B611" s="91" t="s">
        <v>527</v>
      </c>
      <c r="C611" s="91"/>
      <c r="D611" s="91"/>
      <c r="E611" s="91"/>
      <c r="F611" s="91"/>
      <c r="G611" s="253"/>
      <c r="H611" s="253"/>
      <c r="I611" s="97"/>
    </row>
    <row r="612" customFormat="false" ht="15.4" hidden="false" customHeight="true" outlineLevel="0" collapsed="false">
      <c r="A612" s="62"/>
      <c r="B612" s="97"/>
      <c r="C612" s="97"/>
      <c r="D612" s="97"/>
      <c r="E612" s="97"/>
      <c r="F612" s="97"/>
      <c r="G612" s="97"/>
      <c r="H612" s="97"/>
      <c r="I612" s="97"/>
    </row>
    <row r="613" customFormat="false" ht="15.4" hidden="false" customHeight="true" outlineLevel="0" collapsed="false">
      <c r="A613" s="62"/>
      <c r="B613" s="198" t="s">
        <v>528</v>
      </c>
      <c r="C613" s="198"/>
      <c r="D613" s="198"/>
      <c r="E613" s="198"/>
      <c r="F613" s="198"/>
      <c r="G613" s="253"/>
      <c r="H613" s="253"/>
      <c r="I613" s="97"/>
    </row>
    <row r="614" customFormat="false" ht="15.4" hidden="false" customHeight="true" outlineLevel="0" collapsed="false">
      <c r="A614" s="62"/>
      <c r="B614" s="198"/>
      <c r="C614" s="198"/>
      <c r="D614" s="198"/>
      <c r="E614" s="198"/>
      <c r="F614" s="198"/>
      <c r="G614" s="198"/>
      <c r="H614" s="198"/>
      <c r="I614" s="198"/>
    </row>
    <row r="615" customFormat="false" ht="15.4" hidden="false" customHeight="true" outlineLevel="0" collapsed="false">
      <c r="A615" s="62"/>
      <c r="B615" s="198"/>
      <c r="C615" s="198"/>
      <c r="D615" s="198"/>
      <c r="E615" s="198"/>
      <c r="F615" s="198"/>
      <c r="G615" s="194" t="s">
        <v>253</v>
      </c>
      <c r="H615" s="194" t="s">
        <v>254</v>
      </c>
      <c r="I615" s="97"/>
    </row>
    <row r="616" customFormat="false" ht="15.4" hidden="false" customHeight="true" outlineLevel="0" collapsed="false">
      <c r="A616" s="62"/>
      <c r="B616" s="198" t="s">
        <v>529</v>
      </c>
      <c r="C616" s="198"/>
      <c r="D616" s="198"/>
      <c r="E616" s="198"/>
      <c r="F616" s="198"/>
      <c r="G616" s="195"/>
      <c r="H616" s="195"/>
      <c r="I616" s="97"/>
    </row>
    <row r="617" customFormat="false" ht="15.4" hidden="false" customHeight="true" outlineLevel="0" collapsed="false">
      <c r="A617" s="62"/>
      <c r="B617" s="97"/>
      <c r="C617" s="97"/>
      <c r="D617" s="97"/>
      <c r="E617" s="97"/>
      <c r="F617" s="97"/>
      <c r="G617" s="97"/>
      <c r="H617" s="97"/>
      <c r="I617" s="97"/>
    </row>
    <row r="618" customFormat="false" ht="15.4" hidden="false" customHeight="true" outlineLevel="0" collapsed="false">
      <c r="A618" s="62"/>
      <c r="B618" s="212" t="s">
        <v>530</v>
      </c>
      <c r="C618" s="212"/>
      <c r="D618" s="212"/>
      <c r="E618" s="97"/>
      <c r="F618" s="97"/>
      <c r="G618" s="194" t="s">
        <v>253</v>
      </c>
      <c r="H618" s="194" t="s">
        <v>254</v>
      </c>
      <c r="I618" s="97"/>
    </row>
    <row r="619" customFormat="false" ht="15.4" hidden="false" customHeight="true" outlineLevel="0" collapsed="false">
      <c r="A619" s="62" t="s">
        <v>519</v>
      </c>
      <c r="B619" s="91" t="s">
        <v>531</v>
      </c>
      <c r="C619" s="97"/>
      <c r="D619" s="97"/>
      <c r="E619" s="97"/>
      <c r="F619" s="97"/>
      <c r="G619" s="195"/>
      <c r="H619" s="195"/>
      <c r="I619" s="97"/>
    </row>
    <row r="620" customFormat="false" ht="15.4" hidden="false" customHeight="true" outlineLevel="0" collapsed="false">
      <c r="A620" s="62"/>
      <c r="B620" s="270" t="s">
        <v>521</v>
      </c>
      <c r="C620" s="253"/>
      <c r="D620" s="253"/>
      <c r="E620" s="253"/>
      <c r="F620" s="253"/>
      <c r="G620" s="253"/>
      <c r="H620" s="253"/>
      <c r="I620" s="97"/>
    </row>
    <row r="621" customFormat="false" ht="15.4" hidden="false" customHeight="true" outlineLevel="0" collapsed="false">
      <c r="A621" s="62"/>
      <c r="B621" s="97"/>
      <c r="C621" s="253"/>
      <c r="D621" s="253"/>
      <c r="E621" s="253"/>
      <c r="F621" s="253"/>
      <c r="G621" s="253"/>
      <c r="H621" s="253"/>
      <c r="I621" s="97"/>
    </row>
    <row r="622" customFormat="false" ht="15.4" hidden="false" customHeight="true" outlineLevel="0" collapsed="false">
      <c r="A622" s="62"/>
      <c r="B622" s="97"/>
      <c r="C622" s="97"/>
      <c r="D622" s="97"/>
      <c r="E622" s="97"/>
      <c r="F622" s="97"/>
      <c r="G622" s="97"/>
      <c r="H622" s="97"/>
      <c r="I622" s="97"/>
    </row>
    <row r="623" customFormat="false" ht="15.4" hidden="false" customHeight="true" outlineLevel="0" collapsed="false">
      <c r="A623" s="62"/>
      <c r="B623" s="97"/>
      <c r="C623" s="97"/>
      <c r="D623" s="97"/>
      <c r="E623" s="97"/>
      <c r="F623" s="97"/>
      <c r="G623" s="97"/>
      <c r="H623" s="97"/>
      <c r="I623" s="97"/>
    </row>
    <row r="624" customFormat="false" ht="15.4" hidden="false" customHeight="true" outlineLevel="0" collapsed="false">
      <c r="A624" s="62"/>
      <c r="B624" s="97"/>
      <c r="C624" s="97"/>
      <c r="D624" s="97"/>
      <c r="E624" s="97"/>
      <c r="F624" s="97"/>
      <c r="G624" s="97"/>
      <c r="H624" s="97"/>
      <c r="I624" s="97"/>
    </row>
    <row r="625" customFormat="false" ht="15.4" hidden="false" customHeight="true" outlineLevel="0" collapsed="false">
      <c r="A625" s="62"/>
      <c r="B625" s="97"/>
      <c r="C625" s="97"/>
      <c r="D625" s="97"/>
      <c r="E625" s="97"/>
      <c r="F625" s="97"/>
      <c r="G625" s="97"/>
      <c r="H625" s="97"/>
      <c r="I625" s="97"/>
    </row>
    <row r="626" customFormat="false" ht="15.4" hidden="false" customHeight="true" outlineLevel="0" collapsed="false">
      <c r="A626" s="191" t="s">
        <v>532</v>
      </c>
      <c r="B626" s="191"/>
      <c r="C626" s="191"/>
      <c r="D626" s="97"/>
      <c r="E626" s="97"/>
      <c r="F626" s="97"/>
      <c r="G626" s="97"/>
      <c r="H626" s="97"/>
      <c r="I626" s="97"/>
    </row>
    <row r="627" customFormat="false" ht="15.4" hidden="false" customHeight="true" outlineLevel="0" collapsed="false">
      <c r="A627" s="62"/>
      <c r="B627" s="97"/>
      <c r="C627" s="97"/>
      <c r="D627" s="97"/>
      <c r="E627" s="97"/>
      <c r="F627" s="97"/>
      <c r="G627" s="97"/>
      <c r="H627" s="97"/>
      <c r="I627" s="97"/>
    </row>
    <row r="628" customFormat="false" ht="15.4" hidden="false" customHeight="true" outlineLevel="0" collapsed="false">
      <c r="A628" s="62" t="s">
        <v>493</v>
      </c>
      <c r="B628" s="193" t="s">
        <v>533</v>
      </c>
      <c r="C628" s="193"/>
      <c r="D628" s="193"/>
      <c r="E628" s="193"/>
      <c r="F628" s="193" t="s">
        <v>534</v>
      </c>
      <c r="G628" s="97"/>
      <c r="H628" s="97"/>
      <c r="I628" s="97"/>
    </row>
    <row r="629" customFormat="false" ht="15.4" hidden="false" customHeight="true" outlineLevel="0" collapsed="false">
      <c r="A629" s="62"/>
      <c r="B629" s="193"/>
      <c r="C629" s="193"/>
      <c r="D629" s="193"/>
      <c r="E629" s="193"/>
      <c r="F629" s="193"/>
      <c r="G629" s="253"/>
      <c r="H629" s="253"/>
      <c r="I629" s="97"/>
    </row>
    <row r="630" customFormat="false" ht="15.4" hidden="false" customHeight="true" outlineLevel="0" collapsed="false">
      <c r="A630" s="62"/>
      <c r="B630" s="274" t="s">
        <v>535</v>
      </c>
      <c r="C630" s="274"/>
      <c r="D630" s="274"/>
      <c r="E630" s="274"/>
      <c r="F630" s="274"/>
      <c r="G630" s="274"/>
      <c r="H630" s="274"/>
      <c r="I630" s="97"/>
    </row>
    <row r="631" customFormat="false" ht="15.4" hidden="false" customHeight="true" outlineLevel="0" collapsed="false">
      <c r="A631" s="62"/>
      <c r="B631" s="274"/>
      <c r="C631" s="274"/>
      <c r="D631" s="274"/>
      <c r="E631" s="274"/>
      <c r="F631" s="274"/>
      <c r="G631" s="274"/>
      <c r="H631" s="274"/>
      <c r="I631" s="97"/>
    </row>
    <row r="632" customFormat="false" ht="15.4" hidden="false" customHeight="true" outlineLevel="0" collapsed="false">
      <c r="A632" s="62"/>
      <c r="I632" s="97"/>
    </row>
    <row r="633" customFormat="false" ht="15.4" hidden="false" customHeight="true" outlineLevel="0" collapsed="false">
      <c r="A633" s="62" t="s">
        <v>493</v>
      </c>
      <c r="B633" s="193" t="s">
        <v>536</v>
      </c>
      <c r="C633" s="193"/>
      <c r="D633" s="193"/>
      <c r="E633" s="193"/>
      <c r="F633" s="193"/>
      <c r="G633" s="97"/>
      <c r="H633" s="97"/>
      <c r="I633" s="97"/>
    </row>
    <row r="634" customFormat="false" ht="15" hidden="false" customHeight="true" outlineLevel="0" collapsed="false">
      <c r="A634" s="62"/>
      <c r="B634" s="193"/>
      <c r="C634" s="193"/>
      <c r="D634" s="193"/>
      <c r="E634" s="193"/>
      <c r="F634" s="193"/>
      <c r="G634" s="253"/>
      <c r="H634" s="253"/>
      <c r="I634" s="97"/>
    </row>
    <row r="635" customFormat="false" ht="15.4" hidden="false" customHeight="true" outlineLevel="0" collapsed="false">
      <c r="A635" s="62"/>
      <c r="B635" s="197" t="s">
        <v>537</v>
      </c>
      <c r="C635" s="197"/>
      <c r="D635" s="197"/>
      <c r="E635" s="197"/>
      <c r="F635" s="197"/>
      <c r="G635" s="197"/>
      <c r="H635" s="197"/>
      <c r="I635" s="97"/>
    </row>
    <row r="636" customFormat="false" ht="15.4" hidden="false" customHeight="true" outlineLevel="0" collapsed="false">
      <c r="A636" s="62"/>
      <c r="B636" s="197"/>
      <c r="C636" s="197"/>
      <c r="D636" s="197"/>
      <c r="E636" s="197"/>
      <c r="F636" s="197"/>
      <c r="G636" s="197"/>
      <c r="H636" s="197"/>
      <c r="I636" s="97"/>
    </row>
    <row r="637" customFormat="false" ht="15.4" hidden="false" customHeight="true" outlineLevel="0" collapsed="false">
      <c r="A637" s="62"/>
      <c r="B637" s="197"/>
      <c r="C637" s="197"/>
      <c r="D637" s="197"/>
      <c r="E637" s="197"/>
      <c r="F637" s="197"/>
      <c r="G637" s="197"/>
      <c r="H637" s="197"/>
      <c r="I637" s="97"/>
    </row>
    <row r="638" customFormat="false" ht="15.4" hidden="false" customHeight="true" outlineLevel="0" collapsed="false">
      <c r="A638" s="62"/>
      <c r="B638" s="197"/>
      <c r="C638" s="197"/>
      <c r="D638" s="197"/>
      <c r="E638" s="197"/>
      <c r="F638" s="197"/>
      <c r="G638" s="197"/>
      <c r="H638" s="197"/>
      <c r="I638" s="97"/>
    </row>
    <row r="639" customFormat="false" ht="15.4" hidden="false" customHeight="true" outlineLevel="0" collapsed="false">
      <c r="A639" s="62"/>
      <c r="B639" s="274"/>
      <c r="C639" s="274"/>
      <c r="D639" s="274"/>
      <c r="E639" s="274"/>
      <c r="F639" s="274"/>
      <c r="G639" s="274"/>
      <c r="H639" s="274"/>
      <c r="I639" s="97"/>
    </row>
    <row r="640" customFormat="false" ht="15.4" hidden="false" customHeight="true" outlineLevel="0" collapsed="false">
      <c r="A640" s="191" t="s">
        <v>538</v>
      </c>
      <c r="B640" s="191"/>
      <c r="C640" s="191"/>
      <c r="D640" s="97"/>
      <c r="E640" s="97"/>
      <c r="F640" s="97"/>
      <c r="G640" s="97"/>
      <c r="H640" s="97"/>
      <c r="I640" s="97"/>
    </row>
    <row r="641" customFormat="false" ht="15.4" hidden="false" customHeight="true" outlineLevel="0" collapsed="false">
      <c r="A641" s="62"/>
      <c r="B641" s="97"/>
      <c r="C641" s="97"/>
      <c r="D641" s="97"/>
      <c r="E641" s="97"/>
      <c r="F641" s="97"/>
      <c r="G641" s="97"/>
      <c r="H641" s="97"/>
      <c r="I641" s="97"/>
    </row>
    <row r="642" customFormat="false" ht="15.4" hidden="false" customHeight="true" outlineLevel="0" collapsed="false">
      <c r="A642" s="62" t="s">
        <v>483</v>
      </c>
      <c r="B642" s="193" t="s">
        <v>539</v>
      </c>
      <c r="C642" s="193"/>
      <c r="D642" s="193"/>
      <c r="E642" s="193"/>
      <c r="F642" s="193"/>
      <c r="G642" s="194" t="s">
        <v>253</v>
      </c>
      <c r="H642" s="194" t="s">
        <v>254</v>
      </c>
      <c r="I642" s="97"/>
    </row>
    <row r="643" customFormat="false" ht="15.4" hidden="false" customHeight="true" outlineLevel="0" collapsed="false">
      <c r="A643" s="62"/>
      <c r="B643" s="193"/>
      <c r="C643" s="193"/>
      <c r="D643" s="193"/>
      <c r="E643" s="193"/>
      <c r="F643" s="193"/>
      <c r="G643" s="195"/>
      <c r="H643" s="195"/>
      <c r="I643" s="97"/>
    </row>
    <row r="644" customFormat="false" ht="15.4" hidden="false" customHeight="true" outlineLevel="0" collapsed="false">
      <c r="A644" s="62"/>
      <c r="B644" s="270" t="s">
        <v>540</v>
      </c>
      <c r="C644" s="253"/>
      <c r="D644" s="253"/>
      <c r="E644" s="253"/>
      <c r="F644" s="253"/>
      <c r="G644" s="253"/>
      <c r="H644" s="253"/>
      <c r="I644" s="97"/>
    </row>
    <row r="645" customFormat="false" ht="15.4" hidden="false" customHeight="true" outlineLevel="0" collapsed="false">
      <c r="A645" s="62"/>
      <c r="B645" s="97"/>
      <c r="C645" s="253"/>
      <c r="D645" s="253"/>
      <c r="E645" s="253"/>
      <c r="F645" s="253"/>
      <c r="G645" s="253"/>
      <c r="H645" s="253"/>
      <c r="I645" s="97"/>
    </row>
    <row r="646" customFormat="false" ht="15.4" hidden="false" customHeight="true" outlineLevel="0" collapsed="false">
      <c r="A646" s="62"/>
      <c r="B646" s="97"/>
      <c r="C646" s="97"/>
      <c r="D646" s="97"/>
      <c r="E646" s="97"/>
      <c r="F646" s="97"/>
      <c r="G646" s="97"/>
      <c r="H646" s="97"/>
      <c r="I646" s="97"/>
    </row>
    <row r="647" customFormat="false" ht="15.4" hidden="false" customHeight="true" outlineLevel="0" collapsed="false">
      <c r="A647" s="62" t="s">
        <v>541</v>
      </c>
      <c r="B647" s="275" t="s">
        <v>542</v>
      </c>
      <c r="C647" s="275"/>
      <c r="D647" s="275"/>
      <c r="E647" s="276" t="s">
        <v>543</v>
      </c>
      <c r="F647" s="277" t="s">
        <v>544</v>
      </c>
      <c r="G647" s="277"/>
      <c r="H647" s="97"/>
      <c r="I647" s="97"/>
    </row>
    <row r="648" customFormat="false" ht="15.4" hidden="false" customHeight="true" outlineLevel="0" collapsed="false">
      <c r="A648" s="62"/>
      <c r="B648" s="278" t="s">
        <v>545</v>
      </c>
      <c r="C648" s="279"/>
      <c r="D648" s="232"/>
      <c r="E648" s="280" t="s">
        <v>546</v>
      </c>
      <c r="F648" s="281"/>
      <c r="G648" s="281"/>
      <c r="I648" s="282"/>
    </row>
    <row r="649" customFormat="false" ht="15.4" hidden="false" customHeight="true" outlineLevel="0" collapsed="false">
      <c r="A649" s="62"/>
      <c r="B649" s="283" t="s">
        <v>547</v>
      </c>
      <c r="C649" s="284"/>
      <c r="D649" s="127"/>
      <c r="E649" s="285" t="s">
        <v>183</v>
      </c>
      <c r="F649" s="286"/>
      <c r="G649" s="286"/>
      <c r="H649" s="287" t="s">
        <v>548</v>
      </c>
      <c r="I649" s="287"/>
    </row>
    <row r="650" customFormat="false" ht="15.4" hidden="false" customHeight="true" outlineLevel="0" collapsed="false">
      <c r="A650" s="62"/>
      <c r="B650" s="283" t="s">
        <v>549</v>
      </c>
      <c r="C650" s="284"/>
      <c r="D650" s="127"/>
      <c r="E650" s="285" t="s">
        <v>183</v>
      </c>
      <c r="F650" s="286"/>
      <c r="G650" s="286"/>
      <c r="H650" s="287"/>
      <c r="I650" s="287"/>
    </row>
    <row r="651" customFormat="false" ht="15.4" hidden="false" customHeight="true" outlineLevel="0" collapsed="false">
      <c r="A651" s="62"/>
      <c r="B651" s="283" t="s">
        <v>550</v>
      </c>
      <c r="C651" s="284"/>
      <c r="D651" s="127"/>
      <c r="E651" s="285" t="s">
        <v>551</v>
      </c>
      <c r="F651" s="286"/>
      <c r="G651" s="286"/>
      <c r="H651" s="287"/>
      <c r="I651" s="287"/>
    </row>
    <row r="652" customFormat="false" ht="15.4" hidden="false" customHeight="true" outlineLevel="0" collapsed="false">
      <c r="A652" s="62"/>
      <c r="B652" s="283" t="s">
        <v>552</v>
      </c>
      <c r="C652" s="284"/>
      <c r="D652" s="127"/>
      <c r="E652" s="285" t="s">
        <v>551</v>
      </c>
      <c r="F652" s="286"/>
      <c r="G652" s="286"/>
      <c r="H652" s="288"/>
      <c r="I652" s="282"/>
    </row>
    <row r="653" customFormat="false" ht="15.4" hidden="false" customHeight="true" outlineLevel="0" collapsed="false">
      <c r="A653" s="62"/>
      <c r="B653" s="283" t="s">
        <v>553</v>
      </c>
      <c r="C653" s="284"/>
      <c r="D653" s="127"/>
      <c r="E653" s="285" t="s">
        <v>554</v>
      </c>
      <c r="F653" s="286"/>
      <c r="G653" s="286"/>
      <c r="H653" s="97"/>
      <c r="I653" s="97"/>
    </row>
    <row r="654" customFormat="false" ht="15.4" hidden="false" customHeight="true" outlineLevel="0" collapsed="false">
      <c r="A654" s="62"/>
      <c r="B654" s="235" t="s">
        <v>555</v>
      </c>
      <c r="C654" s="289"/>
      <c r="D654" s="127"/>
      <c r="E654" s="285" t="s">
        <v>554</v>
      </c>
      <c r="F654" s="286"/>
      <c r="G654" s="286"/>
      <c r="H654" s="97"/>
      <c r="I654" s="97"/>
    </row>
    <row r="655" customFormat="false" ht="15.4" hidden="false" customHeight="true" outlineLevel="0" collapsed="false">
      <c r="A655" s="62"/>
      <c r="B655" s="283" t="s">
        <v>556</v>
      </c>
      <c r="C655" s="284"/>
      <c r="D655" s="127"/>
      <c r="E655" s="285" t="s">
        <v>551</v>
      </c>
      <c r="F655" s="286"/>
      <c r="G655" s="286"/>
      <c r="H655" s="97"/>
      <c r="I655" s="97"/>
    </row>
    <row r="656" customFormat="false" ht="15.4" hidden="false" customHeight="true" outlineLevel="0" collapsed="false">
      <c r="A656" s="62"/>
      <c r="B656" s="283" t="s">
        <v>557</v>
      </c>
      <c r="C656" s="284"/>
      <c r="D656" s="127"/>
      <c r="E656" s="285" t="s">
        <v>183</v>
      </c>
      <c r="F656" s="286"/>
      <c r="G656" s="286"/>
      <c r="H656" s="97"/>
      <c r="I656" s="97"/>
    </row>
    <row r="657" customFormat="false" ht="15.4" hidden="false" customHeight="true" outlineLevel="0" collapsed="false">
      <c r="A657" s="62"/>
      <c r="B657" s="283" t="s">
        <v>558</v>
      </c>
      <c r="C657" s="284"/>
      <c r="D657" s="127"/>
      <c r="E657" s="285" t="s">
        <v>551</v>
      </c>
      <c r="F657" s="286"/>
      <c r="G657" s="286"/>
      <c r="H657" s="97"/>
      <c r="I657" s="97"/>
    </row>
    <row r="658" customFormat="false" ht="15.4" hidden="false" customHeight="true" outlineLevel="0" collapsed="false">
      <c r="A658" s="62"/>
      <c r="B658" s="97"/>
      <c r="C658" s="97"/>
      <c r="D658" s="97"/>
      <c r="E658" s="97"/>
      <c r="F658" s="97"/>
      <c r="G658" s="97"/>
      <c r="H658" s="97"/>
      <c r="I658" s="97"/>
    </row>
    <row r="659" customFormat="false" ht="15.4" hidden="false" customHeight="true" outlineLevel="0" collapsed="false">
      <c r="A659" s="62"/>
      <c r="B659" s="62"/>
      <c r="C659" s="62"/>
      <c r="D659" s="62"/>
      <c r="E659" s="62"/>
      <c r="F659" s="62"/>
      <c r="G659" s="62"/>
      <c r="H659" s="62"/>
      <c r="I659" s="97"/>
    </row>
    <row r="660" customFormat="false" ht="15.4" hidden="false" customHeight="true" outlineLevel="0" collapsed="false">
      <c r="A660" s="62"/>
      <c r="B660" s="97"/>
      <c r="C660" s="97"/>
      <c r="D660" s="97"/>
      <c r="E660" s="97"/>
      <c r="F660" s="97"/>
      <c r="G660" s="97"/>
      <c r="H660" s="97"/>
      <c r="I660" s="97"/>
    </row>
    <row r="661" customFormat="false" ht="15.4" hidden="false" customHeight="true" outlineLevel="0" collapsed="false">
      <c r="A661" s="62" t="s">
        <v>559</v>
      </c>
      <c r="B661" s="193" t="s">
        <v>560</v>
      </c>
      <c r="C661" s="193"/>
      <c r="D661" s="193"/>
      <c r="E661" s="193"/>
      <c r="F661" s="193"/>
      <c r="G661" s="253"/>
      <c r="H661" s="253"/>
      <c r="I661" s="97"/>
      <c r="L661" s="192"/>
      <c r="M661" s="192"/>
      <c r="N661" s="192"/>
      <c r="O661" s="192"/>
    </row>
    <row r="662" customFormat="false" ht="15.4" hidden="false" customHeight="true" outlineLevel="0" collapsed="false">
      <c r="A662" s="62"/>
      <c r="B662" s="192"/>
      <c r="C662" s="192"/>
      <c r="D662" s="192"/>
      <c r="E662" s="192"/>
      <c r="F662" s="192"/>
      <c r="G662" s="97"/>
      <c r="H662" s="97"/>
      <c r="I662" s="97"/>
      <c r="K662" s="192"/>
      <c r="L662" s="192"/>
      <c r="M662" s="192"/>
      <c r="N662" s="192"/>
      <c r="O662" s="192"/>
    </row>
    <row r="663" customFormat="false" ht="15.4" hidden="false" customHeight="true" outlineLevel="0" collapsed="false">
      <c r="A663" s="62" t="s">
        <v>227</v>
      </c>
      <c r="B663" s="193" t="s">
        <v>561</v>
      </c>
      <c r="C663" s="193"/>
      <c r="D663" s="193"/>
      <c r="E663" s="193"/>
      <c r="F663" s="193"/>
      <c r="G663" s="194" t="s">
        <v>253</v>
      </c>
      <c r="H663" s="194" t="s">
        <v>254</v>
      </c>
      <c r="I663" s="97"/>
    </row>
    <row r="664" customFormat="false" ht="15.4" hidden="false" customHeight="true" outlineLevel="0" collapsed="false">
      <c r="A664" s="62"/>
      <c r="B664" s="193"/>
      <c r="C664" s="193"/>
      <c r="D664" s="193"/>
      <c r="E664" s="193"/>
      <c r="F664" s="193"/>
      <c r="G664" s="195"/>
      <c r="H664" s="195"/>
      <c r="I664" s="97"/>
    </row>
    <row r="665" customFormat="false" ht="15.4" hidden="false" customHeight="true" outlineLevel="0" collapsed="false">
      <c r="A665" s="62"/>
      <c r="B665" s="290" t="s">
        <v>562</v>
      </c>
      <c r="C665" s="290"/>
      <c r="D665" s="290"/>
      <c r="E665" s="290"/>
      <c r="F665" s="290"/>
      <c r="G665" s="290"/>
      <c r="H665" s="290"/>
      <c r="I665" s="97"/>
    </row>
    <row r="666" customFormat="false" ht="15.4" hidden="false" customHeight="true" outlineLevel="0" collapsed="false">
      <c r="A666" s="62"/>
      <c r="B666" s="193" t="s">
        <v>563</v>
      </c>
      <c r="C666" s="193"/>
      <c r="D666" s="193"/>
      <c r="E666" s="193"/>
      <c r="F666" s="193"/>
      <c r="G666" s="195"/>
      <c r="H666" s="195"/>
      <c r="I666" s="97"/>
    </row>
    <row r="667" customFormat="false" ht="15.4" hidden="false" customHeight="true" outlineLevel="0" collapsed="false">
      <c r="A667" s="62"/>
      <c r="G667" s="97"/>
      <c r="H667" s="97"/>
      <c r="I667" s="97"/>
    </row>
    <row r="668" customFormat="false" ht="15.4" hidden="false" customHeight="true" outlineLevel="0" collapsed="false">
      <c r="A668" s="191" t="s">
        <v>564</v>
      </c>
      <c r="B668" s="191"/>
      <c r="C668" s="191"/>
      <c r="D668" s="97"/>
      <c r="E668" s="97"/>
      <c r="F668" s="97"/>
      <c r="G668" s="97"/>
      <c r="H668" s="97"/>
      <c r="I668" s="97"/>
    </row>
    <row r="669" customFormat="false" ht="15.4" hidden="false" customHeight="true" outlineLevel="0" collapsed="false">
      <c r="A669" s="62"/>
      <c r="B669" s="97"/>
      <c r="C669" s="97"/>
      <c r="D669" s="97"/>
      <c r="E669" s="97"/>
      <c r="F669" s="97"/>
      <c r="G669" s="97"/>
      <c r="H669" s="97"/>
      <c r="I669" s="97"/>
    </row>
    <row r="670" customFormat="false" ht="15.4" hidden="false" customHeight="true" outlineLevel="0" collapsed="false">
      <c r="A670" s="62"/>
      <c r="B670" s="212" t="s">
        <v>565</v>
      </c>
      <c r="C670" s="212"/>
      <c r="D670" s="212"/>
      <c r="E670" s="97"/>
      <c r="F670" s="97"/>
      <c r="G670" s="194" t="s">
        <v>253</v>
      </c>
      <c r="H670" s="194" t="s">
        <v>254</v>
      </c>
      <c r="I670" s="97"/>
    </row>
    <row r="671" customFormat="false" ht="15.4" hidden="false" customHeight="true" outlineLevel="0" collapsed="false">
      <c r="A671" s="62" t="s">
        <v>566</v>
      </c>
      <c r="B671" s="193" t="s">
        <v>567</v>
      </c>
      <c r="C671" s="193"/>
      <c r="D671" s="193"/>
      <c r="E671" s="193"/>
      <c r="F671" s="193"/>
      <c r="G671" s="195"/>
      <c r="H671" s="195"/>
      <c r="I671" s="97"/>
    </row>
    <row r="672" customFormat="false" ht="15.4" hidden="false" customHeight="true" outlineLevel="0" collapsed="false">
      <c r="A672" s="62"/>
      <c r="B672" s="97"/>
      <c r="C672" s="97"/>
      <c r="D672" s="97"/>
      <c r="E672" s="97"/>
      <c r="F672" s="97"/>
      <c r="G672" s="97"/>
      <c r="H672" s="97"/>
      <c r="I672" s="97"/>
    </row>
    <row r="673" customFormat="false" ht="15.4" hidden="false" customHeight="true" outlineLevel="0" collapsed="false">
      <c r="A673" s="62"/>
      <c r="B673" s="193" t="s">
        <v>568</v>
      </c>
      <c r="C673" s="193"/>
      <c r="D673" s="193"/>
      <c r="E673" s="192"/>
      <c r="F673" s="195"/>
      <c r="G673" s="291" t="s">
        <v>569</v>
      </c>
      <c r="H673" s="97"/>
      <c r="I673" s="97"/>
    </row>
    <row r="674" customFormat="false" ht="15.4" hidden="false" customHeight="true" outlineLevel="0" collapsed="false">
      <c r="A674" s="62"/>
      <c r="B674" s="97"/>
      <c r="C674" s="97"/>
      <c r="D674" s="97"/>
      <c r="E674" s="97"/>
      <c r="F674" s="195"/>
      <c r="G674" s="291" t="s">
        <v>570</v>
      </c>
      <c r="H674" s="97"/>
      <c r="I674" s="97"/>
    </row>
    <row r="675" customFormat="false" ht="15.4" hidden="false" customHeight="true" outlineLevel="0" collapsed="false">
      <c r="A675" s="62"/>
      <c r="B675" s="97"/>
      <c r="C675" s="97"/>
      <c r="D675" s="97"/>
      <c r="E675" s="97"/>
      <c r="F675" s="195"/>
      <c r="G675" s="291" t="s">
        <v>571</v>
      </c>
      <c r="H675" s="97"/>
      <c r="I675" s="97"/>
    </row>
    <row r="676" customFormat="false" ht="15.4" hidden="false" customHeight="true" outlineLevel="0" collapsed="false">
      <c r="A676" s="62"/>
      <c r="B676" s="97"/>
      <c r="C676" s="97"/>
      <c r="D676" s="97"/>
      <c r="E676" s="97"/>
      <c r="F676" s="291"/>
      <c r="G676" s="291"/>
      <c r="H676" s="97"/>
      <c r="I676" s="97"/>
    </row>
    <row r="677" customFormat="false" ht="15.4" hidden="false" customHeight="true" outlineLevel="0" collapsed="false">
      <c r="A677" s="62"/>
      <c r="B677" s="245" t="s">
        <v>572</v>
      </c>
      <c r="C677" s="245"/>
      <c r="D677" s="245"/>
      <c r="E677" s="245"/>
      <c r="F677" s="163"/>
      <c r="G677" s="163"/>
      <c r="H677" s="62" t="s">
        <v>573</v>
      </c>
      <c r="I677" s="97"/>
    </row>
    <row r="678" customFormat="false" ht="15.4" hidden="false" customHeight="true" outlineLevel="0" collapsed="false">
      <c r="A678" s="62"/>
      <c r="B678" s="85"/>
      <c r="C678" s="89"/>
      <c r="D678" s="89"/>
      <c r="E678" s="292"/>
      <c r="F678" s="97"/>
      <c r="G678" s="97"/>
      <c r="H678" s="97"/>
      <c r="I678" s="97"/>
    </row>
    <row r="679" customFormat="false" ht="15.4" hidden="false" customHeight="true" outlineLevel="0" collapsed="false">
      <c r="A679" s="62" t="s">
        <v>574</v>
      </c>
      <c r="B679" s="193" t="s">
        <v>575</v>
      </c>
      <c r="C679" s="193"/>
      <c r="D679" s="193"/>
      <c r="E679" s="193"/>
      <c r="F679" s="193"/>
      <c r="G679" s="194" t="s">
        <v>253</v>
      </c>
      <c r="H679" s="194" t="s">
        <v>254</v>
      </c>
      <c r="I679" s="97"/>
    </row>
    <row r="680" customFormat="false" ht="15.4" hidden="false" customHeight="true" outlineLevel="0" collapsed="false">
      <c r="A680" s="62"/>
      <c r="B680" s="193"/>
      <c r="C680" s="193"/>
      <c r="D680" s="193"/>
      <c r="E680" s="193"/>
      <c r="F680" s="193"/>
      <c r="G680" s="195"/>
      <c r="H680" s="195"/>
      <c r="I680" s="97"/>
    </row>
    <row r="681" customFormat="false" ht="15.4" hidden="false" customHeight="true" outlineLevel="0" collapsed="false">
      <c r="A681" s="62"/>
      <c r="B681" s="97"/>
      <c r="C681" s="97"/>
      <c r="D681" s="97"/>
      <c r="E681" s="97"/>
      <c r="F681" s="97"/>
      <c r="G681" s="97"/>
      <c r="H681" s="97"/>
      <c r="I681" s="97"/>
    </row>
    <row r="682" customFormat="false" ht="15.4" hidden="false" customHeight="true" outlineLevel="0" collapsed="false">
      <c r="A682" s="62"/>
      <c r="B682" s="212" t="s">
        <v>576</v>
      </c>
      <c r="C682" s="212"/>
      <c r="D682" s="212"/>
      <c r="E682" s="97"/>
      <c r="F682" s="97"/>
      <c r="G682" s="194" t="s">
        <v>253</v>
      </c>
      <c r="H682" s="194" t="s">
        <v>254</v>
      </c>
      <c r="I682" s="97"/>
    </row>
    <row r="683" customFormat="false" ht="15.4" hidden="false" customHeight="true" outlineLevel="0" collapsed="false">
      <c r="A683" s="62" t="s">
        <v>574</v>
      </c>
      <c r="B683" s="238" t="s">
        <v>577</v>
      </c>
      <c r="C683" s="238"/>
      <c r="D683" s="238"/>
      <c r="E683" s="238"/>
      <c r="F683" s="238"/>
      <c r="G683" s="195"/>
      <c r="H683" s="195"/>
      <c r="I683" s="97"/>
    </row>
    <row r="684" customFormat="false" ht="15.4" hidden="false" customHeight="true" outlineLevel="0" collapsed="false">
      <c r="A684" s="62"/>
      <c r="B684" s="97"/>
      <c r="C684" s="97"/>
      <c r="D684" s="97"/>
      <c r="E684" s="97"/>
      <c r="F684" s="97"/>
      <c r="G684" s="97"/>
      <c r="H684" s="97"/>
      <c r="I684" s="97"/>
    </row>
    <row r="685" customFormat="false" ht="15.4" hidden="false" customHeight="true" outlineLevel="0" collapsed="false">
      <c r="A685" s="62"/>
      <c r="B685" s="193" t="s">
        <v>578</v>
      </c>
      <c r="C685" s="193"/>
      <c r="D685" s="193"/>
      <c r="E685" s="193"/>
      <c r="F685" s="193"/>
      <c r="G685" s="194" t="s">
        <v>253</v>
      </c>
      <c r="H685" s="194" t="s">
        <v>254</v>
      </c>
      <c r="I685" s="97"/>
    </row>
    <row r="686" customFormat="false" ht="15.4" hidden="false" customHeight="true" outlineLevel="0" collapsed="false">
      <c r="A686" s="62"/>
      <c r="B686" s="193"/>
      <c r="C686" s="193"/>
      <c r="D686" s="193"/>
      <c r="E686" s="193"/>
      <c r="F686" s="193"/>
      <c r="G686" s="195"/>
      <c r="H686" s="195"/>
      <c r="I686" s="97"/>
    </row>
    <row r="687" customFormat="false" ht="15.4" hidden="false" customHeight="true" outlineLevel="0" collapsed="false">
      <c r="A687" s="62"/>
      <c r="B687" s="193"/>
      <c r="C687" s="193"/>
      <c r="D687" s="193"/>
      <c r="E687" s="193"/>
      <c r="F687" s="193"/>
      <c r="G687" s="193"/>
      <c r="H687" s="193"/>
      <c r="I687" s="97"/>
    </row>
    <row r="688" customFormat="false" ht="15.4" hidden="false" customHeight="true" outlineLevel="0" collapsed="false">
      <c r="A688" s="62"/>
      <c r="B688" s="212" t="s">
        <v>579</v>
      </c>
      <c r="C688" s="212"/>
      <c r="D688" s="212"/>
      <c r="E688" s="97"/>
      <c r="F688" s="97"/>
      <c r="G688" s="97"/>
      <c r="H688" s="97"/>
      <c r="I688" s="97"/>
    </row>
    <row r="689" customFormat="false" ht="15.4" hidden="false" customHeight="true" outlineLevel="0" collapsed="false">
      <c r="A689" s="62" t="s">
        <v>227</v>
      </c>
      <c r="B689" s="193" t="s">
        <v>580</v>
      </c>
      <c r="C689" s="193"/>
      <c r="D689" s="193"/>
      <c r="E689" s="193"/>
      <c r="F689" s="193"/>
      <c r="G689" s="194" t="s">
        <v>253</v>
      </c>
      <c r="H689" s="194" t="s">
        <v>254</v>
      </c>
      <c r="I689" s="97"/>
    </row>
    <row r="690" customFormat="false" ht="15.4" hidden="false" customHeight="true" outlineLevel="0" collapsed="false">
      <c r="B690" s="193"/>
      <c r="C690" s="193"/>
      <c r="D690" s="193"/>
      <c r="E690" s="193"/>
      <c r="F690" s="193"/>
      <c r="G690" s="195"/>
      <c r="H690" s="195"/>
      <c r="I690" s="97"/>
    </row>
    <row r="691" customFormat="false" ht="15.4" hidden="false" customHeight="true" outlineLevel="0" collapsed="false">
      <c r="A691" s="62"/>
      <c r="B691" s="97"/>
      <c r="C691" s="97"/>
      <c r="D691" s="97"/>
      <c r="E691" s="97"/>
      <c r="F691" s="97"/>
      <c r="G691" s="97"/>
      <c r="H691" s="97"/>
      <c r="I691" s="97"/>
    </row>
    <row r="692" customFormat="false" ht="15.4" hidden="false" customHeight="true" outlineLevel="0" collapsed="false">
      <c r="A692" s="62" t="s">
        <v>574</v>
      </c>
      <c r="B692" s="193" t="s">
        <v>581</v>
      </c>
      <c r="C692" s="193"/>
      <c r="D692" s="193"/>
      <c r="E692" s="97"/>
      <c r="F692" s="97"/>
      <c r="G692" s="97"/>
      <c r="H692" s="97"/>
      <c r="I692" s="97"/>
    </row>
    <row r="693" customFormat="false" ht="15.4" hidden="false" customHeight="true" outlineLevel="0" collapsed="false">
      <c r="A693" s="62"/>
      <c r="B693" s="195"/>
      <c r="C693" s="293" t="s">
        <v>582</v>
      </c>
      <c r="D693" s="293"/>
      <c r="E693" s="293"/>
      <c r="F693" s="293"/>
      <c r="G693" s="293"/>
      <c r="H693" s="293"/>
      <c r="I693" s="293"/>
    </row>
    <row r="694" customFormat="false" ht="15.4" hidden="false" customHeight="true" outlineLevel="0" collapsed="false">
      <c r="A694" s="62"/>
      <c r="B694" s="195"/>
      <c r="C694" s="294" t="s">
        <v>583</v>
      </c>
      <c r="D694" s="294"/>
      <c r="E694" s="294"/>
      <c r="F694" s="294"/>
      <c r="G694" s="294"/>
      <c r="H694" s="294"/>
      <c r="I694" s="294"/>
    </row>
    <row r="695" customFormat="false" ht="15.4" hidden="false" customHeight="true" outlineLevel="0" collapsed="false">
      <c r="A695" s="62"/>
      <c r="B695" s="195"/>
      <c r="C695" s="293" t="s">
        <v>584</v>
      </c>
      <c r="D695" s="293"/>
      <c r="E695" s="293"/>
      <c r="F695" s="293"/>
      <c r="G695" s="293"/>
      <c r="H695" s="293"/>
      <c r="I695" s="293"/>
    </row>
    <row r="696" customFormat="false" ht="15.4" hidden="false" customHeight="true" outlineLevel="0" collapsed="false">
      <c r="A696" s="62"/>
      <c r="B696" s="195"/>
      <c r="C696" s="293" t="s">
        <v>585</v>
      </c>
      <c r="D696" s="293"/>
      <c r="E696" s="293"/>
      <c r="F696" s="293"/>
      <c r="G696" s="293"/>
      <c r="H696" s="293"/>
      <c r="I696" s="293"/>
    </row>
    <row r="697" customFormat="false" ht="15.4" hidden="false" customHeight="true" outlineLevel="0" collapsed="false">
      <c r="A697" s="62"/>
      <c r="B697" s="97"/>
      <c r="C697" s="97"/>
      <c r="D697" s="97"/>
      <c r="E697" s="97"/>
      <c r="F697" s="97"/>
      <c r="G697" s="194" t="s">
        <v>253</v>
      </c>
      <c r="H697" s="194" t="s">
        <v>254</v>
      </c>
      <c r="I697" s="97"/>
    </row>
    <row r="698" customFormat="false" ht="15.4" hidden="false" customHeight="true" outlineLevel="0" collapsed="false">
      <c r="A698" s="62"/>
      <c r="B698" s="193" t="s">
        <v>586</v>
      </c>
      <c r="C698" s="193"/>
      <c r="D698" s="193"/>
      <c r="E698" s="193"/>
      <c r="F698" s="193"/>
      <c r="G698" s="195"/>
      <c r="H698" s="195"/>
      <c r="I698" s="97"/>
    </row>
    <row r="699" customFormat="false" ht="15.4" hidden="false" customHeight="true" outlineLevel="0" collapsed="false">
      <c r="A699" s="62"/>
      <c r="B699" s="290" t="s">
        <v>587</v>
      </c>
      <c r="C699" s="290"/>
      <c r="D699" s="290"/>
      <c r="E699" s="290"/>
      <c r="F699" s="290"/>
      <c r="G699" s="290"/>
      <c r="H699" s="290"/>
      <c r="I699" s="97"/>
    </row>
    <row r="700" customFormat="false" ht="15.4" hidden="false" customHeight="true" outlineLevel="0" collapsed="false">
      <c r="A700" s="62"/>
      <c r="B700" s="97"/>
      <c r="C700" s="97"/>
      <c r="D700" s="97"/>
      <c r="E700" s="97"/>
      <c r="F700" s="97"/>
      <c r="G700" s="97"/>
      <c r="H700" s="97"/>
      <c r="I700" s="97"/>
    </row>
    <row r="701" customFormat="false" ht="15.4" hidden="false" customHeight="true" outlineLevel="0" collapsed="false">
      <c r="A701" s="62"/>
      <c r="B701" s="193" t="s">
        <v>588</v>
      </c>
      <c r="C701" s="193"/>
      <c r="D701" s="193"/>
      <c r="E701" s="193"/>
      <c r="F701" s="193"/>
      <c r="G701" s="194" t="s">
        <v>253</v>
      </c>
      <c r="H701" s="194" t="s">
        <v>254</v>
      </c>
      <c r="I701" s="97"/>
    </row>
    <row r="702" customFormat="false" ht="15.4" hidden="false" customHeight="true" outlineLevel="0" collapsed="false">
      <c r="A702" s="62"/>
      <c r="B702" s="193"/>
      <c r="C702" s="193"/>
      <c r="D702" s="193"/>
      <c r="E702" s="193"/>
      <c r="F702" s="193"/>
      <c r="G702" s="163"/>
      <c r="H702" s="163"/>
      <c r="I702" s="97"/>
    </row>
    <row r="703" customFormat="false" ht="15.4" hidden="false" customHeight="true" outlineLevel="0" collapsed="false">
      <c r="A703" s="62"/>
      <c r="B703" s="193"/>
      <c r="C703" s="193"/>
      <c r="D703" s="193"/>
      <c r="E703" s="193"/>
      <c r="F703" s="193"/>
      <c r="G703" s="163"/>
      <c r="H703" s="163"/>
      <c r="I703" s="97"/>
    </row>
    <row r="704" customFormat="false" ht="15.4" hidden="false" customHeight="true" outlineLevel="0" collapsed="false">
      <c r="A704" s="62"/>
      <c r="B704" s="97"/>
      <c r="C704" s="97"/>
      <c r="D704" s="97"/>
      <c r="E704" s="97"/>
      <c r="F704" s="97"/>
      <c r="G704" s="97"/>
      <c r="H704" s="97"/>
      <c r="I704" s="97"/>
    </row>
    <row r="705" customFormat="false" ht="15.4" hidden="false" customHeight="true" outlineLevel="0" collapsed="false">
      <c r="A705" s="62"/>
      <c r="B705" s="212" t="s">
        <v>589</v>
      </c>
      <c r="C705" s="212"/>
      <c r="D705" s="212"/>
      <c r="E705" s="97"/>
      <c r="F705" s="97"/>
      <c r="G705" s="97"/>
      <c r="H705" s="97"/>
      <c r="I705" s="97"/>
    </row>
    <row r="706" customFormat="false" ht="15.4" hidden="false" customHeight="true" outlineLevel="0" collapsed="false">
      <c r="A706" s="62" t="s">
        <v>574</v>
      </c>
      <c r="B706" s="193" t="s">
        <v>590</v>
      </c>
      <c r="C706" s="193"/>
      <c r="D706" s="193"/>
      <c r="E706" s="193"/>
      <c r="F706" s="193"/>
      <c r="G706" s="194" t="s">
        <v>253</v>
      </c>
      <c r="H706" s="194" t="s">
        <v>254</v>
      </c>
      <c r="I706" s="97"/>
    </row>
    <row r="707" customFormat="false" ht="15.4" hidden="false" customHeight="true" outlineLevel="0" collapsed="false">
      <c r="A707" s="62"/>
      <c r="B707" s="193"/>
      <c r="C707" s="193"/>
      <c r="D707" s="193"/>
      <c r="E707" s="193"/>
      <c r="F707" s="193"/>
      <c r="G707" s="195"/>
      <c r="H707" s="195"/>
      <c r="I707" s="97"/>
    </row>
    <row r="708" customFormat="false" ht="15.4" hidden="false" customHeight="true" outlineLevel="0" collapsed="false">
      <c r="A708" s="62"/>
      <c r="B708" s="193" t="s">
        <v>591</v>
      </c>
      <c r="C708" s="193"/>
      <c r="D708" s="193"/>
      <c r="E708" s="193"/>
      <c r="F708" s="193"/>
      <c r="G708" s="97"/>
      <c r="H708" s="97"/>
      <c r="I708" s="97"/>
    </row>
    <row r="709" customFormat="false" ht="15.4" hidden="false" customHeight="true" outlineLevel="0" collapsed="false">
      <c r="A709" s="62"/>
      <c r="B709" s="193"/>
      <c r="C709" s="193"/>
      <c r="D709" s="193"/>
      <c r="E709" s="193"/>
      <c r="F709" s="193"/>
      <c r="G709" s="195"/>
      <c r="H709" s="195"/>
      <c r="I709" s="97"/>
    </row>
    <row r="710" customFormat="false" ht="15.4" hidden="false" customHeight="true" outlineLevel="0" collapsed="false">
      <c r="A710" s="62"/>
      <c r="B710" s="97"/>
      <c r="C710" s="97"/>
      <c r="D710" s="97"/>
      <c r="E710" s="97"/>
      <c r="F710" s="97"/>
      <c r="G710" s="97"/>
      <c r="H710" s="97"/>
      <c r="I710" s="97"/>
    </row>
    <row r="711" customFormat="false" ht="15.4" hidden="false" customHeight="true" outlineLevel="0" collapsed="false">
      <c r="A711" s="62" t="s">
        <v>574</v>
      </c>
      <c r="B711" s="193" t="s">
        <v>592</v>
      </c>
      <c r="C711" s="193"/>
      <c r="D711" s="193"/>
      <c r="E711" s="193"/>
      <c r="F711" s="193"/>
      <c r="G711" s="97"/>
      <c r="H711" s="97"/>
      <c r="I711" s="97"/>
    </row>
    <row r="712" customFormat="false" ht="15.4" hidden="false" customHeight="true" outlineLevel="0" collapsed="false">
      <c r="A712" s="62" t="s">
        <v>227</v>
      </c>
      <c r="B712" s="193"/>
      <c r="C712" s="193"/>
      <c r="D712" s="193"/>
      <c r="E712" s="193"/>
      <c r="F712" s="193"/>
      <c r="G712" s="194" t="s">
        <v>253</v>
      </c>
      <c r="H712" s="194" t="s">
        <v>254</v>
      </c>
      <c r="I712" s="97"/>
    </row>
    <row r="713" customFormat="false" ht="15.4" hidden="false" customHeight="true" outlineLevel="0" collapsed="false">
      <c r="A713" s="62"/>
      <c r="B713" s="193"/>
      <c r="C713" s="193"/>
      <c r="D713" s="193"/>
      <c r="E713" s="193"/>
      <c r="F713" s="193"/>
      <c r="G713" s="195"/>
      <c r="H713" s="195"/>
      <c r="I713" s="97"/>
    </row>
    <row r="714" customFormat="false" ht="15.4" hidden="false" customHeight="true" outlineLevel="0" collapsed="false">
      <c r="A714" s="62"/>
      <c r="B714" s="97"/>
      <c r="C714" s="97"/>
      <c r="D714" s="97"/>
      <c r="E714" s="97"/>
      <c r="F714" s="97"/>
      <c r="G714" s="97"/>
      <c r="H714" s="97"/>
      <c r="I714" s="97"/>
    </row>
    <row r="715" customFormat="false" ht="15.4" hidden="false" customHeight="true" outlineLevel="0" collapsed="false">
      <c r="A715" s="62"/>
      <c r="B715" s="212" t="s">
        <v>593</v>
      </c>
      <c r="C715" s="212"/>
      <c r="D715" s="212"/>
      <c r="E715" s="97"/>
      <c r="F715" s="97"/>
      <c r="G715" s="97"/>
      <c r="H715" s="97"/>
      <c r="I715" s="97"/>
    </row>
    <row r="716" customFormat="false" ht="15.4" hidden="false" customHeight="true" outlineLevel="0" collapsed="false">
      <c r="A716" s="62" t="s">
        <v>594</v>
      </c>
      <c r="B716" s="193" t="s">
        <v>595</v>
      </c>
      <c r="C716" s="193"/>
      <c r="D716" s="193"/>
      <c r="E716" s="193"/>
      <c r="F716" s="193"/>
      <c r="G716" s="194" t="s">
        <v>253</v>
      </c>
      <c r="H716" s="194" t="s">
        <v>254</v>
      </c>
      <c r="I716" s="97"/>
    </row>
    <row r="717" customFormat="false" ht="15.4" hidden="false" customHeight="true" outlineLevel="0" collapsed="false">
      <c r="A717" s="62"/>
      <c r="B717" s="193"/>
      <c r="C717" s="193"/>
      <c r="D717" s="193"/>
      <c r="E717" s="193"/>
      <c r="F717" s="193"/>
      <c r="G717" s="195"/>
      <c r="H717" s="195"/>
      <c r="I717" s="97"/>
    </row>
    <row r="718" customFormat="false" ht="15.4" hidden="false" customHeight="true" outlineLevel="0" collapsed="false">
      <c r="A718" s="62"/>
      <c r="B718" s="97"/>
      <c r="C718" s="97"/>
      <c r="D718" s="97"/>
      <c r="E718" s="97"/>
      <c r="F718" s="97"/>
      <c r="G718" s="97"/>
      <c r="H718" s="97"/>
      <c r="I718" s="97"/>
    </row>
    <row r="719" customFormat="false" ht="15.4" hidden="false" customHeight="true" outlineLevel="0" collapsed="false">
      <c r="A719" s="62"/>
      <c r="B719" s="193" t="s">
        <v>596</v>
      </c>
      <c r="C719" s="193"/>
      <c r="D719" s="193"/>
      <c r="E719" s="193"/>
      <c r="F719" s="193"/>
      <c r="G719" s="194" t="s">
        <v>253</v>
      </c>
      <c r="H719" s="194" t="s">
        <v>254</v>
      </c>
      <c r="I719" s="97"/>
    </row>
    <row r="720" customFormat="false" ht="15.4" hidden="false" customHeight="true" outlineLevel="0" collapsed="false">
      <c r="A720" s="62"/>
      <c r="B720" s="193"/>
      <c r="C720" s="193"/>
      <c r="D720" s="193"/>
      <c r="E720" s="193"/>
      <c r="F720" s="193"/>
      <c r="G720" s="195"/>
      <c r="H720" s="195"/>
      <c r="I720" s="97"/>
    </row>
    <row r="721" customFormat="false" ht="15.4" hidden="false" customHeight="true" outlineLevel="0" collapsed="false">
      <c r="A721" s="62"/>
      <c r="B721" s="274" t="s">
        <v>597</v>
      </c>
      <c r="C721" s="274"/>
      <c r="D721" s="274"/>
      <c r="E721" s="274"/>
      <c r="F721" s="274"/>
      <c r="G721" s="274"/>
      <c r="H721" s="274"/>
      <c r="I721" s="97"/>
    </row>
    <row r="722" customFormat="false" ht="20.25" hidden="false" customHeight="true" outlineLevel="0" collapsed="false">
      <c r="A722" s="62"/>
      <c r="B722" s="274"/>
      <c r="C722" s="274"/>
      <c r="D722" s="274"/>
      <c r="E722" s="274"/>
      <c r="F722" s="274"/>
      <c r="G722" s="274"/>
      <c r="H722" s="274"/>
      <c r="I722" s="97"/>
    </row>
    <row r="723" customFormat="false" ht="15" hidden="false" customHeight="true" outlineLevel="0" collapsed="false">
      <c r="A723" s="62"/>
      <c r="B723" s="97"/>
      <c r="C723" s="97"/>
      <c r="D723" s="97"/>
      <c r="E723" s="97"/>
      <c r="F723" s="97"/>
      <c r="G723" s="97"/>
      <c r="H723" s="97"/>
      <c r="I723" s="97"/>
    </row>
    <row r="724" customFormat="false" ht="15.4" hidden="false" customHeight="true" outlineLevel="0" collapsed="false">
      <c r="A724" s="62"/>
      <c r="B724" s="193" t="s">
        <v>598</v>
      </c>
      <c r="C724" s="193"/>
      <c r="D724" s="193"/>
      <c r="E724" s="193"/>
      <c r="F724" s="193"/>
      <c r="G724" s="75"/>
      <c r="H724" s="97"/>
      <c r="I724" s="97"/>
    </row>
    <row r="725" customFormat="false" ht="15.4" hidden="false" customHeight="true" outlineLevel="0" collapsed="false">
      <c r="A725" s="62"/>
      <c r="B725" s="193"/>
      <c r="C725" s="193"/>
      <c r="D725" s="193"/>
      <c r="E725" s="193"/>
      <c r="F725" s="193"/>
      <c r="G725" s="253"/>
      <c r="H725" s="253"/>
      <c r="I725" s="97"/>
    </row>
    <row r="726" customFormat="false" ht="15.4" hidden="false" customHeight="true" outlineLevel="0" collapsed="false">
      <c r="A726" s="62"/>
      <c r="B726" s="295" t="s">
        <v>599</v>
      </c>
      <c r="C726" s="295"/>
      <c r="D726" s="295"/>
      <c r="E726" s="295"/>
      <c r="F726" s="295"/>
      <c r="G726" s="295"/>
      <c r="H726" s="295"/>
      <c r="I726" s="97"/>
    </row>
    <row r="727" customFormat="false" ht="15.4" hidden="false" customHeight="true" outlineLevel="0" collapsed="false">
      <c r="A727" s="62"/>
      <c r="B727" s="295"/>
      <c r="C727" s="295"/>
      <c r="D727" s="295"/>
      <c r="E727" s="295"/>
      <c r="F727" s="295"/>
      <c r="G727" s="295"/>
      <c r="H727" s="295"/>
      <c r="I727" s="97"/>
    </row>
    <row r="728" customFormat="false" ht="15.4" hidden="false" customHeight="true" outlineLevel="0" collapsed="false">
      <c r="A728" s="62"/>
      <c r="B728" s="295"/>
      <c r="C728" s="295"/>
      <c r="D728" s="295"/>
      <c r="E728" s="295"/>
      <c r="F728" s="295"/>
      <c r="G728" s="295"/>
      <c r="H728" s="295"/>
      <c r="I728" s="97"/>
    </row>
    <row r="729" customFormat="false" ht="15.4" hidden="false" customHeight="true" outlineLevel="0" collapsed="false">
      <c r="A729" s="62"/>
      <c r="B729" s="295"/>
      <c r="C729" s="295"/>
      <c r="D729" s="295"/>
      <c r="E729" s="295"/>
      <c r="F729" s="295"/>
      <c r="G729" s="295"/>
      <c r="H729" s="295"/>
      <c r="I729" s="97"/>
    </row>
    <row r="730" customFormat="false" ht="11.25" hidden="false" customHeight="true" outlineLevel="0" collapsed="false">
      <c r="A730" s="62"/>
      <c r="B730" s="295"/>
      <c r="C730" s="295"/>
      <c r="D730" s="295"/>
      <c r="E730" s="295"/>
      <c r="F730" s="295"/>
      <c r="G730" s="295"/>
      <c r="H730" s="295"/>
      <c r="I730" s="97"/>
    </row>
    <row r="731" customFormat="false" ht="15.4" hidden="false" customHeight="true" outlineLevel="0" collapsed="false">
      <c r="A731" s="191" t="s">
        <v>600</v>
      </c>
      <c r="B731" s="191"/>
      <c r="C731" s="191"/>
      <c r="D731" s="97"/>
      <c r="E731" s="97"/>
      <c r="F731" s="97"/>
      <c r="G731" s="97"/>
      <c r="H731" s="97"/>
      <c r="I731" s="97"/>
    </row>
    <row r="732" customFormat="false" ht="15.4" hidden="false" customHeight="true" outlineLevel="0" collapsed="false">
      <c r="A732" s="62"/>
      <c r="B732" s="97"/>
      <c r="C732" s="97"/>
      <c r="D732" s="97"/>
      <c r="E732" s="97"/>
      <c r="F732" s="97"/>
      <c r="G732" s="97"/>
      <c r="H732" s="97"/>
      <c r="I732" s="97"/>
    </row>
    <row r="733" customFormat="false" ht="15.4" hidden="false" customHeight="true" outlineLevel="0" collapsed="false">
      <c r="A733" s="62"/>
      <c r="B733" s="212" t="s">
        <v>601</v>
      </c>
      <c r="C733" s="212"/>
      <c r="D733" s="212"/>
      <c r="E733" s="97"/>
      <c r="F733" s="97"/>
      <c r="G733" s="97"/>
      <c r="H733" s="97"/>
      <c r="I733" s="97"/>
    </row>
    <row r="734" customFormat="false" ht="15.4" hidden="false" customHeight="true" outlineLevel="0" collapsed="false">
      <c r="A734" s="62" t="s">
        <v>480</v>
      </c>
      <c r="B734" s="292"/>
      <c r="C734" s="75"/>
      <c r="D734" s="203" t="s">
        <v>602</v>
      </c>
      <c r="E734" s="97"/>
      <c r="F734" s="97"/>
      <c r="G734" s="97"/>
      <c r="H734" s="203" t="s">
        <v>603</v>
      </c>
      <c r="I734" s="97"/>
    </row>
    <row r="735" customFormat="false" ht="15.4" hidden="false" customHeight="true" outlineLevel="0" collapsed="false">
      <c r="A735" s="62"/>
      <c r="B735" s="62"/>
      <c r="C735" s="296"/>
      <c r="D735" s="204" t="s">
        <v>604</v>
      </c>
      <c r="E735" s="97"/>
      <c r="F735" s="62"/>
      <c r="G735" s="62"/>
      <c r="H735" s="204" t="s">
        <v>94</v>
      </c>
      <c r="I735" s="97"/>
    </row>
    <row r="736" customFormat="false" ht="15.4" hidden="false" customHeight="true" outlineLevel="0" collapsed="false">
      <c r="A736" s="297" t="s">
        <v>605</v>
      </c>
      <c r="B736" s="297"/>
      <c r="C736" s="297"/>
      <c r="D736" s="298"/>
      <c r="E736" s="299" t="s">
        <v>606</v>
      </c>
      <c r="F736" s="299"/>
      <c r="G736" s="299"/>
      <c r="H736" s="298"/>
      <c r="I736" s="97"/>
    </row>
    <row r="737" customFormat="false" ht="15.4" hidden="false" customHeight="true" outlineLevel="0" collapsed="false">
      <c r="A737" s="297" t="s">
        <v>607</v>
      </c>
      <c r="B737" s="297"/>
      <c r="C737" s="297"/>
      <c r="D737" s="300"/>
      <c r="E737" s="299" t="s">
        <v>608</v>
      </c>
      <c r="F737" s="299"/>
      <c r="G737" s="299"/>
      <c r="H737" s="300"/>
      <c r="I737" s="97"/>
    </row>
    <row r="738" customFormat="false" ht="15.4" hidden="false" customHeight="true" outlineLevel="0" collapsed="false">
      <c r="A738" s="297" t="s">
        <v>609</v>
      </c>
      <c r="B738" s="297"/>
      <c r="C738" s="297"/>
      <c r="D738" s="300"/>
      <c r="E738" s="299" t="s">
        <v>610</v>
      </c>
      <c r="F738" s="299"/>
      <c r="G738" s="299"/>
      <c r="H738" s="301"/>
      <c r="I738" s="97"/>
    </row>
    <row r="739" customFormat="false" ht="15.4" hidden="false" customHeight="true" outlineLevel="0" collapsed="false">
      <c r="A739" s="297" t="s">
        <v>611</v>
      </c>
      <c r="B739" s="297"/>
      <c r="C739" s="297"/>
      <c r="D739" s="300"/>
      <c r="E739" s="299" t="s">
        <v>370</v>
      </c>
      <c r="F739" s="299"/>
      <c r="G739" s="299"/>
      <c r="H739" s="302"/>
      <c r="I739" s="97"/>
    </row>
    <row r="740" customFormat="false" ht="15.4" hidden="false" customHeight="true" outlineLevel="0" collapsed="false">
      <c r="A740" s="297" t="s">
        <v>612</v>
      </c>
      <c r="B740" s="297"/>
      <c r="C740" s="297"/>
      <c r="D740" s="300"/>
      <c r="E740" s="303" t="s">
        <v>613</v>
      </c>
      <c r="F740" s="303"/>
      <c r="G740" s="303"/>
      <c r="H740" s="302"/>
      <c r="I740" s="97"/>
    </row>
    <row r="741" customFormat="false" ht="15.4" hidden="false" customHeight="true" outlineLevel="0" collapsed="false">
      <c r="A741" s="243" t="s">
        <v>614</v>
      </c>
      <c r="B741" s="243"/>
      <c r="C741" s="243"/>
      <c r="D741" s="300"/>
      <c r="E741" s="304" t="s">
        <v>615</v>
      </c>
      <c r="F741" s="304"/>
      <c r="G741" s="304"/>
      <c r="H741" s="305"/>
      <c r="I741" s="97"/>
    </row>
    <row r="742" customFormat="false" ht="15.4" hidden="false" customHeight="true" outlineLevel="0" collapsed="false">
      <c r="A742" s="62"/>
      <c r="B742" s="97"/>
      <c r="C742" s="97"/>
      <c r="D742" s="97"/>
      <c r="E742" s="304"/>
      <c r="F742" s="304"/>
      <c r="G742" s="304"/>
      <c r="H742" s="305"/>
      <c r="I742" s="97"/>
    </row>
    <row r="743" customFormat="false" ht="15.4" hidden="false" customHeight="true" outlineLevel="0" collapsed="false">
      <c r="A743" s="62"/>
      <c r="B743" s="97"/>
      <c r="C743" s="97"/>
      <c r="D743" s="97"/>
      <c r="E743" s="304"/>
      <c r="F743" s="304"/>
      <c r="G743" s="304"/>
      <c r="H743" s="305"/>
      <c r="I743" s="97"/>
    </row>
    <row r="744" customFormat="false" ht="15.4" hidden="false" customHeight="true" outlineLevel="0" collapsed="false">
      <c r="A744" s="62"/>
      <c r="B744" s="97"/>
      <c r="C744" s="97"/>
      <c r="D744" s="97"/>
      <c r="E744" s="97"/>
      <c r="F744" s="97"/>
      <c r="G744" s="97"/>
      <c r="H744" s="97"/>
      <c r="I744" s="97"/>
    </row>
    <row r="745" customFormat="false" ht="15.4" hidden="false" customHeight="true" outlineLevel="0" collapsed="false">
      <c r="A745" s="62" t="s">
        <v>480</v>
      </c>
      <c r="B745" s="193" t="s">
        <v>616</v>
      </c>
      <c r="C745" s="193"/>
      <c r="D745" s="193"/>
      <c r="E745" s="193"/>
      <c r="F745" s="193"/>
      <c r="G745" s="253"/>
      <c r="H745" s="253"/>
      <c r="I745" s="97"/>
    </row>
    <row r="746" customFormat="false" ht="9" hidden="false" customHeight="true" outlineLevel="0" collapsed="false">
      <c r="A746" s="62"/>
      <c r="B746" s="97"/>
      <c r="C746" s="97"/>
      <c r="D746" s="97"/>
      <c r="E746" s="97"/>
      <c r="F746" s="192"/>
      <c r="G746" s="97"/>
      <c r="H746" s="97"/>
      <c r="I746" s="97"/>
    </row>
    <row r="747" customFormat="false" ht="15.4" hidden="false" customHeight="true" outlineLevel="0" collapsed="false">
      <c r="A747" s="62"/>
      <c r="B747" s="196" t="s">
        <v>617</v>
      </c>
      <c r="C747" s="196"/>
      <c r="D747" s="196"/>
      <c r="E747" s="196"/>
      <c r="F747" s="196"/>
      <c r="G747" s="97"/>
      <c r="H747" s="97"/>
      <c r="I747" s="97"/>
    </row>
    <row r="748" customFormat="false" ht="15.4" hidden="false" customHeight="true" outlineLevel="0" collapsed="false">
      <c r="A748" s="62"/>
      <c r="B748" s="196"/>
      <c r="C748" s="196"/>
      <c r="D748" s="196"/>
      <c r="E748" s="196"/>
      <c r="F748" s="196"/>
      <c r="G748" s="253"/>
      <c r="H748" s="253"/>
      <c r="I748" s="97"/>
    </row>
    <row r="749" customFormat="false" ht="15.4" hidden="false" customHeight="true" outlineLevel="0" collapsed="false">
      <c r="A749" s="62"/>
      <c r="B749" s="97"/>
      <c r="C749" s="97"/>
      <c r="D749" s="97"/>
      <c r="E749" s="97"/>
      <c r="F749" s="97"/>
      <c r="G749" s="97"/>
      <c r="H749" s="97"/>
      <c r="I749" s="97"/>
    </row>
    <row r="750" customFormat="false" ht="15.4" hidden="false" customHeight="true" outlineLevel="0" collapsed="false">
      <c r="A750" s="62" t="s">
        <v>271</v>
      </c>
      <c r="B750" s="193" t="s">
        <v>618</v>
      </c>
      <c r="C750" s="193"/>
      <c r="D750" s="193"/>
      <c r="E750" s="193"/>
      <c r="F750" s="193"/>
      <c r="G750" s="194" t="s">
        <v>253</v>
      </c>
      <c r="H750" s="194" t="s">
        <v>254</v>
      </c>
      <c r="I750" s="97"/>
    </row>
    <row r="751" customFormat="false" ht="15.4" hidden="false" customHeight="true" outlineLevel="0" collapsed="false">
      <c r="A751" s="62"/>
      <c r="B751" s="193"/>
      <c r="C751" s="193"/>
      <c r="D751" s="193"/>
      <c r="E751" s="193"/>
      <c r="F751" s="193"/>
      <c r="G751" s="195"/>
      <c r="H751" s="195"/>
      <c r="I751" s="97"/>
    </row>
    <row r="752" customFormat="false" ht="15.4" hidden="false" customHeight="true" outlineLevel="0" collapsed="false">
      <c r="A752" s="62"/>
      <c r="B752" s="97"/>
      <c r="C752" s="97"/>
      <c r="D752" s="97"/>
      <c r="E752" s="97"/>
      <c r="F752" s="97"/>
      <c r="G752" s="97"/>
      <c r="H752" s="97"/>
      <c r="I752" s="97"/>
    </row>
    <row r="753" customFormat="false" ht="15.4" hidden="false" customHeight="true" outlineLevel="0" collapsed="false">
      <c r="A753" s="62"/>
      <c r="B753" s="306" t="s">
        <v>619</v>
      </c>
      <c r="C753" s="306"/>
      <c r="D753" s="306"/>
      <c r="E753" s="306"/>
      <c r="F753" s="195"/>
      <c r="G753" s="97" t="s">
        <v>620</v>
      </c>
      <c r="H753" s="97"/>
      <c r="I753" s="97"/>
    </row>
    <row r="754" customFormat="false" ht="15.4" hidden="false" customHeight="true" outlineLevel="0" collapsed="false">
      <c r="A754" s="62"/>
      <c r="B754" s="97"/>
      <c r="C754" s="97"/>
      <c r="D754" s="97"/>
      <c r="E754" s="97"/>
      <c r="F754" s="195"/>
      <c r="G754" s="97" t="s">
        <v>621</v>
      </c>
      <c r="H754" s="97"/>
      <c r="I754" s="97"/>
    </row>
    <row r="755" customFormat="false" ht="15.4" hidden="false" customHeight="true" outlineLevel="0" collapsed="false">
      <c r="A755" s="62"/>
      <c r="B755" s="97"/>
      <c r="C755" s="97"/>
      <c r="D755" s="97"/>
      <c r="E755" s="97"/>
      <c r="F755" s="195"/>
      <c r="G755" s="97" t="s">
        <v>622</v>
      </c>
      <c r="H755" s="97"/>
      <c r="I755" s="97"/>
    </row>
    <row r="756" customFormat="false" ht="15.4" hidden="false" customHeight="true" outlineLevel="0" collapsed="false">
      <c r="A756" s="62"/>
      <c r="B756" s="97"/>
      <c r="C756" s="97"/>
      <c r="D756" s="97"/>
      <c r="E756" s="97"/>
      <c r="F756" s="195"/>
      <c r="G756" s="97" t="s">
        <v>623</v>
      </c>
      <c r="H756" s="97"/>
      <c r="I756" s="97"/>
    </row>
    <row r="757" customFormat="false" ht="15.4" hidden="false" customHeight="true" outlineLevel="0" collapsed="false">
      <c r="A757" s="62"/>
      <c r="B757" s="97"/>
      <c r="C757" s="97"/>
      <c r="D757" s="97"/>
      <c r="E757" s="97"/>
      <c r="F757" s="97"/>
      <c r="G757" s="97"/>
      <c r="H757" s="97"/>
      <c r="I757" s="97"/>
    </row>
    <row r="758" customFormat="false" ht="15.4" hidden="false" customHeight="true" outlineLevel="0" collapsed="false">
      <c r="A758" s="62" t="s">
        <v>624</v>
      </c>
      <c r="B758" s="212" t="s">
        <v>625</v>
      </c>
      <c r="C758" s="212"/>
      <c r="D758" s="212"/>
      <c r="E758" s="97"/>
      <c r="F758" s="97"/>
      <c r="G758" s="97"/>
      <c r="H758" s="97"/>
      <c r="I758" s="97"/>
    </row>
    <row r="759" customFormat="false" ht="15.4" hidden="false" customHeight="true" outlineLevel="0" collapsed="false">
      <c r="A759" s="190" t="s">
        <v>626</v>
      </c>
      <c r="B759" s="190"/>
      <c r="C759" s="190"/>
      <c r="D759" s="190"/>
      <c r="E759" s="190"/>
      <c r="G759" s="194" t="s">
        <v>253</v>
      </c>
      <c r="H759" s="194" t="s">
        <v>254</v>
      </c>
    </row>
    <row r="760" customFormat="false" ht="15.4" hidden="false" customHeight="true" outlineLevel="0" collapsed="false">
      <c r="A760" s="62"/>
      <c r="B760" s="97" t="s">
        <v>627</v>
      </c>
      <c r="C760" s="307"/>
      <c r="D760" s="11"/>
      <c r="G760" s="195"/>
      <c r="H760" s="195"/>
    </row>
    <row r="761" customFormat="false" ht="11.25" hidden="false" customHeight="true" outlineLevel="0" collapsed="false">
      <c r="A761" s="62"/>
      <c r="B761" s="308" t="s">
        <v>628</v>
      </c>
      <c r="C761" s="308"/>
      <c r="D761" s="308"/>
      <c r="E761" s="308"/>
      <c r="F761" s="308"/>
      <c r="G761" s="163"/>
      <c r="H761" s="163"/>
    </row>
    <row r="762" customFormat="false" ht="15.4" hidden="false" customHeight="true" outlineLevel="0" collapsed="false">
      <c r="A762" s="62"/>
      <c r="B762" s="308"/>
      <c r="C762" s="308"/>
      <c r="D762" s="308"/>
      <c r="E762" s="308"/>
      <c r="F762" s="308"/>
      <c r="G762" s="163"/>
      <c r="H762" s="163"/>
    </row>
    <row r="763" customFormat="false" ht="15.4" hidden="false" customHeight="true" outlineLevel="0" collapsed="false">
      <c r="A763" s="62"/>
      <c r="B763" s="97" t="s">
        <v>629</v>
      </c>
      <c r="C763" s="309"/>
      <c r="D763" s="309"/>
      <c r="G763" s="195"/>
      <c r="H763" s="195"/>
    </row>
    <row r="764" customFormat="false" ht="15.4" hidden="false" customHeight="true" outlineLevel="0" collapsed="false">
      <c r="A764" s="62"/>
      <c r="B764" s="97" t="s">
        <v>630</v>
      </c>
      <c r="C764" s="307"/>
      <c r="D764" s="11"/>
      <c r="G764" s="195"/>
      <c r="H764" s="195"/>
    </row>
    <row r="765" customFormat="false" ht="22.5" hidden="false" customHeight="true" outlineLevel="0" collapsed="false">
      <c r="A765" s="62"/>
      <c r="B765" s="308" t="s">
        <v>631</v>
      </c>
      <c r="C765" s="308"/>
      <c r="D765" s="308"/>
      <c r="E765" s="308"/>
      <c r="F765" s="308"/>
      <c r="G765" s="163"/>
      <c r="H765" s="163"/>
      <c r="L765" s="19"/>
      <c r="M765" s="19"/>
    </row>
    <row r="766" customFormat="false" ht="15.4" hidden="false" customHeight="true" outlineLevel="0" collapsed="false">
      <c r="A766" s="62"/>
      <c r="B766" s="308"/>
      <c r="C766" s="308"/>
      <c r="D766" s="308"/>
      <c r="E766" s="308"/>
      <c r="F766" s="308"/>
      <c r="G766" s="163"/>
      <c r="H766" s="163"/>
    </row>
    <row r="767" customFormat="false" ht="15.4" hidden="false" customHeight="true" outlineLevel="0" collapsed="false">
      <c r="A767" s="62"/>
      <c r="B767" s="97" t="s">
        <v>632</v>
      </c>
      <c r="C767" s="307"/>
      <c r="D767" s="11"/>
      <c r="G767" s="195"/>
      <c r="H767" s="195"/>
    </row>
    <row r="768" customFormat="false" ht="15.4" hidden="false" customHeight="true" outlineLevel="0" collapsed="false">
      <c r="A768" s="62"/>
      <c r="B768" s="97" t="s">
        <v>633</v>
      </c>
      <c r="C768" s="307"/>
      <c r="D768" s="11"/>
      <c r="G768" s="195"/>
      <c r="H768" s="195"/>
    </row>
    <row r="769" customFormat="false" ht="15.4" hidden="false" customHeight="true" outlineLevel="0" collapsed="false">
      <c r="F769" s="11"/>
    </row>
    <row r="770" customFormat="false" ht="15.4" hidden="false" customHeight="true" outlineLevel="0" collapsed="false">
      <c r="A770" s="190" t="s">
        <v>634</v>
      </c>
      <c r="B770" s="190"/>
      <c r="C770" s="190"/>
      <c r="D770" s="190"/>
      <c r="E770" s="190"/>
      <c r="G770" s="194" t="s">
        <v>253</v>
      </c>
      <c r="H770" s="194" t="s">
        <v>254</v>
      </c>
    </row>
    <row r="771" customFormat="false" ht="12.75" hidden="false" customHeight="true" outlineLevel="0" collapsed="false">
      <c r="A771" s="62"/>
      <c r="B771" s="310" t="s">
        <v>635</v>
      </c>
      <c r="C771" s="310"/>
      <c r="D771" s="310"/>
      <c r="E771" s="310"/>
      <c r="F771" s="310"/>
      <c r="G771" s="163"/>
      <c r="H771" s="163"/>
      <c r="I771" s="97"/>
    </row>
    <row r="772" customFormat="false" ht="15.4" hidden="false" customHeight="true" outlineLevel="0" collapsed="false">
      <c r="A772" s="62"/>
      <c r="B772" s="310"/>
      <c r="C772" s="310"/>
      <c r="D772" s="310"/>
      <c r="E772" s="310"/>
      <c r="F772" s="310"/>
      <c r="G772" s="163"/>
      <c r="H772" s="163"/>
      <c r="I772" s="97"/>
    </row>
    <row r="773" customFormat="false" ht="12.75" hidden="false" customHeight="true" outlineLevel="0" collapsed="false">
      <c r="A773" s="62"/>
      <c r="B773" s="310" t="s">
        <v>636</v>
      </c>
      <c r="C773" s="310"/>
      <c r="D773" s="310"/>
      <c r="E773" s="310"/>
      <c r="F773" s="310"/>
      <c r="G773" s="163"/>
      <c r="H773" s="163"/>
      <c r="I773" s="97"/>
    </row>
    <row r="774" customFormat="false" ht="15.4" hidden="false" customHeight="true" outlineLevel="0" collapsed="false">
      <c r="A774" s="62"/>
      <c r="B774" s="310"/>
      <c r="C774" s="310"/>
      <c r="D774" s="310"/>
      <c r="E774" s="310"/>
      <c r="F774" s="310"/>
      <c r="G774" s="163"/>
      <c r="H774" s="163"/>
      <c r="I774" s="97"/>
    </row>
    <row r="775" customFormat="false" ht="13.5" hidden="false" customHeight="true" outlineLevel="0" collapsed="false">
      <c r="A775" s="62"/>
      <c r="B775" s="97" t="s">
        <v>637</v>
      </c>
      <c r="G775" s="195"/>
      <c r="H775" s="195"/>
      <c r="I775" s="97"/>
    </row>
    <row r="776" customFormat="false" ht="11.25" hidden="false" customHeight="true" outlineLevel="0" collapsed="false">
      <c r="A776" s="62"/>
      <c r="B776" s="310" t="s">
        <v>638</v>
      </c>
      <c r="C776" s="310"/>
      <c r="D776" s="310"/>
      <c r="E776" s="310"/>
      <c r="F776" s="310"/>
      <c r="G776" s="163"/>
      <c r="H776" s="163"/>
      <c r="I776" s="97"/>
    </row>
    <row r="777" customFormat="false" ht="15.4" hidden="false" customHeight="true" outlineLevel="0" collapsed="false">
      <c r="A777" s="62"/>
      <c r="B777" s="310"/>
      <c r="C777" s="310"/>
      <c r="D777" s="310"/>
      <c r="E777" s="310"/>
      <c r="F777" s="310"/>
      <c r="G777" s="163"/>
      <c r="H777" s="163"/>
      <c r="I777" s="97"/>
      <c r="L777" s="309"/>
      <c r="M777" s="309"/>
    </row>
    <row r="778" customFormat="false" ht="10.5" hidden="false" customHeight="true" outlineLevel="0" collapsed="false">
      <c r="A778" s="62"/>
      <c r="B778" s="308" t="s">
        <v>639</v>
      </c>
      <c r="C778" s="308"/>
      <c r="D778" s="308"/>
      <c r="E778" s="308"/>
      <c r="F778" s="308"/>
      <c r="G778" s="163"/>
      <c r="H778" s="163"/>
      <c r="I778" s="97"/>
      <c r="K778" s="309"/>
      <c r="L778" s="309"/>
      <c r="M778" s="309"/>
    </row>
    <row r="779" customFormat="false" ht="15.4" hidden="false" customHeight="true" outlineLevel="0" collapsed="false">
      <c r="A779" s="62"/>
      <c r="B779" s="308"/>
      <c r="C779" s="308"/>
      <c r="D779" s="308"/>
      <c r="E779" s="308"/>
      <c r="F779" s="308"/>
      <c r="G779" s="163"/>
      <c r="H779" s="163"/>
      <c r="I779" s="97"/>
      <c r="K779" s="309"/>
      <c r="L779" s="309"/>
      <c r="M779" s="309"/>
    </row>
    <row r="780" customFormat="false" ht="15.4" hidden="false" customHeight="true" outlineLevel="0" collapsed="false">
      <c r="B780" s="308" t="s">
        <v>640</v>
      </c>
      <c r="C780" s="308"/>
      <c r="D780" s="308"/>
      <c r="E780" s="308"/>
      <c r="F780" s="308"/>
      <c r="G780" s="311"/>
      <c r="H780" s="311"/>
      <c r="I780" s="97"/>
    </row>
    <row r="781" customFormat="false" ht="15.4" hidden="false" customHeight="true" outlineLevel="0" collapsed="false">
      <c r="A781" s="269" t="s">
        <v>641</v>
      </c>
      <c r="B781" s="269"/>
      <c r="C781" s="269"/>
      <c r="D781" s="269"/>
      <c r="E781" s="269"/>
      <c r="F781" s="269"/>
      <c r="G781" s="269"/>
      <c r="H781" s="269"/>
      <c r="I781" s="269"/>
    </row>
    <row r="782" customFormat="false" ht="15.4" hidden="false" customHeight="true" outlineLevel="0" collapsed="false">
      <c r="A782" s="62"/>
      <c r="B782" s="97"/>
      <c r="C782" s="97"/>
      <c r="D782" s="97"/>
      <c r="E782" s="97"/>
      <c r="F782" s="97"/>
      <c r="G782" s="97"/>
      <c r="H782" s="97"/>
      <c r="I782" s="97"/>
    </row>
    <row r="783" customFormat="false" ht="15.4" hidden="false" customHeight="true" outlineLevel="0" collapsed="false">
      <c r="A783" s="191" t="s">
        <v>642</v>
      </c>
      <c r="B783" s="191"/>
      <c r="C783" s="191"/>
      <c r="D783" s="97"/>
      <c r="E783" s="97"/>
      <c r="F783" s="97"/>
      <c r="G783" s="97"/>
      <c r="H783" s="97"/>
      <c r="I783" s="97"/>
    </row>
    <row r="784" customFormat="false" ht="15.4" hidden="false" customHeight="true" outlineLevel="0" collapsed="false">
      <c r="A784" s="62" t="s">
        <v>248</v>
      </c>
      <c r="B784" s="193" t="s">
        <v>643</v>
      </c>
      <c r="C784" s="193"/>
      <c r="D784" s="193"/>
      <c r="E784" s="193"/>
      <c r="F784" s="193"/>
      <c r="G784" s="295" t="s">
        <v>644</v>
      </c>
      <c r="H784" s="295"/>
      <c r="I784" s="295"/>
    </row>
    <row r="785" customFormat="false" ht="19.5" hidden="false" customHeight="true" outlineLevel="0" collapsed="false">
      <c r="A785" s="62"/>
      <c r="B785" s="193"/>
      <c r="C785" s="193"/>
      <c r="D785" s="193"/>
      <c r="E785" s="193"/>
      <c r="F785" s="193"/>
      <c r="G785" s="295"/>
      <c r="H785" s="295"/>
      <c r="I785" s="295"/>
    </row>
    <row r="786" customFormat="false" ht="15.4" hidden="false" customHeight="true" outlineLevel="0" collapsed="false">
      <c r="A786" s="312"/>
      <c r="B786" s="90" t="s">
        <v>645</v>
      </c>
      <c r="C786" s="90"/>
      <c r="D786" s="313" t="s">
        <v>646</v>
      </c>
      <c r="E786" s="313"/>
      <c r="F786" s="313"/>
      <c r="G786" s="313"/>
      <c r="H786" s="313"/>
      <c r="I786" s="313"/>
    </row>
    <row r="787" customFormat="false" ht="15.4" hidden="false" customHeight="true" outlineLevel="0" collapsed="false">
      <c r="A787" s="312"/>
      <c r="B787" s="90" t="s">
        <v>647</v>
      </c>
      <c r="C787" s="90"/>
      <c r="D787" s="313" t="s">
        <v>648</v>
      </c>
      <c r="E787" s="313"/>
      <c r="F787" s="313"/>
      <c r="G787" s="313"/>
      <c r="H787" s="313"/>
      <c r="I787" s="313"/>
    </row>
    <row r="788" customFormat="false" ht="15.4" hidden="false" customHeight="true" outlineLevel="0" collapsed="false">
      <c r="A788" s="312"/>
      <c r="B788" s="90" t="s">
        <v>649</v>
      </c>
      <c r="C788" s="90"/>
      <c r="D788" s="313" t="s">
        <v>650</v>
      </c>
      <c r="E788" s="313"/>
      <c r="F788" s="313"/>
      <c r="G788" s="313"/>
      <c r="H788" s="313"/>
      <c r="I788" s="313"/>
    </row>
    <row r="789" customFormat="false" ht="15.4" hidden="false" customHeight="true" outlineLevel="0" collapsed="false">
      <c r="A789" s="312"/>
      <c r="B789" s="90" t="s">
        <v>651</v>
      </c>
      <c r="C789" s="90"/>
      <c r="D789" s="313" t="s">
        <v>652</v>
      </c>
      <c r="E789" s="313"/>
      <c r="F789" s="313"/>
      <c r="G789" s="313"/>
      <c r="H789" s="313"/>
      <c r="I789" s="313"/>
    </row>
    <row r="790" customFormat="false" ht="15.4" hidden="false" customHeight="true" outlineLevel="0" collapsed="false">
      <c r="A790" s="62"/>
      <c r="B790" s="97"/>
      <c r="C790" s="97"/>
      <c r="D790" s="97"/>
      <c r="E790" s="97"/>
      <c r="F790" s="97"/>
      <c r="G790" s="97"/>
      <c r="H790" s="97"/>
      <c r="I790" s="97"/>
    </row>
    <row r="791" customFormat="false" ht="15.4" hidden="false" customHeight="true" outlineLevel="0" collapsed="false">
      <c r="A791" s="62"/>
      <c r="B791" s="193" t="s">
        <v>653</v>
      </c>
      <c r="C791" s="193"/>
      <c r="D791" s="193"/>
      <c r="E791" s="193"/>
      <c r="F791" s="193"/>
      <c r="G791" s="295" t="s">
        <v>654</v>
      </c>
      <c r="H791" s="295"/>
      <c r="I791" s="295"/>
    </row>
    <row r="792" customFormat="false" ht="18.75" hidden="false" customHeight="true" outlineLevel="0" collapsed="false">
      <c r="A792" s="62"/>
      <c r="B792" s="193"/>
      <c r="C792" s="193"/>
      <c r="D792" s="193"/>
      <c r="E792" s="193"/>
      <c r="F792" s="193"/>
      <c r="G792" s="295"/>
      <c r="H792" s="295"/>
      <c r="I792" s="295"/>
    </row>
    <row r="793" customFormat="false" ht="15.4" hidden="false" customHeight="true" outlineLevel="0" collapsed="false">
      <c r="A793" s="312"/>
      <c r="B793" s="90" t="s">
        <v>645</v>
      </c>
      <c r="C793" s="90"/>
      <c r="D793" s="313" t="s">
        <v>655</v>
      </c>
      <c r="E793" s="313"/>
      <c r="F793" s="313"/>
      <c r="G793" s="313"/>
      <c r="H793" s="313"/>
      <c r="I793" s="313"/>
    </row>
    <row r="794" customFormat="false" ht="15.4" hidden="false" customHeight="true" outlineLevel="0" collapsed="false">
      <c r="A794" s="312"/>
      <c r="B794" s="90" t="s">
        <v>647</v>
      </c>
      <c r="C794" s="90"/>
      <c r="D794" s="313" t="s">
        <v>656</v>
      </c>
      <c r="E794" s="313"/>
      <c r="F794" s="313"/>
      <c r="G794" s="313"/>
      <c r="H794" s="313"/>
      <c r="I794" s="313"/>
    </row>
    <row r="795" customFormat="false" ht="15.4" hidden="false" customHeight="true" outlineLevel="0" collapsed="false">
      <c r="A795" s="312"/>
      <c r="B795" s="90" t="s">
        <v>649</v>
      </c>
      <c r="C795" s="90"/>
      <c r="D795" s="313" t="s">
        <v>657</v>
      </c>
      <c r="E795" s="313"/>
      <c r="F795" s="313"/>
      <c r="G795" s="313"/>
      <c r="H795" s="313"/>
      <c r="I795" s="313"/>
    </row>
    <row r="796" customFormat="false" ht="15.4" hidden="false" customHeight="true" outlineLevel="0" collapsed="false">
      <c r="A796" s="312"/>
      <c r="B796" s="90" t="s">
        <v>651</v>
      </c>
      <c r="C796" s="90"/>
      <c r="D796" s="313" t="s">
        <v>658</v>
      </c>
      <c r="E796" s="313"/>
      <c r="F796" s="313"/>
      <c r="G796" s="313"/>
      <c r="H796" s="313"/>
      <c r="I796" s="313"/>
    </row>
    <row r="797" customFormat="false" ht="15.4" hidden="false" customHeight="true" outlineLevel="0" collapsed="false">
      <c r="A797" s="62"/>
      <c r="B797" s="90"/>
      <c r="C797" s="90"/>
      <c r="D797" s="313"/>
      <c r="E797" s="313"/>
      <c r="F797" s="313"/>
      <c r="G797" s="313"/>
      <c r="H797" s="313"/>
      <c r="I797" s="313"/>
    </row>
    <row r="798" customFormat="false" ht="15.4" hidden="false" customHeight="true" outlineLevel="0" collapsed="false">
      <c r="A798" s="62" t="s">
        <v>227</v>
      </c>
      <c r="B798" s="193" t="s">
        <v>659</v>
      </c>
      <c r="C798" s="193"/>
      <c r="D798" s="193"/>
      <c r="E798" s="193"/>
      <c r="F798" s="193"/>
      <c r="G798" s="194" t="s">
        <v>253</v>
      </c>
      <c r="H798" s="194" t="s">
        <v>254</v>
      </c>
      <c r="I798" s="97"/>
    </row>
    <row r="799" customFormat="false" ht="15.4" hidden="false" customHeight="true" outlineLevel="0" collapsed="false">
      <c r="A799" s="62"/>
      <c r="B799" s="193"/>
      <c r="C799" s="193"/>
      <c r="D799" s="193"/>
      <c r="E799" s="193"/>
      <c r="F799" s="193"/>
      <c r="G799" s="195"/>
      <c r="H799" s="195"/>
      <c r="I799" s="97"/>
    </row>
    <row r="800" customFormat="false" ht="15.4" hidden="false" customHeight="true" outlineLevel="0" collapsed="false">
      <c r="A800" s="62"/>
      <c r="B800" s="193"/>
      <c r="C800" s="193"/>
      <c r="D800" s="193"/>
      <c r="E800" s="193"/>
      <c r="F800" s="193"/>
      <c r="I800" s="97"/>
    </row>
    <row r="801" customFormat="false" ht="15.4" hidden="false" customHeight="true" outlineLevel="0" collapsed="false">
      <c r="A801" s="214" t="s">
        <v>660</v>
      </c>
      <c r="B801" s="214"/>
      <c r="C801" s="214"/>
      <c r="D801" s="214"/>
      <c r="E801" s="214"/>
      <c r="F801" s="97"/>
      <c r="H801" s="97"/>
      <c r="I801" s="97"/>
    </row>
    <row r="802" customFormat="false" ht="15.4" hidden="false" customHeight="true" outlineLevel="0" collapsed="false">
      <c r="A802" s="62" t="s">
        <v>483</v>
      </c>
      <c r="B802" s="193" t="s">
        <v>661</v>
      </c>
      <c r="C802" s="193"/>
      <c r="D802" s="193"/>
      <c r="E802" s="193"/>
      <c r="F802" s="193"/>
      <c r="G802" s="194" t="s">
        <v>253</v>
      </c>
      <c r="H802" s="194" t="s">
        <v>254</v>
      </c>
      <c r="I802" s="97"/>
    </row>
    <row r="803" customFormat="false" ht="15.4" hidden="false" customHeight="true" outlineLevel="0" collapsed="false">
      <c r="A803" s="62"/>
      <c r="B803" s="193"/>
      <c r="C803" s="193"/>
      <c r="D803" s="193"/>
      <c r="E803" s="193"/>
      <c r="F803" s="193"/>
      <c r="G803" s="195"/>
      <c r="H803" s="195"/>
      <c r="I803" s="97"/>
    </row>
    <row r="804" customFormat="false" ht="15.4" hidden="false" customHeight="true" outlineLevel="0" collapsed="false">
      <c r="A804" s="62"/>
      <c r="B804" s="193" t="s">
        <v>662</v>
      </c>
      <c r="C804" s="193"/>
      <c r="D804" s="193"/>
      <c r="E804" s="193"/>
      <c r="F804" s="193"/>
      <c r="G804" s="194" t="s">
        <v>253</v>
      </c>
      <c r="H804" s="194" t="s">
        <v>254</v>
      </c>
      <c r="I804" s="97"/>
    </row>
    <row r="805" customFormat="false" ht="15.4" hidden="false" customHeight="true" outlineLevel="0" collapsed="false">
      <c r="A805" s="62"/>
      <c r="B805" s="193"/>
      <c r="C805" s="193"/>
      <c r="D805" s="193"/>
      <c r="E805" s="193"/>
      <c r="F805" s="193"/>
      <c r="G805" s="195"/>
      <c r="H805" s="195"/>
      <c r="I805" s="97"/>
    </row>
    <row r="806" customFormat="false" ht="15.4" hidden="false" customHeight="true" outlineLevel="0" collapsed="false">
      <c r="A806" s="62"/>
      <c r="B806" s="193" t="s">
        <v>663</v>
      </c>
      <c r="C806" s="193"/>
      <c r="D806" s="193"/>
      <c r="E806" s="193"/>
      <c r="F806" s="193"/>
      <c r="G806" s="194" t="s">
        <v>253</v>
      </c>
      <c r="H806" s="194" t="s">
        <v>254</v>
      </c>
      <c r="I806" s="97"/>
    </row>
    <row r="807" customFormat="false" ht="15.4" hidden="false" customHeight="true" outlineLevel="0" collapsed="false">
      <c r="A807" s="62"/>
      <c r="B807" s="192"/>
      <c r="C807" s="245" t="s">
        <v>664</v>
      </c>
      <c r="D807" s="245"/>
      <c r="E807" s="245"/>
      <c r="F807" s="245"/>
      <c r="G807" s="195"/>
      <c r="H807" s="195"/>
      <c r="I807" s="97"/>
    </row>
    <row r="808" customFormat="false" ht="15.4" hidden="false" customHeight="true" outlineLevel="0" collapsed="false">
      <c r="A808" s="62" t="s">
        <v>227</v>
      </c>
      <c r="B808" s="97"/>
      <c r="C808" s="245" t="s">
        <v>665</v>
      </c>
      <c r="D808" s="245"/>
      <c r="E808" s="245"/>
      <c r="F808" s="245"/>
      <c r="G808" s="195"/>
      <c r="H808" s="195"/>
      <c r="I808" s="97"/>
    </row>
    <row r="809" customFormat="false" ht="15.4" hidden="false" customHeight="true" outlineLevel="0" collapsed="false">
      <c r="A809" s="62"/>
      <c r="B809" s="97"/>
      <c r="C809" s="193"/>
      <c r="D809" s="193"/>
      <c r="E809" s="193"/>
      <c r="F809" s="193"/>
      <c r="G809" s="97"/>
      <c r="H809" s="97"/>
      <c r="I809" s="97"/>
    </row>
    <row r="810" customFormat="false" ht="15.4" hidden="false" customHeight="true" outlineLevel="0" collapsed="false">
      <c r="A810" s="62" t="s">
        <v>666</v>
      </c>
      <c r="B810" s="193" t="s">
        <v>667</v>
      </c>
      <c r="C810" s="193"/>
      <c r="D810" s="193"/>
      <c r="E810" s="193"/>
      <c r="F810" s="193"/>
      <c r="G810" s="194" t="s">
        <v>253</v>
      </c>
      <c r="H810" s="194" t="s">
        <v>254</v>
      </c>
      <c r="I810" s="97"/>
    </row>
    <row r="811" customFormat="false" ht="15.4" hidden="false" customHeight="true" outlineLevel="0" collapsed="false">
      <c r="A811" s="62"/>
      <c r="B811" s="193"/>
      <c r="C811" s="193"/>
      <c r="D811" s="193"/>
      <c r="E811" s="193"/>
      <c r="F811" s="193"/>
      <c r="G811" s="195"/>
      <c r="H811" s="195"/>
      <c r="I811" s="97"/>
    </row>
    <row r="812" customFormat="false" ht="15.4" hidden="false" customHeight="true" outlineLevel="0" collapsed="false">
      <c r="A812" s="62"/>
      <c r="B812" s="313" t="s">
        <v>668</v>
      </c>
      <c r="C812" s="313"/>
      <c r="D812" s="313"/>
      <c r="E812" s="313"/>
      <c r="F812" s="313"/>
      <c r="G812" s="97"/>
      <c r="H812" s="97"/>
      <c r="I812" s="97"/>
    </row>
    <row r="813" customFormat="false" ht="15.4" hidden="false" customHeight="true" outlineLevel="0" collapsed="false">
      <c r="A813" s="62"/>
      <c r="B813" s="313"/>
      <c r="C813" s="313"/>
      <c r="D813" s="313"/>
      <c r="E813" s="313"/>
      <c r="F813" s="313"/>
      <c r="G813" s="194" t="s">
        <v>253</v>
      </c>
      <c r="H813" s="194" t="s">
        <v>254</v>
      </c>
      <c r="I813" s="97"/>
    </row>
    <row r="814" customFormat="false" ht="15.4" hidden="false" customHeight="true" outlineLevel="0" collapsed="false">
      <c r="A814" s="62" t="s">
        <v>669</v>
      </c>
      <c r="B814" s="75" t="s">
        <v>670</v>
      </c>
      <c r="C814" s="62"/>
      <c r="D814" s="62"/>
      <c r="E814" s="97"/>
      <c r="F814" s="90"/>
      <c r="G814" s="195"/>
      <c r="H814" s="195"/>
      <c r="I814" s="97"/>
    </row>
    <row r="815" customFormat="false" ht="15.4" hidden="false" customHeight="true" outlineLevel="0" collapsed="false">
      <c r="A815" s="97"/>
      <c r="B815" s="314" t="s">
        <v>671</v>
      </c>
      <c r="C815" s="314"/>
      <c r="D815" s="314"/>
      <c r="E815" s="314"/>
      <c r="F815" s="314"/>
      <c r="G815" s="97"/>
      <c r="H815" s="97"/>
      <c r="I815" s="97"/>
    </row>
    <row r="816" customFormat="false" ht="15.4" hidden="false" customHeight="true" outlineLevel="0" collapsed="false">
      <c r="A816" s="97"/>
      <c r="B816" s="97"/>
      <c r="C816" s="97"/>
      <c r="D816" s="97"/>
      <c r="E816" s="97"/>
      <c r="F816" s="97"/>
      <c r="G816" s="97"/>
      <c r="H816" s="97"/>
      <c r="I816" s="97"/>
    </row>
    <row r="817" customFormat="false" ht="15.4" hidden="false" customHeight="true" outlineLevel="0" collapsed="false">
      <c r="A817" s="191" t="s">
        <v>672</v>
      </c>
      <c r="B817" s="191"/>
      <c r="C817" s="191"/>
      <c r="D817" s="97"/>
      <c r="E817" s="97"/>
      <c r="F817" s="97"/>
      <c r="G817" s="97"/>
      <c r="H817" s="97"/>
      <c r="I817" s="97"/>
    </row>
    <row r="818" customFormat="false" ht="15.4" hidden="false" customHeight="true" outlineLevel="0" collapsed="false">
      <c r="A818" s="62" t="s">
        <v>673</v>
      </c>
      <c r="B818" s="315" t="s">
        <v>674</v>
      </c>
      <c r="C818" s="97"/>
      <c r="D818" s="97"/>
      <c r="E818" s="97"/>
      <c r="F818" s="97"/>
      <c r="G818" s="194" t="s">
        <v>253</v>
      </c>
      <c r="H818" s="194" t="s">
        <v>254</v>
      </c>
      <c r="I818" s="97"/>
    </row>
    <row r="819" customFormat="false" ht="15.4" hidden="false" customHeight="true" outlineLevel="0" collapsed="false">
      <c r="A819" s="62"/>
      <c r="B819" s="193" t="s">
        <v>675</v>
      </c>
      <c r="C819" s="193"/>
      <c r="D819" s="193"/>
      <c r="E819" s="193"/>
      <c r="F819" s="193"/>
      <c r="G819" s="195"/>
      <c r="H819" s="195"/>
      <c r="I819" s="97"/>
    </row>
    <row r="820" customFormat="false" ht="15.4" hidden="false" customHeight="true" outlineLevel="0" collapsed="false">
      <c r="A820" s="62"/>
      <c r="B820" s="245" t="s">
        <v>676</v>
      </c>
      <c r="C820" s="245"/>
      <c r="D820" s="245"/>
      <c r="E820" s="245"/>
      <c r="F820" s="245"/>
      <c r="G820" s="195"/>
      <c r="H820" s="195"/>
      <c r="I820" s="97"/>
    </row>
    <row r="821" customFormat="false" ht="15.4" hidden="false" customHeight="true" outlineLevel="0" collapsed="false">
      <c r="A821" s="62"/>
      <c r="B821" s="193" t="s">
        <v>677</v>
      </c>
      <c r="C821" s="193"/>
      <c r="D821" s="193"/>
      <c r="E821" s="193"/>
      <c r="F821" s="193"/>
      <c r="G821" s="195"/>
      <c r="H821" s="195"/>
      <c r="I821" s="97"/>
    </row>
    <row r="822" customFormat="false" ht="15.4" hidden="false" customHeight="true" outlineLevel="0" collapsed="false">
      <c r="A822" s="62"/>
      <c r="B822" s="193" t="s">
        <v>678</v>
      </c>
      <c r="C822" s="193"/>
      <c r="D822" s="193"/>
      <c r="E822" s="193"/>
      <c r="F822" s="193"/>
      <c r="G822" s="163"/>
      <c r="H822" s="163"/>
      <c r="I822" s="97"/>
    </row>
    <row r="823" customFormat="false" ht="15.4" hidden="false" customHeight="true" outlineLevel="0" collapsed="false">
      <c r="A823" s="62"/>
      <c r="B823" s="193"/>
      <c r="C823" s="193"/>
      <c r="D823" s="193"/>
      <c r="E823" s="193"/>
      <c r="F823" s="193"/>
      <c r="G823" s="163"/>
      <c r="H823" s="163"/>
      <c r="I823" s="97"/>
    </row>
    <row r="824" customFormat="false" ht="15.4" hidden="false" customHeight="true" outlineLevel="0" collapsed="false">
      <c r="A824" s="62"/>
      <c r="B824" s="193" t="s">
        <v>679</v>
      </c>
      <c r="C824" s="193"/>
      <c r="D824" s="193"/>
      <c r="E824" s="193"/>
      <c r="F824" s="193"/>
      <c r="G824" s="195"/>
      <c r="H824" s="195"/>
      <c r="I824" s="97"/>
    </row>
    <row r="825" customFormat="false" ht="15.4" hidden="false" customHeight="true" outlineLevel="0" collapsed="false">
      <c r="A825" s="62"/>
      <c r="B825" s="97"/>
      <c r="C825" s="97"/>
      <c r="D825" s="97"/>
      <c r="E825" s="97"/>
      <c r="F825" s="97"/>
      <c r="G825" s="97"/>
      <c r="H825" s="97"/>
      <c r="I825" s="97"/>
    </row>
    <row r="826" customFormat="false" ht="15.4" hidden="false" customHeight="true" outlineLevel="0" collapsed="false">
      <c r="A826" s="62" t="s">
        <v>680</v>
      </c>
      <c r="B826" s="193" t="s">
        <v>681</v>
      </c>
      <c r="C826" s="193"/>
      <c r="D826" s="193"/>
      <c r="E826" s="193"/>
      <c r="F826" s="193"/>
      <c r="G826" s="194" t="s">
        <v>253</v>
      </c>
      <c r="H826" s="194" t="s">
        <v>254</v>
      </c>
      <c r="I826" s="97"/>
    </row>
    <row r="827" customFormat="false" ht="15.4" hidden="false" customHeight="true" outlineLevel="0" collapsed="false">
      <c r="A827" s="62"/>
      <c r="B827" s="193"/>
      <c r="C827" s="193"/>
      <c r="D827" s="193"/>
      <c r="E827" s="193"/>
      <c r="F827" s="193"/>
      <c r="G827" s="195"/>
      <c r="H827" s="195"/>
      <c r="I827" s="97"/>
    </row>
    <row r="828" customFormat="false" ht="15.4" hidden="false" customHeight="true" outlineLevel="0" collapsed="false">
      <c r="A828" s="62"/>
      <c r="B828" s="313" t="s">
        <v>682</v>
      </c>
      <c r="C828" s="313"/>
      <c r="D828" s="313"/>
      <c r="E828" s="313"/>
      <c r="F828" s="313"/>
      <c r="G828" s="313"/>
      <c r="H828" s="313"/>
      <c r="I828" s="313"/>
    </row>
    <row r="829" customFormat="false" ht="19.15" hidden="false" customHeight="true" outlineLevel="0" collapsed="false">
      <c r="A829" s="62" t="s">
        <v>680</v>
      </c>
      <c r="B829" s="193" t="s">
        <v>683</v>
      </c>
      <c r="C829" s="193"/>
      <c r="D829" s="193"/>
      <c r="E829" s="193"/>
      <c r="F829" s="192"/>
      <c r="G829" s="316" t="s">
        <v>684</v>
      </c>
      <c r="H829" s="316" t="s">
        <v>685</v>
      </c>
      <c r="I829" s="97"/>
    </row>
    <row r="830" customFormat="false" ht="15.75" hidden="false" customHeight="true" outlineLevel="0" collapsed="false">
      <c r="A830" s="62"/>
      <c r="B830" s="193"/>
      <c r="C830" s="193"/>
      <c r="D830" s="193"/>
      <c r="E830" s="193"/>
      <c r="F830" s="194" t="s">
        <v>254</v>
      </c>
      <c r="G830" s="316"/>
      <c r="H830" s="316"/>
      <c r="I830" s="97"/>
    </row>
    <row r="831" customFormat="false" ht="15.4" hidden="false" customHeight="true" outlineLevel="0" collapsed="false">
      <c r="A831" s="62"/>
      <c r="B831" s="193"/>
      <c r="C831" s="193"/>
      <c r="D831" s="193"/>
      <c r="E831" s="193"/>
      <c r="F831" s="195"/>
      <c r="G831" s="195"/>
      <c r="H831" s="195"/>
      <c r="I831" s="97"/>
    </row>
    <row r="832" customFormat="false" ht="47.25" hidden="false" customHeight="true" outlineLevel="0" collapsed="false">
      <c r="A832" s="62"/>
      <c r="B832" s="317" t="s">
        <v>686</v>
      </c>
      <c r="C832" s="317"/>
      <c r="D832" s="317"/>
      <c r="E832" s="317"/>
      <c r="F832" s="317"/>
      <c r="G832" s="317"/>
      <c r="H832" s="317"/>
      <c r="I832" s="317"/>
    </row>
    <row r="833" customFormat="false" ht="15.4" hidden="false" customHeight="true" outlineLevel="0" collapsed="false">
      <c r="A833" s="62"/>
      <c r="B833" s="317"/>
      <c r="C833" s="317"/>
      <c r="D833" s="317"/>
      <c r="E833" s="317"/>
      <c r="F833" s="317"/>
      <c r="G833" s="317"/>
      <c r="H833" s="317"/>
      <c r="I833" s="317"/>
    </row>
    <row r="834" customFormat="false" ht="15.4" hidden="false" customHeight="true" outlineLevel="0" collapsed="false">
      <c r="A834" s="191" t="s">
        <v>687</v>
      </c>
      <c r="B834" s="191"/>
      <c r="C834" s="191"/>
      <c r="D834" s="97"/>
      <c r="E834" s="97"/>
      <c r="F834" s="97"/>
      <c r="G834" s="97"/>
      <c r="H834" s="97"/>
      <c r="I834" s="97"/>
    </row>
    <row r="835" customFormat="false" ht="15.4" hidden="false" customHeight="true" outlineLevel="0" collapsed="false">
      <c r="A835" s="62"/>
      <c r="B835" s="97"/>
      <c r="C835" s="97"/>
      <c r="D835" s="97"/>
      <c r="E835" s="97"/>
      <c r="F835" s="97"/>
      <c r="G835" s="97"/>
      <c r="H835" s="97"/>
      <c r="I835" s="97"/>
    </row>
    <row r="836" customFormat="false" ht="15.4" hidden="false" customHeight="true" outlineLevel="0" collapsed="false">
      <c r="A836" s="62" t="s">
        <v>688</v>
      </c>
      <c r="B836" s="85" t="s">
        <v>689</v>
      </c>
      <c r="C836" s="201"/>
      <c r="D836" s="201"/>
      <c r="E836" s="201"/>
      <c r="F836" s="201"/>
      <c r="G836" s="318" t="s">
        <v>253</v>
      </c>
      <c r="H836" s="318" t="s">
        <v>254</v>
      </c>
      <c r="I836" s="97"/>
    </row>
    <row r="837" customFormat="false" ht="15.4" hidden="false" customHeight="true" outlineLevel="0" collapsed="false">
      <c r="A837" s="319" t="s">
        <v>690</v>
      </c>
      <c r="B837" s="319"/>
      <c r="C837" s="319"/>
      <c r="D837" s="319"/>
      <c r="E837" s="319"/>
      <c r="F837" s="319"/>
      <c r="G837" s="195"/>
      <c r="H837" s="195"/>
      <c r="I837" s="97"/>
    </row>
    <row r="838" customFormat="false" ht="15.4" hidden="false" customHeight="true" outlineLevel="0" collapsed="false">
      <c r="A838" s="319" t="s">
        <v>691</v>
      </c>
      <c r="B838" s="319"/>
      <c r="C838" s="319"/>
      <c r="D838" s="319"/>
      <c r="E838" s="319"/>
      <c r="F838" s="319"/>
      <c r="G838" s="320"/>
      <c r="H838" s="320"/>
      <c r="I838" s="97"/>
    </row>
    <row r="839" customFormat="false" ht="15.4" hidden="false" customHeight="true" outlineLevel="0" collapsed="false">
      <c r="A839" s="321" t="s">
        <v>692</v>
      </c>
      <c r="B839" s="321"/>
      <c r="C839" s="321"/>
      <c r="D839" s="321"/>
      <c r="E839" s="321"/>
      <c r="F839" s="321"/>
      <c r="G839" s="163"/>
      <c r="H839" s="163"/>
      <c r="I839" s="97"/>
    </row>
    <row r="840" customFormat="false" ht="15.4" hidden="false" customHeight="true" outlineLevel="0" collapsed="false">
      <c r="A840" s="321"/>
      <c r="B840" s="321"/>
      <c r="C840" s="321"/>
      <c r="D840" s="321"/>
      <c r="E840" s="321"/>
      <c r="F840" s="321"/>
      <c r="G840" s="163"/>
      <c r="H840" s="163"/>
      <c r="I840" s="97"/>
    </row>
    <row r="841" customFormat="false" ht="15.4" hidden="false" customHeight="true" outlineLevel="0" collapsed="false">
      <c r="A841" s="319" t="s">
        <v>693</v>
      </c>
      <c r="B841" s="319"/>
      <c r="C841" s="319"/>
      <c r="D841" s="319"/>
      <c r="E841" s="319"/>
      <c r="F841" s="319"/>
      <c r="G841" s="195"/>
      <c r="H841" s="195"/>
      <c r="I841" s="97"/>
    </row>
    <row r="842" customFormat="false" ht="15.4" hidden="false" customHeight="true" outlineLevel="0" collapsed="false">
      <c r="A842" s="319" t="s">
        <v>694</v>
      </c>
      <c r="B842" s="319"/>
      <c r="C842" s="319"/>
      <c r="D842" s="319"/>
      <c r="E842" s="319"/>
      <c r="F842" s="319"/>
      <c r="G842" s="320"/>
      <c r="H842" s="320"/>
      <c r="I842" s="97"/>
    </row>
    <row r="843" customFormat="false" ht="15" hidden="false" customHeight="true" outlineLevel="0" collapsed="false">
      <c r="A843" s="321" t="s">
        <v>695</v>
      </c>
      <c r="B843" s="321"/>
      <c r="C843" s="321"/>
      <c r="D843" s="321"/>
      <c r="E843" s="321"/>
      <c r="F843" s="321"/>
      <c r="G843" s="163"/>
      <c r="H843" s="163"/>
      <c r="I843" s="97"/>
    </row>
    <row r="844" customFormat="false" ht="15" hidden="false" customHeight="true" outlineLevel="0" collapsed="false">
      <c r="A844" s="321"/>
      <c r="B844" s="321"/>
      <c r="C844" s="321"/>
      <c r="D844" s="321"/>
      <c r="E844" s="321"/>
      <c r="F844" s="321"/>
      <c r="G844" s="163"/>
      <c r="H844" s="163"/>
      <c r="I844" s="97"/>
    </row>
    <row r="845" customFormat="false" ht="15" hidden="false" customHeight="true" outlineLevel="0" collapsed="false">
      <c r="A845" s="321"/>
      <c r="B845" s="321"/>
      <c r="C845" s="321"/>
      <c r="D845" s="321"/>
      <c r="E845" s="321"/>
      <c r="F845" s="321"/>
      <c r="G845" s="163"/>
      <c r="H845" s="163"/>
      <c r="I845" s="97"/>
    </row>
    <row r="846" customFormat="false" ht="15" hidden="false" customHeight="true" outlineLevel="0" collapsed="false">
      <c r="A846" s="321"/>
      <c r="B846" s="321"/>
      <c r="C846" s="321"/>
      <c r="D846" s="321"/>
      <c r="E846" s="321"/>
      <c r="F846" s="321"/>
      <c r="G846" s="163"/>
      <c r="H846" s="163"/>
      <c r="I846" s="97"/>
    </row>
    <row r="847" customFormat="false" ht="15.4" hidden="false" customHeight="true" outlineLevel="0" collapsed="false">
      <c r="A847" s="321" t="s">
        <v>696</v>
      </c>
      <c r="B847" s="321"/>
      <c r="C847" s="321"/>
      <c r="D847" s="321"/>
      <c r="E847" s="321"/>
      <c r="F847" s="321"/>
      <c r="G847" s="163"/>
      <c r="H847" s="163"/>
      <c r="I847" s="97"/>
    </row>
    <row r="848" customFormat="false" ht="15.4" hidden="false" customHeight="true" outlineLevel="0" collapsed="false">
      <c r="A848" s="321"/>
      <c r="B848" s="321"/>
      <c r="C848" s="321"/>
      <c r="D848" s="321"/>
      <c r="E848" s="321"/>
      <c r="F848" s="321"/>
      <c r="G848" s="163"/>
      <c r="H848" s="163"/>
      <c r="I848" s="97"/>
    </row>
    <row r="849" customFormat="false" ht="15.4" hidden="false" customHeight="true" outlineLevel="0" collapsed="false">
      <c r="A849" s="322" t="s">
        <v>697</v>
      </c>
      <c r="B849" s="323"/>
      <c r="C849" s="323"/>
      <c r="D849" s="323"/>
      <c r="E849" s="323"/>
      <c r="F849" s="323"/>
      <c r="G849" s="323"/>
      <c r="H849" s="323"/>
      <c r="I849" s="97"/>
    </row>
    <row r="850" customFormat="false" ht="15.4" hidden="false" customHeight="true" outlineLevel="0" collapsed="false">
      <c r="B850" s="97"/>
      <c r="C850" s="97"/>
      <c r="D850" s="97"/>
      <c r="E850" s="97"/>
      <c r="F850" s="97"/>
      <c r="G850" s="97"/>
      <c r="H850" s="97"/>
      <c r="I850" s="97"/>
    </row>
    <row r="851" customFormat="false" ht="15.4" hidden="false" customHeight="true" outlineLevel="0" collapsed="false">
      <c r="A851" s="191" t="s">
        <v>698</v>
      </c>
      <c r="B851" s="191"/>
      <c r="C851" s="191"/>
      <c r="D851" s="97"/>
      <c r="E851" s="97"/>
      <c r="F851" s="97"/>
      <c r="G851" s="173" t="s">
        <v>699</v>
      </c>
      <c r="H851" s="173" t="s">
        <v>700</v>
      </c>
      <c r="I851" s="97"/>
    </row>
    <row r="852" customFormat="false" ht="15.4" hidden="false" customHeight="true" outlineLevel="0" collapsed="false">
      <c r="A852" s="62" t="s">
        <v>701</v>
      </c>
      <c r="B852" s="62"/>
      <c r="C852" s="62"/>
      <c r="D852" s="62"/>
      <c r="E852" s="97"/>
      <c r="F852" s="97"/>
      <c r="G852" s="228" t="s">
        <v>702</v>
      </c>
      <c r="H852" s="228" t="s">
        <v>703</v>
      </c>
      <c r="I852" s="97"/>
    </row>
    <row r="853" customFormat="false" ht="15.4" hidden="false" customHeight="true" outlineLevel="0" collapsed="false">
      <c r="A853" s="173" t="s">
        <v>704</v>
      </c>
      <c r="B853" s="173"/>
      <c r="C853" s="173"/>
      <c r="D853" s="173"/>
      <c r="E853" s="173"/>
      <c r="F853" s="173"/>
      <c r="G853" s="228"/>
      <c r="H853" s="228"/>
      <c r="I853" s="97"/>
    </row>
    <row r="854" customFormat="false" ht="15.4" hidden="false" customHeight="true" outlineLevel="0" collapsed="false">
      <c r="A854" s="324" t="s">
        <v>705</v>
      </c>
      <c r="B854" s="325" t="s">
        <v>706</v>
      </c>
      <c r="C854" s="325"/>
      <c r="D854" s="325"/>
      <c r="E854" s="325"/>
      <c r="F854" s="325"/>
      <c r="G854" s="195"/>
      <c r="H854" s="195"/>
      <c r="I854" s="97"/>
    </row>
    <row r="855" customFormat="false" ht="15.4" hidden="false" customHeight="true" outlineLevel="0" collapsed="false">
      <c r="A855" s="324"/>
      <c r="B855" s="326" t="s">
        <v>707</v>
      </c>
      <c r="C855" s="326"/>
      <c r="D855" s="326"/>
      <c r="E855" s="326"/>
      <c r="F855" s="326"/>
      <c r="G855" s="163"/>
      <c r="H855" s="163"/>
      <c r="I855" s="97"/>
    </row>
    <row r="856" customFormat="false" ht="15.4" hidden="false" customHeight="true" outlineLevel="0" collapsed="false">
      <c r="A856" s="324"/>
      <c r="B856" s="326"/>
      <c r="C856" s="326"/>
      <c r="D856" s="326"/>
      <c r="E856" s="326"/>
      <c r="F856" s="326"/>
      <c r="G856" s="163"/>
      <c r="H856" s="163"/>
      <c r="I856" s="97"/>
    </row>
    <row r="857" customFormat="false" ht="15.4" hidden="false" customHeight="true" outlineLevel="0" collapsed="false">
      <c r="A857" s="324"/>
      <c r="B857" s="326"/>
      <c r="C857" s="326"/>
      <c r="D857" s="326"/>
      <c r="E857" s="326"/>
      <c r="F857" s="326"/>
      <c r="G857" s="163"/>
      <c r="H857" s="163"/>
      <c r="I857" s="97"/>
    </row>
    <row r="858" customFormat="false" ht="15.4" hidden="false" customHeight="true" outlineLevel="0" collapsed="false">
      <c r="A858" s="324"/>
      <c r="B858" s="326" t="s">
        <v>708</v>
      </c>
      <c r="C858" s="326"/>
      <c r="D858" s="326"/>
      <c r="E858" s="326"/>
      <c r="F858" s="326"/>
      <c r="G858" s="163"/>
      <c r="H858" s="163"/>
      <c r="I858" s="97"/>
    </row>
    <row r="859" customFormat="false" ht="15.4" hidden="false" customHeight="true" outlineLevel="0" collapsed="false">
      <c r="A859" s="324"/>
      <c r="B859" s="326"/>
      <c r="C859" s="326"/>
      <c r="D859" s="326"/>
      <c r="E859" s="326"/>
      <c r="F859" s="326"/>
      <c r="G859" s="163"/>
      <c r="H859" s="163"/>
      <c r="I859" s="97"/>
    </row>
    <row r="860" customFormat="false" ht="15.4" hidden="false" customHeight="true" outlineLevel="0" collapsed="false">
      <c r="A860" s="99" t="s">
        <v>709</v>
      </c>
      <c r="B860" s="325" t="s">
        <v>710</v>
      </c>
      <c r="C860" s="325"/>
      <c r="D860" s="325"/>
      <c r="E860" s="325"/>
      <c r="F860" s="325"/>
      <c r="G860" s="163"/>
      <c r="H860" s="163"/>
      <c r="I860" s="97"/>
    </row>
    <row r="861" customFormat="false" ht="15" hidden="false" customHeight="true" outlineLevel="0" collapsed="false">
      <c r="A861" s="99"/>
      <c r="B861" s="325"/>
      <c r="C861" s="325"/>
      <c r="D861" s="325"/>
      <c r="E861" s="325"/>
      <c r="F861" s="325"/>
      <c r="G861" s="163"/>
      <c r="H861" s="163"/>
      <c r="I861" s="97"/>
    </row>
    <row r="862" customFormat="false" ht="15" hidden="false" customHeight="true" outlineLevel="0" collapsed="false">
      <c r="I862" s="97"/>
    </row>
    <row r="863" customFormat="false" ht="15.4" hidden="false" customHeight="true" outlineLevel="0" collapsed="false">
      <c r="A863" s="62" t="s">
        <v>701</v>
      </c>
      <c r="B863" s="198" t="s">
        <v>711</v>
      </c>
      <c r="C863" s="198"/>
      <c r="D863" s="198"/>
      <c r="E863" s="198"/>
      <c r="F863" s="198"/>
      <c r="G863" s="194" t="s">
        <v>253</v>
      </c>
      <c r="H863" s="194" t="s">
        <v>254</v>
      </c>
      <c r="I863" s="97"/>
    </row>
    <row r="864" customFormat="false" ht="15.4" hidden="false" customHeight="true" outlineLevel="0" collapsed="false">
      <c r="A864" s="62"/>
      <c r="B864" s="327" t="s">
        <v>712</v>
      </c>
      <c r="C864" s="62"/>
      <c r="D864" s="97"/>
      <c r="E864" s="97"/>
      <c r="F864" s="97"/>
      <c r="G864" s="195"/>
      <c r="H864" s="195"/>
      <c r="I864" s="97"/>
    </row>
    <row r="865" customFormat="false" ht="15.4" hidden="false" customHeight="true" outlineLevel="0" collapsed="false">
      <c r="I865" s="97"/>
    </row>
    <row r="866" customFormat="false" ht="15.4" hidden="false" customHeight="true" outlineLevel="0" collapsed="false">
      <c r="A866" s="62" t="s">
        <v>227</v>
      </c>
      <c r="B866" s="193" t="s">
        <v>713</v>
      </c>
      <c r="C866" s="193"/>
      <c r="D866" s="193"/>
      <c r="E866" s="193"/>
      <c r="F866" s="193"/>
      <c r="G866" s="194" t="s">
        <v>253</v>
      </c>
      <c r="H866" s="194" t="s">
        <v>254</v>
      </c>
      <c r="I866" s="97"/>
    </row>
    <row r="867" customFormat="false" ht="15.4" hidden="false" customHeight="true" outlineLevel="0" collapsed="false">
      <c r="B867" s="193"/>
      <c r="C867" s="193"/>
      <c r="D867" s="193"/>
      <c r="E867" s="193"/>
      <c r="F867" s="193"/>
      <c r="G867" s="195"/>
      <c r="H867" s="195"/>
      <c r="I867" s="97"/>
    </row>
    <row r="868" customFormat="false" ht="15.4" hidden="false" customHeight="true" outlineLevel="0" collapsed="false">
      <c r="A868" s="62"/>
      <c r="B868" s="198" t="s">
        <v>714</v>
      </c>
      <c r="G868" s="195"/>
      <c r="H868" s="195"/>
      <c r="I868" s="97"/>
    </row>
    <row r="869" customFormat="false" ht="15.4" hidden="false" customHeight="true" outlineLevel="0" collapsed="false">
      <c r="A869" s="62"/>
      <c r="B869" s="270" t="s">
        <v>521</v>
      </c>
      <c r="C869" s="253"/>
      <c r="D869" s="253"/>
      <c r="E869" s="253"/>
      <c r="F869" s="253"/>
      <c r="G869" s="253"/>
      <c r="H869" s="253"/>
      <c r="I869" s="97"/>
    </row>
    <row r="870" customFormat="false" ht="15.4" hidden="false" customHeight="true" outlineLevel="0" collapsed="false">
      <c r="A870" s="62"/>
      <c r="B870" s="198"/>
      <c r="I870" s="97"/>
    </row>
    <row r="871" customFormat="false" ht="15.4" hidden="false" customHeight="true" outlineLevel="0" collapsed="false">
      <c r="A871" s="62"/>
      <c r="B871" s="97"/>
      <c r="C871" s="97"/>
      <c r="D871" s="97"/>
      <c r="E871" s="97"/>
      <c r="F871" s="97"/>
      <c r="G871" s="97"/>
      <c r="H871" s="97"/>
      <c r="I871" s="97"/>
    </row>
    <row r="872" customFormat="false" ht="15.4" hidden="false" customHeight="true" outlineLevel="0" collapsed="false">
      <c r="A872" s="191" t="s">
        <v>715</v>
      </c>
      <c r="B872" s="191"/>
      <c r="C872" s="191"/>
      <c r="D872" s="97"/>
      <c r="E872" s="97"/>
      <c r="F872" s="97"/>
      <c r="G872" s="97"/>
      <c r="H872" s="97"/>
      <c r="I872" s="97"/>
    </row>
    <row r="873" customFormat="false" ht="15.4" hidden="false" customHeight="true" outlineLevel="0" collapsed="false">
      <c r="A873" s="62" t="s">
        <v>716</v>
      </c>
      <c r="B873" s="85" t="s">
        <v>717</v>
      </c>
      <c r="C873" s="75"/>
      <c r="D873" s="75"/>
      <c r="E873" s="97"/>
      <c r="F873" s="97"/>
      <c r="G873" s="194" t="s">
        <v>253</v>
      </c>
      <c r="H873" s="194" t="s">
        <v>254</v>
      </c>
      <c r="I873" s="97"/>
    </row>
    <row r="874" customFormat="false" ht="15.4" hidden="false" customHeight="true" outlineLevel="0" collapsed="false">
      <c r="A874" s="62"/>
      <c r="B874" s="198" t="s">
        <v>718</v>
      </c>
      <c r="C874" s="198"/>
      <c r="D874" s="198"/>
      <c r="E874" s="198"/>
      <c r="F874" s="198"/>
      <c r="G874" s="195"/>
      <c r="H874" s="195"/>
      <c r="I874" s="97"/>
    </row>
    <row r="875" customFormat="false" ht="15.4" hidden="false" customHeight="true" outlineLevel="0" collapsed="false">
      <c r="A875" s="62"/>
      <c r="B875" s="198" t="s">
        <v>719</v>
      </c>
      <c r="C875" s="198"/>
      <c r="D875" s="198"/>
      <c r="E875" s="198"/>
      <c r="F875" s="198"/>
      <c r="G875" s="195"/>
      <c r="H875" s="195"/>
      <c r="I875" s="97"/>
    </row>
    <row r="876" customFormat="false" ht="15.4" hidden="false" customHeight="true" outlineLevel="0" collapsed="false">
      <c r="A876" s="62" t="s">
        <v>716</v>
      </c>
      <c r="B876" s="198" t="s">
        <v>720</v>
      </c>
      <c r="C876" s="198"/>
      <c r="D876" s="198"/>
      <c r="E876" s="198"/>
      <c r="F876" s="198"/>
      <c r="G876" s="195"/>
      <c r="H876" s="195"/>
      <c r="I876" s="97"/>
    </row>
    <row r="877" customFormat="false" ht="15.4" hidden="false" customHeight="true" outlineLevel="0" collapsed="false">
      <c r="A877" s="62"/>
      <c r="B877" s="270" t="s">
        <v>521</v>
      </c>
      <c r="C877" s="253"/>
      <c r="D877" s="253"/>
      <c r="E877" s="253"/>
      <c r="F877" s="253"/>
      <c r="G877" s="253"/>
      <c r="H877" s="253"/>
      <c r="I877" s="97"/>
    </row>
    <row r="878" customFormat="false" ht="15.4" hidden="false" customHeight="true" outlineLevel="0" collapsed="false">
      <c r="A878" s="62"/>
      <c r="B878" s="270"/>
      <c r="C878" s="62"/>
      <c r="D878" s="62"/>
      <c r="E878" s="62"/>
      <c r="F878" s="62"/>
      <c r="G878" s="62"/>
      <c r="H878" s="62"/>
      <c r="I878" s="97"/>
    </row>
    <row r="879" customFormat="false" ht="15.4" hidden="false" customHeight="true" outlineLevel="0" collapsed="false">
      <c r="A879" s="62" t="s">
        <v>721</v>
      </c>
      <c r="B879" s="85" t="s">
        <v>722</v>
      </c>
      <c r="C879" s="97"/>
      <c r="D879" s="97"/>
      <c r="E879" s="97"/>
      <c r="F879" s="97"/>
      <c r="G879" s="194" t="s">
        <v>253</v>
      </c>
      <c r="H879" s="194" t="s">
        <v>254</v>
      </c>
      <c r="I879" s="97"/>
    </row>
    <row r="880" customFormat="false" ht="15" hidden="false" customHeight="true" outlineLevel="0" collapsed="false">
      <c r="A880" s="62"/>
      <c r="B880" s="245" t="s">
        <v>723</v>
      </c>
      <c r="C880" s="245"/>
      <c r="D880" s="245"/>
      <c r="E880" s="245"/>
      <c r="F880" s="245"/>
      <c r="G880" s="195"/>
      <c r="H880" s="195"/>
      <c r="I880" s="97"/>
    </row>
    <row r="881" customFormat="false" ht="15" hidden="false" customHeight="true" outlineLevel="0" collapsed="false">
      <c r="A881" s="62"/>
      <c r="B881" s="328" t="s">
        <v>724</v>
      </c>
      <c r="C881" s="328"/>
      <c r="D881" s="328"/>
      <c r="E881" s="328"/>
      <c r="F881" s="328"/>
      <c r="G881" s="328"/>
      <c r="H881" s="328"/>
      <c r="I881" s="97"/>
    </row>
    <row r="882" customFormat="false" ht="15.4" hidden="false" customHeight="true" outlineLevel="0" collapsed="false">
      <c r="A882" s="62"/>
      <c r="B882" s="193" t="s">
        <v>725</v>
      </c>
      <c r="C882" s="193"/>
      <c r="D882" s="193"/>
      <c r="E882" s="193"/>
      <c r="F882" s="193"/>
      <c r="G882" s="195"/>
      <c r="H882" s="195"/>
      <c r="I882" s="97"/>
    </row>
    <row r="883" customFormat="false" ht="15.4" hidden="false" customHeight="true" outlineLevel="0" collapsed="false">
      <c r="A883" s="62"/>
      <c r="B883" s="328" t="s">
        <v>726</v>
      </c>
      <c r="C883" s="328"/>
      <c r="D883" s="328"/>
      <c r="E883" s="328"/>
      <c r="F883" s="328"/>
      <c r="G883" s="97"/>
      <c r="H883" s="97"/>
      <c r="I883" s="97"/>
    </row>
    <row r="884" customFormat="false" ht="15.4" hidden="false" customHeight="true" outlineLevel="0" collapsed="false">
      <c r="A884" s="62"/>
      <c r="B884" s="198" t="s">
        <v>727</v>
      </c>
      <c r="C884" s="198"/>
      <c r="D884" s="198"/>
      <c r="E884" s="198"/>
      <c r="F884" s="198"/>
      <c r="G884" s="195"/>
      <c r="H884" s="195"/>
      <c r="I884" s="97"/>
    </row>
    <row r="885" customFormat="false" ht="15.4" hidden="false" customHeight="true" outlineLevel="0" collapsed="false">
      <c r="A885" s="97"/>
      <c r="B885" s="97"/>
      <c r="C885" s="97"/>
      <c r="D885" s="97"/>
      <c r="E885" s="97"/>
      <c r="F885" s="97"/>
      <c r="G885" s="97"/>
      <c r="H885" s="97"/>
      <c r="I885" s="97"/>
    </row>
    <row r="886" customFormat="false" ht="15.4" hidden="false" customHeight="true" outlineLevel="0" collapsed="false">
      <c r="A886" s="191" t="s">
        <v>728</v>
      </c>
      <c r="B886" s="191"/>
      <c r="C886" s="191"/>
      <c r="D886" s="97"/>
      <c r="E886" s="97"/>
      <c r="F886" s="97"/>
      <c r="G886" s="97"/>
      <c r="H886" s="97"/>
      <c r="I886" s="97"/>
    </row>
    <row r="887" customFormat="false" ht="15.4" hidden="false" customHeight="true" outlineLevel="0" collapsed="false">
      <c r="A887" s="62" t="s">
        <v>257</v>
      </c>
      <c r="B887" s="329" t="s">
        <v>729</v>
      </c>
      <c r="C887" s="80"/>
      <c r="D887" s="80"/>
      <c r="E887" s="80"/>
      <c r="F887" s="80"/>
      <c r="G887" s="194" t="s">
        <v>253</v>
      </c>
      <c r="H887" s="194" t="s">
        <v>254</v>
      </c>
      <c r="I887" s="97"/>
    </row>
    <row r="888" customFormat="false" ht="15.4" hidden="false" customHeight="true" outlineLevel="0" collapsed="false">
      <c r="A888" s="62"/>
      <c r="B888" s="198" t="s">
        <v>730</v>
      </c>
      <c r="C888" s="198"/>
      <c r="D888" s="198"/>
      <c r="E888" s="198"/>
      <c r="F888" s="198"/>
      <c r="G888" s="195"/>
      <c r="H888" s="195"/>
      <c r="I888" s="97"/>
    </row>
    <row r="889" customFormat="false" ht="15.4" hidden="false" customHeight="true" outlineLevel="0" collapsed="false">
      <c r="A889" s="62"/>
      <c r="B889" s="198" t="s">
        <v>731</v>
      </c>
      <c r="C889" s="198"/>
      <c r="D889" s="198"/>
      <c r="E889" s="198"/>
      <c r="F889" s="198"/>
      <c r="G889" s="195"/>
      <c r="H889" s="195"/>
      <c r="I889" s="97"/>
    </row>
    <row r="890" customFormat="false" ht="15.4" hidden="false" customHeight="true" outlineLevel="0" collapsed="false">
      <c r="A890" s="62"/>
      <c r="B890" s="62"/>
      <c r="C890" s="62"/>
      <c r="D890" s="62"/>
      <c r="E890" s="62"/>
      <c r="F890" s="62"/>
      <c r="G890" s="62"/>
      <c r="H890" s="62"/>
      <c r="I890" s="97"/>
    </row>
    <row r="891" customFormat="false" ht="15.4" hidden="false" customHeight="true" outlineLevel="0" collapsed="false">
      <c r="A891" s="62" t="s">
        <v>257</v>
      </c>
      <c r="B891" s="85" t="s">
        <v>732</v>
      </c>
      <c r="C891" s="62"/>
      <c r="D891" s="62"/>
      <c r="E891" s="62"/>
      <c r="F891" s="97"/>
      <c r="G891" s="194" t="s">
        <v>253</v>
      </c>
      <c r="H891" s="194" t="s">
        <v>254</v>
      </c>
      <c r="I891" s="97"/>
    </row>
    <row r="892" customFormat="false" ht="15.4" hidden="false" customHeight="true" outlineLevel="0" collapsed="false">
      <c r="A892" s="62"/>
      <c r="B892" s="330" t="s">
        <v>733</v>
      </c>
      <c r="C892" s="330"/>
      <c r="D892" s="330"/>
      <c r="E892" s="330"/>
      <c r="F892" s="330"/>
      <c r="G892" s="312"/>
      <c r="H892" s="312"/>
      <c r="I892" s="97"/>
    </row>
    <row r="893" customFormat="false" ht="15.4" hidden="false" customHeight="true" outlineLevel="0" collapsed="false">
      <c r="A893" s="62"/>
      <c r="B893" s="330" t="s">
        <v>734</v>
      </c>
      <c r="C893" s="330"/>
      <c r="D893" s="330"/>
      <c r="E893" s="330"/>
      <c r="F893" s="330"/>
      <c r="G893" s="312"/>
      <c r="H893" s="312"/>
      <c r="I893" s="97"/>
    </row>
    <row r="894" customFormat="false" ht="15.4" hidden="false" customHeight="true" outlineLevel="0" collapsed="false">
      <c r="A894" s="62"/>
      <c r="B894" s="331" t="s">
        <v>735</v>
      </c>
      <c r="C894" s="331"/>
      <c r="D894" s="331"/>
      <c r="E894" s="331"/>
      <c r="F894" s="331"/>
      <c r="G894" s="331"/>
      <c r="H894" s="331"/>
      <c r="I894" s="97"/>
    </row>
    <row r="895" customFormat="false" ht="15.4" hidden="false" customHeight="true" outlineLevel="0" collapsed="false">
      <c r="A895" s="62"/>
      <c r="B895" s="330" t="s">
        <v>736</v>
      </c>
      <c r="C895" s="330"/>
      <c r="D895" s="330"/>
      <c r="E895" s="330"/>
      <c r="F895" s="330"/>
      <c r="G895" s="312"/>
      <c r="H895" s="312"/>
      <c r="I895" s="97"/>
    </row>
    <row r="896" customFormat="false" ht="15.4" hidden="false" customHeight="true" outlineLevel="0" collapsed="false">
      <c r="A896" s="62"/>
      <c r="B896" s="332" t="s">
        <v>737</v>
      </c>
      <c r="C896" s="332"/>
      <c r="D896" s="332"/>
      <c r="E896" s="332"/>
      <c r="F896" s="332"/>
      <c r="G896" s="312"/>
      <c r="H896" s="312"/>
      <c r="I896" s="97"/>
    </row>
    <row r="897" customFormat="false" ht="15.4" hidden="false" customHeight="true" outlineLevel="0" collapsed="false">
      <c r="A897" s="62"/>
      <c r="B897" s="97"/>
      <c r="C897" s="97"/>
      <c r="D897" s="97"/>
      <c r="E897" s="97"/>
      <c r="F897" s="97"/>
      <c r="G897" s="97"/>
      <c r="H897" s="97"/>
      <c r="I897" s="97"/>
    </row>
    <row r="898" customFormat="false" ht="15.4" hidden="false" customHeight="true" outlineLevel="0" collapsed="false">
      <c r="A898" s="62" t="s">
        <v>257</v>
      </c>
      <c r="B898" s="193" t="s">
        <v>738</v>
      </c>
      <c r="C898" s="193"/>
      <c r="D898" s="193"/>
      <c r="E898" s="193"/>
      <c r="F898" s="193"/>
      <c r="G898" s="194" t="s">
        <v>253</v>
      </c>
      <c r="H898" s="194" t="s">
        <v>254</v>
      </c>
      <c r="I898" s="97"/>
    </row>
    <row r="899" customFormat="false" ht="15.4" hidden="false" customHeight="true" outlineLevel="0" collapsed="false">
      <c r="A899" s="62"/>
      <c r="B899" s="193"/>
      <c r="C899" s="193"/>
      <c r="D899" s="193"/>
      <c r="E899" s="193"/>
      <c r="F899" s="193"/>
      <c r="G899" s="195"/>
      <c r="H899" s="195"/>
      <c r="I899" s="97"/>
    </row>
    <row r="900" customFormat="false" ht="15.4" hidden="false" customHeight="true" outlineLevel="0" collapsed="false">
      <c r="A900" s="62"/>
      <c r="B900" s="237" t="s">
        <v>739</v>
      </c>
      <c r="C900" s="253"/>
      <c r="D900" s="253"/>
      <c r="E900" s="253"/>
      <c r="F900" s="253"/>
      <c r="G900" s="253"/>
      <c r="H900" s="253"/>
      <c r="I900" s="97"/>
    </row>
    <row r="901" customFormat="false" ht="15.4" hidden="false" customHeight="true" outlineLevel="0" collapsed="false">
      <c r="A901" s="62"/>
      <c r="B901" s="97"/>
      <c r="C901" s="97"/>
      <c r="D901" s="97"/>
      <c r="E901" s="97"/>
      <c r="F901" s="97"/>
      <c r="G901" s="97"/>
      <c r="H901" s="97"/>
      <c r="I901" s="97"/>
    </row>
    <row r="902" customFormat="false" ht="15.4" hidden="false" customHeight="true" outlineLevel="0" collapsed="false">
      <c r="A902" s="62" t="s">
        <v>740</v>
      </c>
      <c r="B902" s="85" t="s">
        <v>741</v>
      </c>
      <c r="C902" s="97"/>
      <c r="D902" s="97"/>
      <c r="E902" s="97"/>
      <c r="F902" s="97"/>
      <c r="G902" s="97"/>
      <c r="H902" s="97"/>
      <c r="I902" s="97"/>
    </row>
    <row r="903" customFormat="false" ht="15.4" hidden="false" customHeight="true" outlineLevel="0" collapsed="false">
      <c r="A903" s="62"/>
      <c r="B903" s="193" t="s">
        <v>742</v>
      </c>
      <c r="C903" s="193"/>
      <c r="D903" s="193"/>
      <c r="E903" s="193"/>
      <c r="F903" s="193"/>
      <c r="G903" s="194" t="s">
        <v>253</v>
      </c>
      <c r="H903" s="194" t="s">
        <v>254</v>
      </c>
      <c r="I903" s="97"/>
    </row>
    <row r="904" customFormat="false" ht="15.4" hidden="false" customHeight="true" outlineLevel="0" collapsed="false">
      <c r="A904" s="62"/>
      <c r="B904" s="193"/>
      <c r="C904" s="193"/>
      <c r="D904" s="193"/>
      <c r="E904" s="193"/>
      <c r="F904" s="193"/>
      <c r="G904" s="195"/>
      <c r="H904" s="195"/>
      <c r="I904" s="97"/>
    </row>
    <row r="905" customFormat="false" ht="34.9" hidden="false" customHeight="true" outlineLevel="0" collapsed="false">
      <c r="A905" s="62"/>
      <c r="B905" s="295" t="s">
        <v>743</v>
      </c>
      <c r="C905" s="295"/>
      <c r="D905" s="295"/>
      <c r="E905" s="295"/>
      <c r="F905" s="295"/>
      <c r="G905" s="295"/>
      <c r="H905" s="295"/>
      <c r="I905" s="295"/>
    </row>
    <row r="906" customFormat="false" ht="15.4" hidden="false" customHeight="true" outlineLevel="0" collapsed="false">
      <c r="A906" s="62"/>
      <c r="B906" s="193" t="s">
        <v>744</v>
      </c>
      <c r="C906" s="193"/>
      <c r="D906" s="193"/>
      <c r="E906" s="193"/>
      <c r="F906" s="193"/>
      <c r="G906" s="194" t="s">
        <v>253</v>
      </c>
      <c r="H906" s="194" t="s">
        <v>254</v>
      </c>
      <c r="I906" s="97"/>
    </row>
    <row r="907" customFormat="false" ht="15.4" hidden="false" customHeight="true" outlineLevel="0" collapsed="false">
      <c r="A907" s="62"/>
      <c r="B907" s="193"/>
      <c r="C907" s="193"/>
      <c r="D907" s="193"/>
      <c r="E907" s="193"/>
      <c r="F907" s="193"/>
      <c r="G907" s="195"/>
      <c r="H907" s="195"/>
      <c r="I907" s="97"/>
    </row>
    <row r="908" customFormat="false" ht="23.45" hidden="false" customHeight="true" outlineLevel="0" collapsed="false">
      <c r="A908" s="62"/>
      <c r="B908" s="295" t="s">
        <v>745</v>
      </c>
      <c r="C908" s="295"/>
      <c r="D908" s="295"/>
      <c r="E908" s="295"/>
      <c r="F908" s="295"/>
      <c r="G908" s="295"/>
      <c r="H908" s="295"/>
      <c r="I908" s="295"/>
    </row>
    <row r="909" customFormat="false" ht="15.4" hidden="false" customHeight="true" outlineLevel="0" collapsed="false">
      <c r="A909" s="62"/>
      <c r="B909" s="193" t="s">
        <v>746</v>
      </c>
      <c r="C909" s="193"/>
      <c r="D909" s="193"/>
      <c r="E909" s="193"/>
      <c r="F909" s="193"/>
      <c r="I909" s="97"/>
    </row>
    <row r="910" customFormat="false" ht="15.4" hidden="false" customHeight="true" outlineLevel="0" collapsed="false">
      <c r="A910" s="62"/>
      <c r="B910" s="193"/>
      <c r="C910" s="193"/>
      <c r="D910" s="193"/>
      <c r="E910" s="193"/>
      <c r="F910" s="193"/>
      <c r="G910" s="194" t="s">
        <v>253</v>
      </c>
      <c r="H910" s="194" t="s">
        <v>254</v>
      </c>
      <c r="I910" s="97"/>
    </row>
    <row r="911" customFormat="false" ht="15.4" hidden="false" customHeight="true" outlineLevel="0" collapsed="false">
      <c r="A911" s="62"/>
      <c r="B911" s="193"/>
      <c r="C911" s="193"/>
      <c r="D911" s="193"/>
      <c r="E911" s="193"/>
      <c r="F911" s="193"/>
      <c r="G911" s="195"/>
      <c r="H911" s="195"/>
      <c r="I911" s="97"/>
    </row>
    <row r="912" customFormat="false" ht="15.4" hidden="false" customHeight="true" outlineLevel="0" collapsed="false">
      <c r="A912" s="62"/>
      <c r="B912" s="97"/>
      <c r="C912" s="97"/>
      <c r="D912" s="97"/>
      <c r="E912" s="97"/>
      <c r="F912" s="97"/>
      <c r="G912" s="97"/>
      <c r="H912" s="97"/>
      <c r="I912" s="97"/>
    </row>
    <row r="913" customFormat="false" ht="15.4" hidden="false" customHeight="true" outlineLevel="0" collapsed="false">
      <c r="A913" s="191" t="s">
        <v>747</v>
      </c>
      <c r="B913" s="191"/>
      <c r="C913" s="191"/>
      <c r="D913" s="97"/>
      <c r="E913" s="97"/>
      <c r="F913" s="97"/>
      <c r="G913" s="97"/>
      <c r="H913" s="97"/>
      <c r="I913" s="97"/>
    </row>
    <row r="914" customFormat="false" ht="15.4" hidden="false" customHeight="true" outlineLevel="0" collapsed="false">
      <c r="A914" s="62" t="s">
        <v>666</v>
      </c>
      <c r="B914" s="238" t="s">
        <v>748</v>
      </c>
      <c r="C914" s="238"/>
      <c r="D914" s="238"/>
      <c r="E914" s="238"/>
      <c r="F914" s="238"/>
      <c r="G914" s="195"/>
      <c r="H914" s="195"/>
      <c r="I914" s="97"/>
    </row>
    <row r="915" customFormat="false" ht="25.15" hidden="false" customHeight="true" outlineLevel="0" collapsed="false">
      <c r="A915" s="62"/>
      <c r="B915" s="295" t="s">
        <v>749</v>
      </c>
      <c r="C915" s="295"/>
      <c r="D915" s="295"/>
      <c r="E915" s="295"/>
      <c r="F915" s="295"/>
      <c r="G915" s="295"/>
      <c r="H915" s="295"/>
      <c r="I915" s="97"/>
    </row>
    <row r="916" customFormat="false" ht="15.4" hidden="false" customHeight="true" outlineLevel="0" collapsed="false">
      <c r="A916" s="62"/>
      <c r="B916" s="75" t="s">
        <v>750</v>
      </c>
      <c r="C916" s="333"/>
      <c r="D916" s="333"/>
      <c r="E916" s="333"/>
      <c r="F916" s="333"/>
      <c r="G916" s="333"/>
      <c r="H916" s="334"/>
      <c r="I916" s="97"/>
    </row>
    <row r="917" customFormat="false" ht="15.4" hidden="false" customHeight="true" outlineLevel="0" collapsed="false">
      <c r="A917" s="62"/>
      <c r="B917" s="97"/>
      <c r="C917" s="97"/>
      <c r="D917" s="97"/>
      <c r="E917" s="97"/>
      <c r="F917" s="97"/>
      <c r="G917" s="97"/>
      <c r="H917" s="97"/>
      <c r="I917" s="97"/>
    </row>
    <row r="918" customFormat="false" ht="15.4" hidden="false" customHeight="true" outlineLevel="0" collapsed="false">
      <c r="A918" s="62" t="s">
        <v>751</v>
      </c>
      <c r="B918" s="193" t="s">
        <v>752</v>
      </c>
      <c r="C918" s="193"/>
      <c r="D918" s="193"/>
      <c r="E918" s="193"/>
      <c r="F918" s="193"/>
      <c r="G918" s="97"/>
      <c r="H918" s="97"/>
      <c r="I918" s="97"/>
    </row>
    <row r="919" customFormat="false" ht="15.4" hidden="false" customHeight="true" outlineLevel="0" collapsed="false">
      <c r="A919" s="62"/>
      <c r="B919" s="193"/>
      <c r="C919" s="193"/>
      <c r="D919" s="193"/>
      <c r="E919" s="193"/>
      <c r="F919" s="193"/>
      <c r="G919" s="253"/>
      <c r="H919" s="253"/>
      <c r="I919" s="97"/>
    </row>
    <row r="920" customFormat="false" ht="15.4" hidden="false" customHeight="true" outlineLevel="0" collapsed="false">
      <c r="A920" s="62"/>
      <c r="B920" s="193" t="s">
        <v>753</v>
      </c>
      <c r="C920" s="193"/>
      <c r="D920" s="193"/>
      <c r="E920" s="193"/>
      <c r="F920" s="193"/>
      <c r="G920" s="97"/>
      <c r="H920" s="97"/>
      <c r="I920" s="97"/>
    </row>
    <row r="921" customFormat="false" ht="15.4" hidden="false" customHeight="true" outlineLevel="0" collapsed="false">
      <c r="A921" s="62"/>
      <c r="B921" s="193"/>
      <c r="C921" s="193"/>
      <c r="D921" s="193"/>
      <c r="E921" s="193"/>
      <c r="F921" s="193"/>
      <c r="G921" s="253"/>
      <c r="H921" s="253"/>
      <c r="I921" s="97"/>
    </row>
    <row r="922" customFormat="false" ht="15.4" hidden="false" customHeight="true" outlineLevel="0" collapsed="false">
      <c r="A922" s="191" t="s">
        <v>754</v>
      </c>
      <c r="B922" s="191"/>
      <c r="C922" s="191"/>
      <c r="D922" s="97"/>
      <c r="E922" s="97"/>
      <c r="F922" s="97"/>
      <c r="G922" s="97"/>
      <c r="H922" s="97"/>
      <c r="I922" s="97"/>
    </row>
    <row r="923" customFormat="false" ht="15.4" hidden="false" customHeight="true" outlineLevel="0" collapsed="false">
      <c r="A923" s="62" t="s">
        <v>751</v>
      </c>
      <c r="B923" s="193" t="s">
        <v>755</v>
      </c>
      <c r="C923" s="193"/>
      <c r="D923" s="193"/>
      <c r="E923" s="193"/>
      <c r="F923" s="193"/>
      <c r="G923" s="194" t="s">
        <v>253</v>
      </c>
      <c r="H923" s="194" t="s">
        <v>254</v>
      </c>
      <c r="I923" s="97"/>
    </row>
    <row r="924" customFormat="false" ht="15.4" hidden="false" customHeight="true" outlineLevel="0" collapsed="false">
      <c r="A924" s="62"/>
      <c r="B924" s="193"/>
      <c r="C924" s="193"/>
      <c r="D924" s="193"/>
      <c r="E924" s="193"/>
      <c r="F924" s="193"/>
      <c r="G924" s="195"/>
      <c r="H924" s="195"/>
      <c r="I924" s="97"/>
    </row>
    <row r="925" customFormat="false" ht="15.4" hidden="false" customHeight="true" outlineLevel="0" collapsed="false">
      <c r="A925" s="62"/>
      <c r="B925" s="193"/>
      <c r="C925" s="193"/>
      <c r="D925" s="193"/>
      <c r="E925" s="193"/>
      <c r="F925" s="193"/>
      <c r="G925" s="97"/>
      <c r="H925" s="97"/>
      <c r="I925" s="97"/>
    </row>
    <row r="926" customFormat="false" ht="15.4" hidden="false" customHeight="true" outlineLevel="0" collapsed="false">
      <c r="A926" s="62" t="s">
        <v>756</v>
      </c>
      <c r="B926" s="193" t="s">
        <v>757</v>
      </c>
      <c r="C926" s="193"/>
      <c r="D926" s="193"/>
      <c r="E926" s="193"/>
      <c r="F926" s="193"/>
      <c r="G926" s="194" t="s">
        <v>253</v>
      </c>
      <c r="H926" s="194" t="s">
        <v>254</v>
      </c>
      <c r="I926" s="97"/>
    </row>
    <row r="927" customFormat="false" ht="15.4" hidden="false" customHeight="true" outlineLevel="0" collapsed="false">
      <c r="A927" s="62"/>
      <c r="B927" s="193"/>
      <c r="C927" s="193"/>
      <c r="D927" s="193"/>
      <c r="E927" s="193"/>
      <c r="F927" s="193"/>
      <c r="G927" s="195"/>
      <c r="H927" s="195"/>
      <c r="I927" s="97"/>
    </row>
    <row r="928" customFormat="false" ht="15.4" hidden="false" customHeight="true" outlineLevel="0" collapsed="false">
      <c r="A928" s="62"/>
      <c r="B928" s="335" t="s">
        <v>758</v>
      </c>
      <c r="C928" s="62"/>
      <c r="D928" s="62"/>
      <c r="E928" s="62"/>
      <c r="F928" s="97"/>
      <c r="G928" s="97"/>
      <c r="H928" s="97"/>
      <c r="I928" s="97"/>
    </row>
    <row r="929" customFormat="false" ht="15.4" hidden="false" customHeight="true" outlineLevel="0" collapsed="false">
      <c r="A929" s="62"/>
      <c r="B929" s="97"/>
      <c r="C929" s="97"/>
      <c r="D929" s="97"/>
      <c r="E929" s="97"/>
      <c r="F929" s="97"/>
      <c r="G929" s="97"/>
      <c r="H929" s="97"/>
      <c r="I929" s="97"/>
    </row>
    <row r="930" customFormat="false" ht="15.4" hidden="false" customHeight="true" outlineLevel="0" collapsed="false">
      <c r="A930" s="62" t="s">
        <v>669</v>
      </c>
      <c r="B930" s="85" t="s">
        <v>759</v>
      </c>
      <c r="C930" s="97"/>
      <c r="D930" s="97"/>
      <c r="E930" s="97"/>
      <c r="F930" s="97"/>
      <c r="G930" s="194" t="s">
        <v>253</v>
      </c>
      <c r="H930" s="194" t="s">
        <v>254</v>
      </c>
      <c r="I930" s="97"/>
    </row>
    <row r="931" customFormat="false" ht="15.4" hidden="false" customHeight="true" outlineLevel="0" collapsed="false">
      <c r="A931" s="62"/>
      <c r="B931" s="75" t="s">
        <v>760</v>
      </c>
      <c r="C931" s="62"/>
      <c r="E931" s="62"/>
      <c r="F931" s="97"/>
      <c r="G931" s="195"/>
      <c r="H931" s="195"/>
      <c r="I931" s="97"/>
    </row>
    <row r="932" customFormat="false" ht="15.4" hidden="false" customHeight="true" outlineLevel="0" collapsed="false">
      <c r="A932" s="62"/>
      <c r="B932" s="198" t="s">
        <v>761</v>
      </c>
      <c r="C932" s="62"/>
      <c r="D932" s="62"/>
      <c r="E932" s="62"/>
      <c r="F932" s="97"/>
      <c r="G932" s="195"/>
      <c r="H932" s="195"/>
      <c r="I932" s="97"/>
    </row>
    <row r="933" customFormat="false" ht="15.4" hidden="false" customHeight="true" outlineLevel="0" collapsed="false">
      <c r="A933" s="62"/>
      <c r="B933" s="75" t="s">
        <v>762</v>
      </c>
      <c r="C933" s="97"/>
      <c r="D933" s="97"/>
      <c r="E933" s="97"/>
      <c r="F933" s="97"/>
      <c r="G933" s="195"/>
      <c r="H933" s="195"/>
      <c r="I933" s="97"/>
    </row>
    <row r="934" customFormat="false" ht="15.4" hidden="false" customHeight="true" outlineLevel="0" collapsed="false">
      <c r="A934" s="62"/>
      <c r="B934" s="75" t="s">
        <v>763</v>
      </c>
      <c r="C934" s="97"/>
      <c r="D934" s="97"/>
      <c r="E934" s="97"/>
      <c r="F934" s="97"/>
      <c r="G934" s="195"/>
      <c r="H934" s="195"/>
      <c r="I934" s="97"/>
    </row>
    <row r="935" customFormat="false" ht="15.4" hidden="false" customHeight="true" outlineLevel="0" collapsed="false">
      <c r="A935" s="62"/>
      <c r="B935" s="97"/>
      <c r="C935" s="97"/>
      <c r="D935" s="97"/>
      <c r="E935" s="97"/>
      <c r="F935" s="97"/>
      <c r="G935" s="97"/>
      <c r="H935" s="97"/>
      <c r="I935" s="97"/>
    </row>
    <row r="936" customFormat="false" ht="15.4" hidden="false" customHeight="true" outlineLevel="0" collapsed="false">
      <c r="A936" s="62" t="s">
        <v>756</v>
      </c>
      <c r="B936" s="193" t="s">
        <v>764</v>
      </c>
      <c r="C936" s="193"/>
      <c r="D936" s="193"/>
      <c r="E936" s="193"/>
      <c r="F936" s="193"/>
      <c r="G936" s="194" t="s">
        <v>253</v>
      </c>
      <c r="H936" s="194" t="s">
        <v>254</v>
      </c>
      <c r="I936" s="97"/>
    </row>
    <row r="937" customFormat="false" ht="15.4" hidden="false" customHeight="true" outlineLevel="0" collapsed="false">
      <c r="A937" s="62"/>
      <c r="B937" s="193"/>
      <c r="C937" s="193"/>
      <c r="D937" s="193"/>
      <c r="E937" s="193"/>
      <c r="F937" s="193"/>
      <c r="G937" s="195"/>
      <c r="H937" s="195"/>
      <c r="I937" s="97"/>
    </row>
    <row r="938" customFormat="false" ht="15.4" hidden="false" customHeight="true" outlineLevel="0" collapsed="false">
      <c r="A938" s="62"/>
      <c r="B938" s="193" t="s">
        <v>765</v>
      </c>
      <c r="C938" s="193"/>
      <c r="D938" s="193"/>
      <c r="E938" s="193"/>
      <c r="F938" s="193"/>
      <c r="G938" s="194" t="s">
        <v>253</v>
      </c>
      <c r="H938" s="194" t="s">
        <v>254</v>
      </c>
      <c r="I938" s="97"/>
    </row>
    <row r="939" customFormat="false" ht="15.4" hidden="false" customHeight="true" outlineLevel="0" collapsed="false">
      <c r="A939" s="62"/>
      <c r="B939" s="193"/>
      <c r="C939" s="193"/>
      <c r="D939" s="193"/>
      <c r="E939" s="193"/>
      <c r="F939" s="193"/>
      <c r="G939" s="195"/>
      <c r="H939" s="195"/>
      <c r="I939" s="97"/>
    </row>
    <row r="940" customFormat="false" ht="15.4" hidden="false" customHeight="true" outlineLevel="0" collapsed="false">
      <c r="A940" s="62"/>
      <c r="B940" s="336" t="s">
        <v>766</v>
      </c>
      <c r="C940" s="75"/>
      <c r="D940" s="75"/>
      <c r="E940" s="75"/>
      <c r="F940" s="97"/>
      <c r="G940" s="97"/>
      <c r="H940" s="97"/>
      <c r="I940" s="97"/>
    </row>
    <row r="941" customFormat="false" ht="15.4" hidden="false" customHeight="true" outlineLevel="0" collapsed="false">
      <c r="A941" s="62"/>
      <c r="B941" s="97"/>
      <c r="C941" s="97"/>
      <c r="D941" s="97"/>
      <c r="E941" s="97"/>
      <c r="F941" s="97"/>
      <c r="G941" s="97"/>
      <c r="H941" s="97"/>
      <c r="I941" s="97"/>
    </row>
    <row r="942" customFormat="false" ht="15.4" hidden="false" customHeight="true" outlineLevel="0" collapsed="false">
      <c r="A942" s="62"/>
      <c r="B942" s="212" t="s">
        <v>767</v>
      </c>
      <c r="C942" s="212"/>
      <c r="D942" s="212"/>
      <c r="E942" s="97"/>
      <c r="F942" s="97"/>
      <c r="G942" s="97"/>
      <c r="H942" s="97"/>
      <c r="I942" s="97"/>
    </row>
    <row r="943" customFormat="false" ht="15.4" hidden="false" customHeight="true" outlineLevel="0" collapsed="false">
      <c r="A943" s="62" t="s">
        <v>756</v>
      </c>
      <c r="B943" s="85" t="s">
        <v>768</v>
      </c>
      <c r="C943" s="97"/>
      <c r="D943" s="97"/>
      <c r="E943" s="253"/>
      <c r="F943" s="97"/>
      <c r="G943" s="194" t="s">
        <v>253</v>
      </c>
      <c r="H943" s="194" t="s">
        <v>254</v>
      </c>
      <c r="I943" s="97"/>
    </row>
    <row r="944" customFormat="false" ht="15.4" hidden="false" customHeight="true" outlineLevel="0" collapsed="false">
      <c r="A944" s="62"/>
      <c r="B944" s="193" t="s">
        <v>769</v>
      </c>
      <c r="C944" s="193"/>
      <c r="D944" s="193"/>
      <c r="E944" s="193"/>
      <c r="F944" s="193"/>
      <c r="G944" s="163"/>
      <c r="H944" s="163"/>
      <c r="I944" s="97"/>
    </row>
    <row r="945" customFormat="false" ht="15.4" hidden="false" customHeight="true" outlineLevel="0" collapsed="false">
      <c r="A945" s="62"/>
      <c r="B945" s="193"/>
      <c r="C945" s="193"/>
      <c r="D945" s="193"/>
      <c r="E945" s="193"/>
      <c r="F945" s="193"/>
      <c r="G945" s="163"/>
      <c r="H945" s="163"/>
      <c r="I945" s="97"/>
    </row>
    <row r="946" customFormat="false" ht="15.4" hidden="false" customHeight="true" outlineLevel="0" collapsed="false">
      <c r="A946" s="62"/>
      <c r="B946" s="193" t="s">
        <v>770</v>
      </c>
      <c r="C946" s="193"/>
      <c r="D946" s="193"/>
      <c r="E946" s="193"/>
      <c r="F946" s="193"/>
      <c r="G946" s="163"/>
      <c r="H946" s="163"/>
      <c r="I946" s="97"/>
    </row>
    <row r="947" customFormat="false" ht="15.4" hidden="false" customHeight="true" outlineLevel="0" collapsed="false">
      <c r="A947" s="62"/>
      <c r="B947" s="193"/>
      <c r="C947" s="193"/>
      <c r="D947" s="193"/>
      <c r="E947" s="193"/>
      <c r="F947" s="193"/>
      <c r="G947" s="163"/>
      <c r="H947" s="163"/>
      <c r="I947" s="97"/>
    </row>
    <row r="948" customFormat="false" ht="15.4" hidden="false" customHeight="true" outlineLevel="0" collapsed="false">
      <c r="A948" s="62"/>
      <c r="B948" s="193"/>
      <c r="C948" s="193"/>
      <c r="D948" s="193"/>
      <c r="E948" s="193"/>
      <c r="F948" s="193"/>
      <c r="G948" s="337"/>
      <c r="H948" s="337"/>
      <c r="I948" s="97"/>
    </row>
    <row r="949" customFormat="false" ht="15.4" hidden="false" customHeight="true" outlineLevel="0" collapsed="false">
      <c r="A949" s="62"/>
      <c r="B949" s="193" t="s">
        <v>771</v>
      </c>
      <c r="C949" s="193"/>
      <c r="D949" s="193"/>
      <c r="E949" s="193"/>
      <c r="F949" s="193"/>
      <c r="G949" s="195"/>
      <c r="H949" s="97" t="s">
        <v>772</v>
      </c>
    </row>
    <row r="950" customFormat="false" ht="15.4" hidden="false" customHeight="true" outlineLevel="0" collapsed="false">
      <c r="A950" s="62"/>
      <c r="B950" s="193"/>
      <c r="C950" s="193"/>
      <c r="D950" s="193"/>
      <c r="E950" s="193"/>
      <c r="F950" s="193"/>
      <c r="G950" s="195"/>
      <c r="H950" s="249" t="s">
        <v>773</v>
      </c>
      <c r="I950" s="97"/>
    </row>
    <row r="951" customFormat="false" ht="15.4" hidden="false" customHeight="true" outlineLevel="0" collapsed="false">
      <c r="A951" s="62"/>
      <c r="B951" s="193"/>
      <c r="C951" s="193"/>
      <c r="D951" s="193"/>
      <c r="E951" s="193"/>
      <c r="F951" s="193"/>
      <c r="G951" s="97"/>
      <c r="H951" s="249"/>
      <c r="I951" s="97"/>
    </row>
    <row r="952" customFormat="false" ht="15.4" hidden="false" customHeight="true" outlineLevel="0" collapsed="false">
      <c r="A952" s="62" t="s">
        <v>774</v>
      </c>
      <c r="B952" s="85" t="s">
        <v>775</v>
      </c>
      <c r="C952" s="97"/>
      <c r="D952" s="97"/>
      <c r="E952" s="97"/>
      <c r="F952" s="97"/>
      <c r="G952" s="97"/>
      <c r="H952" s="97"/>
      <c r="I952" s="97"/>
    </row>
    <row r="953" customFormat="false" ht="15.4" hidden="false" customHeight="true" outlineLevel="0" collapsed="false">
      <c r="A953" s="62"/>
      <c r="B953" s="75" t="s">
        <v>776</v>
      </c>
      <c r="C953" s="62"/>
      <c r="D953" s="62"/>
      <c r="E953" s="62"/>
      <c r="F953" s="97"/>
      <c r="G953" s="338"/>
      <c r="H953" s="253"/>
      <c r="I953" s="97"/>
    </row>
    <row r="954" customFormat="false" ht="15.4" hidden="false" customHeight="true" outlineLevel="0" collapsed="false">
      <c r="A954" s="62"/>
      <c r="B954" s="198" t="s">
        <v>777</v>
      </c>
      <c r="C954" s="198"/>
      <c r="D954" s="198"/>
      <c r="E954" s="198"/>
      <c r="F954" s="198"/>
      <c r="G954" s="338"/>
      <c r="H954" s="338"/>
      <c r="I954" s="97"/>
    </row>
    <row r="955" customFormat="false" ht="15.4" hidden="false" customHeight="true" outlineLevel="0" collapsed="false">
      <c r="A955" s="62"/>
      <c r="B955" s="198" t="s">
        <v>778</v>
      </c>
      <c r="C955" s="198"/>
      <c r="D955" s="198"/>
      <c r="E955" s="198"/>
      <c r="F955" s="198"/>
      <c r="G955" s="338"/>
      <c r="H955" s="253"/>
      <c r="I955" s="97"/>
    </row>
    <row r="956" customFormat="false" ht="15.4" hidden="false" customHeight="true" outlineLevel="0" collapsed="false">
      <c r="A956" s="62"/>
      <c r="B956" s="97"/>
      <c r="C956" s="97"/>
      <c r="D956" s="97"/>
      <c r="E956" s="97"/>
      <c r="F956" s="97"/>
      <c r="G956" s="194" t="s">
        <v>253</v>
      </c>
      <c r="H956" s="194" t="s">
        <v>254</v>
      </c>
      <c r="I956" s="85"/>
    </row>
    <row r="957" customFormat="false" ht="15.4" hidden="false" customHeight="true" outlineLevel="0" collapsed="false">
      <c r="A957" s="62"/>
      <c r="B957" s="198" t="s">
        <v>779</v>
      </c>
      <c r="C957" s="198"/>
      <c r="D957" s="198"/>
      <c r="E957" s="198"/>
      <c r="F957" s="198"/>
      <c r="G957" s="339"/>
      <c r="H957" s="195"/>
      <c r="I957" s="85"/>
    </row>
    <row r="958" customFormat="false" ht="15.4" hidden="false" customHeight="true" outlineLevel="0" collapsed="false">
      <c r="A958" s="62"/>
      <c r="B958" s="198" t="s">
        <v>780</v>
      </c>
      <c r="C958" s="198"/>
      <c r="D958" s="198"/>
      <c r="E958" s="198"/>
      <c r="F958" s="198"/>
      <c r="G958" s="339"/>
      <c r="H958" s="195"/>
      <c r="I958" s="97"/>
    </row>
    <row r="959" customFormat="false" ht="15.4" hidden="false" customHeight="true" outlineLevel="0" collapsed="false">
      <c r="A959" s="62"/>
      <c r="B959" s="97"/>
      <c r="C959" s="97"/>
      <c r="D959" s="97"/>
      <c r="E959" s="97"/>
      <c r="F959" s="97"/>
      <c r="G959" s="97"/>
      <c r="H959" s="97"/>
      <c r="I959" s="97"/>
    </row>
    <row r="960" customFormat="false" ht="15.4" hidden="false" customHeight="true" outlineLevel="0" collapsed="false">
      <c r="A960" s="191" t="s">
        <v>781</v>
      </c>
      <c r="B960" s="191"/>
      <c r="C960" s="191"/>
      <c r="D960" s="97"/>
      <c r="E960" s="97"/>
      <c r="F960" s="97"/>
      <c r="G960" s="97"/>
      <c r="H960" s="97"/>
      <c r="I960" s="97"/>
    </row>
    <row r="961" customFormat="false" ht="15.4" hidden="false" customHeight="true" outlineLevel="0" collapsed="false">
      <c r="A961" s="62" t="s">
        <v>782</v>
      </c>
      <c r="B961" s="193" t="s">
        <v>783</v>
      </c>
      <c r="C961" s="193"/>
      <c r="D961" s="193"/>
      <c r="E961" s="193"/>
      <c r="F961" s="193"/>
      <c r="G961" s="97"/>
      <c r="H961" s="97"/>
      <c r="I961" s="97"/>
    </row>
    <row r="962" customFormat="false" ht="15.4" hidden="false" customHeight="true" outlineLevel="0" collapsed="false">
      <c r="A962" s="62"/>
      <c r="B962" s="193"/>
      <c r="C962" s="193"/>
      <c r="D962" s="193"/>
      <c r="E962" s="193"/>
      <c r="F962" s="193"/>
      <c r="G962" s="338"/>
      <c r="H962" s="253"/>
      <c r="I962" s="97"/>
    </row>
    <row r="963" customFormat="false" ht="15.4" hidden="false" customHeight="true" outlineLevel="0" collapsed="false">
      <c r="A963" s="62"/>
      <c r="B963" s="193"/>
      <c r="C963" s="193"/>
      <c r="D963" s="193"/>
      <c r="E963" s="193"/>
      <c r="F963" s="193"/>
      <c r="G963" s="97"/>
      <c r="H963" s="97"/>
      <c r="I963" s="97"/>
    </row>
    <row r="964" customFormat="false" ht="15.4" hidden="false" customHeight="true" outlineLevel="0" collapsed="false">
      <c r="A964" s="62"/>
      <c r="B964" s="193"/>
      <c r="C964" s="193"/>
      <c r="D964" s="193"/>
      <c r="E964" s="193"/>
      <c r="F964" s="193"/>
      <c r="G964" s="194" t="s">
        <v>253</v>
      </c>
      <c r="H964" s="194" t="s">
        <v>254</v>
      </c>
      <c r="I964" s="97"/>
    </row>
    <row r="965" customFormat="false" ht="15.4" hidden="false" customHeight="true" outlineLevel="0" collapsed="false">
      <c r="A965" s="62"/>
      <c r="B965" s="198" t="s">
        <v>784</v>
      </c>
      <c r="C965" s="198"/>
      <c r="D965" s="198"/>
      <c r="E965" s="198"/>
      <c r="F965" s="198"/>
      <c r="G965" s="339"/>
      <c r="H965" s="195"/>
      <c r="I965" s="97"/>
    </row>
    <row r="966" customFormat="false" ht="15.4" hidden="false" customHeight="true" outlineLevel="0" collapsed="false">
      <c r="A966" s="62"/>
      <c r="B966" s="314" t="s">
        <v>785</v>
      </c>
      <c r="C966" s="340"/>
      <c r="D966" s="340"/>
      <c r="E966" s="340"/>
      <c r="F966" s="340"/>
      <c r="G966" s="97"/>
      <c r="H966" s="97"/>
      <c r="I966" s="97"/>
    </row>
    <row r="967" customFormat="false" ht="15.4" hidden="false" customHeight="true" outlineLevel="0" collapsed="false">
      <c r="A967" s="62"/>
      <c r="B967" s="193" t="s">
        <v>786</v>
      </c>
      <c r="C967" s="193"/>
      <c r="D967" s="193"/>
      <c r="E967" s="193"/>
      <c r="F967" s="193"/>
      <c r="G967" s="194" t="s">
        <v>253</v>
      </c>
      <c r="H967" s="194" t="s">
        <v>254</v>
      </c>
      <c r="I967" s="97"/>
    </row>
    <row r="968" customFormat="false" ht="15.4" hidden="false" customHeight="true" outlineLevel="0" collapsed="false">
      <c r="A968" s="62"/>
      <c r="B968" s="193"/>
      <c r="C968" s="193"/>
      <c r="D968" s="193"/>
      <c r="E968" s="193"/>
      <c r="F968" s="193"/>
      <c r="G968" s="339"/>
      <c r="H968" s="195"/>
      <c r="I968" s="97"/>
    </row>
    <row r="969" customFormat="false" ht="15.4" hidden="false" customHeight="true" outlineLevel="0" collapsed="false">
      <c r="A969" s="62"/>
      <c r="B969" s="245" t="s">
        <v>787</v>
      </c>
      <c r="C969" s="245"/>
      <c r="D969" s="245"/>
      <c r="E969" s="245"/>
      <c r="F969" s="245"/>
      <c r="G969" s="320"/>
      <c r="H969" s="320"/>
      <c r="I969" s="97"/>
    </row>
    <row r="970" customFormat="false" ht="15.4" hidden="false" customHeight="true" outlineLevel="0" collapsed="false">
      <c r="A970" s="62"/>
      <c r="B970" s="313" t="s">
        <v>788</v>
      </c>
      <c r="C970" s="91"/>
      <c r="D970" s="91"/>
      <c r="E970" s="91"/>
      <c r="F970" s="91"/>
      <c r="G970" s="97"/>
      <c r="H970" s="97"/>
      <c r="I970" s="97"/>
    </row>
    <row r="971" customFormat="false" ht="15.4" hidden="false" customHeight="true" outlineLevel="0" collapsed="false">
      <c r="A971" s="62"/>
      <c r="C971" s="192"/>
      <c r="D971" s="192"/>
      <c r="E971" s="192"/>
      <c r="F971" s="192"/>
      <c r="G971" s="194" t="s">
        <v>253</v>
      </c>
      <c r="H971" s="194" t="s">
        <v>254</v>
      </c>
      <c r="I971" s="97"/>
    </row>
    <row r="972" customFormat="false" ht="15.4" hidden="false" customHeight="true" outlineLevel="0" collapsed="false">
      <c r="A972" s="62"/>
      <c r="B972" s="193" t="s">
        <v>789</v>
      </c>
      <c r="C972" s="193"/>
      <c r="D972" s="193"/>
      <c r="E972" s="193"/>
      <c r="F972" s="193"/>
      <c r="G972" s="163"/>
      <c r="H972" s="163"/>
      <c r="I972" s="97"/>
    </row>
    <row r="973" customFormat="false" ht="15.4" hidden="false" customHeight="true" outlineLevel="0" collapsed="false">
      <c r="A973" s="62"/>
      <c r="B973" s="193"/>
      <c r="C973" s="193"/>
      <c r="D973" s="193"/>
      <c r="E973" s="193"/>
      <c r="F973" s="193"/>
      <c r="G973" s="163"/>
      <c r="H973" s="163"/>
      <c r="I973" s="97"/>
    </row>
    <row r="974" customFormat="false" ht="15.4" hidden="false" customHeight="true" outlineLevel="0" collapsed="false">
      <c r="A974" s="62"/>
      <c r="B974" s="97"/>
      <c r="C974" s="97"/>
      <c r="D974" s="97"/>
      <c r="E974" s="97"/>
      <c r="F974" s="97"/>
      <c r="G974" s="97"/>
      <c r="H974" s="97"/>
      <c r="I974" s="97"/>
    </row>
    <row r="975" customFormat="false" ht="15.4" hidden="false" customHeight="true" outlineLevel="0" collapsed="false">
      <c r="A975" s="214" t="s">
        <v>790</v>
      </c>
      <c r="B975" s="214"/>
      <c r="C975" s="214"/>
      <c r="D975" s="97"/>
      <c r="E975" s="97"/>
      <c r="F975" s="97"/>
      <c r="G975" s="194" t="s">
        <v>253</v>
      </c>
      <c r="H975" s="194" t="s">
        <v>254</v>
      </c>
      <c r="I975" s="97"/>
    </row>
    <row r="976" customFormat="false" ht="15.4" hidden="false" customHeight="true" outlineLevel="0" collapsed="false">
      <c r="A976" s="62" t="s">
        <v>791</v>
      </c>
      <c r="B976" s="238" t="s">
        <v>792</v>
      </c>
      <c r="C976" s="238"/>
      <c r="D976" s="238"/>
      <c r="E976" s="238"/>
      <c r="F976" s="238"/>
      <c r="G976" s="339"/>
      <c r="H976" s="195"/>
      <c r="I976" s="97"/>
    </row>
    <row r="977" customFormat="false" ht="15.4" hidden="false" customHeight="true" outlineLevel="0" collapsed="false">
      <c r="A977" s="62"/>
      <c r="B977" s="238" t="s">
        <v>793</v>
      </c>
      <c r="C977" s="238"/>
      <c r="D977" s="238"/>
      <c r="E977" s="238"/>
      <c r="F977" s="238"/>
      <c r="G977" s="339"/>
      <c r="H977" s="195"/>
      <c r="I977" s="97"/>
    </row>
    <row r="978" customFormat="false" ht="15.4" hidden="false" customHeight="true" outlineLevel="0" collapsed="false">
      <c r="A978" s="62"/>
      <c r="B978" s="85"/>
      <c r="C978" s="250"/>
      <c r="D978" s="250"/>
      <c r="E978" s="250"/>
      <c r="F978" s="250"/>
      <c r="G978" s="250"/>
      <c r="H978" s="97"/>
      <c r="I978" s="97"/>
    </row>
    <row r="979" customFormat="false" ht="15" hidden="false" customHeight="true" outlineLevel="0" collapsed="false">
      <c r="A979" s="62"/>
      <c r="B979" s="193" t="s">
        <v>794</v>
      </c>
      <c r="C979" s="193"/>
      <c r="D979" s="193"/>
      <c r="E979" s="193"/>
      <c r="F979" s="193"/>
      <c r="G979" s="194" t="s">
        <v>253</v>
      </c>
      <c r="H979" s="194" t="s">
        <v>254</v>
      </c>
      <c r="I979" s="97"/>
    </row>
    <row r="980" customFormat="false" ht="16.5" hidden="false" customHeight="true" outlineLevel="0" collapsed="false">
      <c r="A980" s="62"/>
      <c r="B980" s="193"/>
      <c r="C980" s="193"/>
      <c r="D980" s="193"/>
      <c r="E980" s="193"/>
      <c r="F980" s="193"/>
      <c r="G980" s="341"/>
      <c r="H980" s="163"/>
      <c r="I980" s="97"/>
    </row>
    <row r="981" customFormat="false" ht="15.4" hidden="false" customHeight="true" outlineLevel="0" collapsed="false">
      <c r="A981" s="62"/>
      <c r="B981" s="198" t="s">
        <v>793</v>
      </c>
      <c r="C981" s="198"/>
      <c r="D981" s="198"/>
      <c r="E981" s="198"/>
      <c r="F981" s="198"/>
      <c r="G981" s="339"/>
      <c r="H981" s="195"/>
      <c r="I981" s="97"/>
    </row>
    <row r="982" customFormat="false" ht="15.4" hidden="false" customHeight="true" outlineLevel="0" collapsed="false">
      <c r="A982" s="62"/>
      <c r="B982" s="62"/>
      <c r="C982" s="75"/>
      <c r="D982" s="75"/>
      <c r="E982" s="75"/>
      <c r="F982" s="342"/>
      <c r="G982" s="97"/>
      <c r="H982" s="97"/>
      <c r="I982" s="97"/>
    </row>
    <row r="983" customFormat="false" ht="15.4" hidden="false" customHeight="true" outlineLevel="0" collapsed="false">
      <c r="A983" s="62"/>
      <c r="B983" s="193" t="s">
        <v>795</v>
      </c>
      <c r="C983" s="193"/>
      <c r="D983" s="193"/>
      <c r="E983" s="193"/>
      <c r="F983" s="193"/>
      <c r="G983" s="194" t="s">
        <v>253</v>
      </c>
      <c r="H983" s="194" t="s">
        <v>254</v>
      </c>
      <c r="I983" s="97"/>
    </row>
    <row r="984" customFormat="false" ht="15.4" hidden="false" customHeight="true" outlineLevel="0" collapsed="false">
      <c r="A984" s="62"/>
      <c r="B984" s="193"/>
      <c r="C984" s="193"/>
      <c r="D984" s="193"/>
      <c r="E984" s="193"/>
      <c r="F984" s="193"/>
      <c r="G984" s="341"/>
      <c r="H984" s="163"/>
      <c r="I984" s="97"/>
    </row>
    <row r="985" customFormat="false" ht="15.4" hidden="false" customHeight="true" outlineLevel="0" collapsed="false">
      <c r="A985" s="62"/>
      <c r="B985" s="193"/>
      <c r="C985" s="193"/>
      <c r="D985" s="193"/>
      <c r="E985" s="193"/>
      <c r="F985" s="193"/>
      <c r="G985" s="341"/>
      <c r="H985" s="163"/>
      <c r="I985" s="97"/>
    </row>
    <row r="986" customFormat="false" ht="15.4" hidden="false" customHeight="true" outlineLevel="0" collapsed="false">
      <c r="A986" s="62"/>
      <c r="B986" s="97"/>
      <c r="C986" s="62"/>
      <c r="D986" s="62"/>
      <c r="E986" s="62"/>
      <c r="F986" s="62"/>
      <c r="G986" s="62"/>
      <c r="H986" s="97"/>
      <c r="I986" s="97"/>
    </row>
    <row r="987" customFormat="false" ht="15.4" hidden="false" customHeight="true" outlineLevel="0" collapsed="false">
      <c r="A987" s="62" t="s">
        <v>791</v>
      </c>
      <c r="B987" s="193" t="s">
        <v>796</v>
      </c>
      <c r="C987" s="193"/>
      <c r="D987" s="193"/>
      <c r="E987" s="193"/>
      <c r="F987" s="193"/>
      <c r="G987" s="194" t="s">
        <v>253</v>
      </c>
      <c r="H987" s="194" t="s">
        <v>254</v>
      </c>
      <c r="I987" s="97"/>
    </row>
    <row r="988" customFormat="false" ht="15.4" hidden="false" customHeight="true" outlineLevel="0" collapsed="false">
      <c r="A988" s="62"/>
      <c r="B988" s="193"/>
      <c r="C988" s="193"/>
      <c r="D988" s="193"/>
      <c r="E988" s="193"/>
      <c r="F988" s="193"/>
      <c r="G988" s="339"/>
      <c r="H988" s="195"/>
      <c r="I988" s="97"/>
    </row>
    <row r="989" customFormat="false" ht="25.15" hidden="false" customHeight="true" outlineLevel="0" collapsed="false">
      <c r="A989" s="62"/>
      <c r="B989" s="343" t="s">
        <v>797</v>
      </c>
      <c r="C989" s="343"/>
      <c r="D989" s="343"/>
      <c r="E989" s="343"/>
      <c r="F989" s="343"/>
      <c r="G989" s="343"/>
      <c r="H989" s="343"/>
      <c r="I989" s="97"/>
    </row>
    <row r="990" customFormat="false" ht="15.4" hidden="false" customHeight="true" outlineLevel="0" collapsed="false">
      <c r="A990" s="62"/>
      <c r="B990" s="338"/>
      <c r="C990" s="253"/>
      <c r="D990" s="253"/>
      <c r="E990" s="253"/>
      <c r="F990" s="253"/>
      <c r="G990" s="253"/>
      <c r="H990" s="253"/>
      <c r="I990" s="97"/>
    </row>
    <row r="991" customFormat="false" ht="15.4" hidden="false" customHeight="true" outlineLevel="0" collapsed="false">
      <c r="A991" s="62"/>
      <c r="B991" s="97"/>
      <c r="C991" s="97"/>
      <c r="D991" s="97"/>
      <c r="E991" s="97"/>
      <c r="F991" s="97"/>
      <c r="G991" s="97"/>
      <c r="H991" s="97"/>
      <c r="I991" s="97"/>
    </row>
    <row r="992" customFormat="false" ht="15.4" hidden="false" customHeight="true" outlineLevel="0" collapsed="false">
      <c r="A992" s="62"/>
      <c r="B992" s="97"/>
      <c r="C992" s="97"/>
      <c r="D992" s="97"/>
      <c r="E992" s="97"/>
      <c r="F992" s="97"/>
      <c r="G992" s="194" t="s">
        <v>253</v>
      </c>
      <c r="H992" s="194" t="s">
        <v>254</v>
      </c>
      <c r="I992" s="97"/>
    </row>
    <row r="993" customFormat="false" ht="15.4" hidden="false" customHeight="true" outlineLevel="0" collapsed="false">
      <c r="A993" s="62"/>
      <c r="B993" s="238" t="s">
        <v>798</v>
      </c>
      <c r="C993" s="238"/>
      <c r="D993" s="238"/>
      <c r="E993" s="238"/>
      <c r="F993" s="238"/>
      <c r="G993" s="339"/>
      <c r="H993" s="195"/>
      <c r="I993" s="97"/>
    </row>
    <row r="994" customFormat="false" ht="15.4" hidden="false" customHeight="true" outlineLevel="0" collapsed="false">
      <c r="A994" s="62"/>
      <c r="B994" s="97"/>
      <c r="C994" s="97"/>
      <c r="D994" s="97"/>
      <c r="E994" s="97"/>
      <c r="F994" s="97"/>
      <c r="G994" s="97"/>
      <c r="H994" s="97"/>
      <c r="I994" s="97"/>
    </row>
    <row r="995" customFormat="false" ht="15.4" hidden="false" customHeight="true" outlineLevel="0" collapsed="false">
      <c r="A995" s="214" t="s">
        <v>799</v>
      </c>
      <c r="B995" s="214"/>
      <c r="C995" s="214"/>
      <c r="D995" s="97"/>
      <c r="E995" s="97"/>
      <c r="F995" s="97"/>
      <c r="G995" s="194" t="s">
        <v>253</v>
      </c>
      <c r="H995" s="194" t="s">
        <v>254</v>
      </c>
      <c r="I995" s="97"/>
    </row>
    <row r="996" customFormat="false" ht="15.4" hidden="false" customHeight="true" outlineLevel="0" collapsed="false">
      <c r="A996" s="62" t="s">
        <v>800</v>
      </c>
      <c r="B996" s="198" t="s">
        <v>801</v>
      </c>
      <c r="C996" s="198"/>
      <c r="D996" s="249"/>
      <c r="E996" s="249"/>
      <c r="F996" s="249"/>
      <c r="G996" s="339"/>
      <c r="H996" s="195"/>
      <c r="I996" s="97"/>
    </row>
    <row r="997" customFormat="false" ht="15.4" hidden="false" customHeight="true" outlineLevel="0" collapsed="false">
      <c r="A997" s="62"/>
      <c r="B997" s="335" t="s">
        <v>802</v>
      </c>
      <c r="C997" s="97"/>
      <c r="D997" s="97"/>
      <c r="E997" s="97"/>
      <c r="F997" s="97"/>
      <c r="G997" s="97"/>
      <c r="H997" s="97"/>
      <c r="I997" s="97"/>
    </row>
    <row r="998" customFormat="false" ht="15.4" hidden="false" customHeight="true" outlineLevel="0" collapsed="false">
      <c r="A998" s="62"/>
      <c r="B998" s="344" t="s">
        <v>803</v>
      </c>
      <c r="C998" s="338"/>
      <c r="D998" s="253"/>
      <c r="E998" s="253"/>
      <c r="F998" s="253"/>
      <c r="G998" s="253"/>
      <c r="H998" s="253"/>
      <c r="I998" s="97"/>
    </row>
    <row r="999" customFormat="false" ht="15.4" hidden="false" customHeight="true" outlineLevel="0" collapsed="false">
      <c r="A999" s="62"/>
      <c r="B999" s="75"/>
      <c r="C999" s="75"/>
      <c r="D999" s="75"/>
      <c r="E999" s="75"/>
      <c r="F999" s="75"/>
      <c r="G999" s="97"/>
      <c r="H999" s="97"/>
      <c r="I999" s="97"/>
    </row>
    <row r="1000" customFormat="false" ht="15.4" hidden="false" customHeight="true" outlineLevel="0" collapsed="false">
      <c r="A1000" s="62"/>
      <c r="B1000" s="75"/>
      <c r="C1000" s="75"/>
      <c r="D1000" s="75"/>
      <c r="E1000" s="75"/>
      <c r="F1000" s="75"/>
      <c r="G1000" s="194" t="s">
        <v>253</v>
      </c>
      <c r="H1000" s="194" t="s">
        <v>254</v>
      </c>
      <c r="I1000" s="97"/>
    </row>
    <row r="1001" customFormat="false" ht="15.4" hidden="false" customHeight="true" outlineLevel="0" collapsed="false">
      <c r="A1001" s="62"/>
      <c r="B1001" s="198" t="s">
        <v>804</v>
      </c>
      <c r="C1001" s="80"/>
      <c r="D1001" s="62"/>
      <c r="E1001" s="62"/>
      <c r="F1001" s="97"/>
      <c r="G1001" s="339"/>
      <c r="H1001" s="195"/>
      <c r="I1001" s="97"/>
    </row>
    <row r="1002" customFormat="false" ht="15.4" hidden="false" customHeight="true" outlineLevel="0" collapsed="false">
      <c r="A1002" s="62"/>
      <c r="B1002" s="335" t="s">
        <v>805</v>
      </c>
      <c r="C1002" s="97"/>
      <c r="D1002" s="97"/>
      <c r="E1002" s="97"/>
      <c r="F1002" s="97"/>
      <c r="G1002" s="97"/>
      <c r="H1002" s="97"/>
      <c r="I1002" s="97"/>
    </row>
    <row r="1003" customFormat="false" ht="15.4" hidden="false" customHeight="true" outlineLevel="0" collapsed="false">
      <c r="A1003" s="62"/>
      <c r="B1003" s="344" t="s">
        <v>806</v>
      </c>
      <c r="C1003" s="338"/>
      <c r="D1003" s="253"/>
      <c r="E1003" s="253"/>
      <c r="F1003" s="253"/>
      <c r="G1003" s="253"/>
      <c r="H1003" s="253"/>
      <c r="I1003" s="97"/>
    </row>
    <row r="1004" customFormat="false" ht="15.4" hidden="false" customHeight="true" outlineLevel="0" collapsed="false">
      <c r="A1004" s="62"/>
      <c r="B1004" s="344"/>
      <c r="C1004" s="338"/>
      <c r="D1004" s="253"/>
      <c r="E1004" s="253"/>
      <c r="F1004" s="253"/>
      <c r="G1004" s="253"/>
      <c r="H1004" s="253"/>
      <c r="I1004" s="97"/>
    </row>
    <row r="1005" customFormat="false" ht="15.4" hidden="false" customHeight="true" outlineLevel="0" collapsed="false">
      <c r="A1005" s="62"/>
      <c r="B1005" s="97"/>
      <c r="C1005" s="97"/>
      <c r="D1005" s="97"/>
      <c r="E1005" s="97"/>
      <c r="F1005" s="97"/>
      <c r="G1005" s="97"/>
      <c r="H1005" s="97"/>
      <c r="I1005" s="97"/>
    </row>
    <row r="1006" customFormat="false" ht="15.4" hidden="false" customHeight="true" outlineLevel="0" collapsed="false">
      <c r="A1006" s="214" t="s">
        <v>807</v>
      </c>
      <c r="B1006" s="214"/>
      <c r="C1006" s="214"/>
      <c r="D1006" s="97"/>
      <c r="E1006" s="97"/>
      <c r="F1006" s="97"/>
      <c r="G1006" s="97"/>
      <c r="H1006" s="97"/>
      <c r="I1006" s="97"/>
    </row>
    <row r="1007" customFormat="false" ht="15.4" hidden="false" customHeight="true" outlineLevel="0" collapsed="false">
      <c r="C1007" s="192"/>
      <c r="D1007" s="192"/>
      <c r="E1007" s="192"/>
      <c r="F1007" s="192"/>
      <c r="G1007" s="97"/>
      <c r="H1007" s="97"/>
      <c r="I1007" s="97"/>
    </row>
    <row r="1008" customFormat="false" ht="15.4" hidden="false" customHeight="true" outlineLevel="0" collapsed="false">
      <c r="A1008" s="62" t="s">
        <v>808</v>
      </c>
      <c r="B1008" s="193" t="s">
        <v>809</v>
      </c>
      <c r="C1008" s="193"/>
      <c r="D1008" s="193"/>
      <c r="E1008" s="193"/>
      <c r="F1008" s="193"/>
      <c r="G1008" s="253"/>
      <c r="H1008" s="253"/>
      <c r="I1008" s="97"/>
    </row>
    <row r="1009" customFormat="false" ht="15.4" hidden="false" customHeight="true" outlineLevel="0" collapsed="false">
      <c r="A1009" s="62"/>
      <c r="B1009" s="335" t="s">
        <v>810</v>
      </c>
      <c r="C1009" s="97"/>
      <c r="D1009" s="97"/>
      <c r="E1009" s="97"/>
      <c r="F1009" s="97"/>
      <c r="G1009" s="97"/>
      <c r="H1009" s="97"/>
      <c r="I1009" s="97"/>
    </row>
    <row r="1010" customFormat="false" ht="15.4" hidden="false" customHeight="true" outlineLevel="0" collapsed="false">
      <c r="A1010" s="62"/>
      <c r="B1010" s="97"/>
      <c r="C1010" s="97"/>
      <c r="D1010" s="97"/>
      <c r="E1010" s="97"/>
      <c r="F1010" s="97"/>
      <c r="G1010" s="97"/>
      <c r="H1010" s="97"/>
      <c r="I1010" s="97"/>
    </row>
    <row r="1011" customFormat="false" ht="15.4" hidden="false" customHeight="true" outlineLevel="0" collapsed="false">
      <c r="A1011" s="62" t="s">
        <v>811</v>
      </c>
      <c r="B1011" s="193" t="s">
        <v>812</v>
      </c>
      <c r="C1011" s="193"/>
      <c r="D1011" s="193"/>
      <c r="E1011" s="193"/>
      <c r="F1011" s="193"/>
      <c r="G1011" s="97"/>
      <c r="H1011" s="97"/>
      <c r="I1011" s="97"/>
    </row>
    <row r="1012" customFormat="false" ht="15.4" hidden="false" customHeight="true" outlineLevel="0" collapsed="false">
      <c r="A1012" s="62"/>
      <c r="B1012" s="193"/>
      <c r="C1012" s="193"/>
      <c r="D1012" s="193"/>
      <c r="E1012" s="193"/>
      <c r="F1012" s="193"/>
      <c r="G1012" s="253"/>
      <c r="H1012" s="253"/>
      <c r="I1012" s="97"/>
    </row>
    <row r="1013" customFormat="false" ht="15.4" hidden="false" customHeight="true" outlineLevel="0" collapsed="false">
      <c r="A1013" s="62"/>
      <c r="B1013" s="97"/>
      <c r="C1013" s="75"/>
      <c r="D1013" s="75"/>
      <c r="E1013" s="75"/>
      <c r="F1013" s="75"/>
      <c r="G1013" s="97"/>
      <c r="H1013" s="97"/>
      <c r="I1013" s="97"/>
    </row>
    <row r="1014" customFormat="false" ht="15.4" hidden="false" customHeight="true" outlineLevel="0" collapsed="false">
      <c r="A1014" s="62"/>
      <c r="B1014" s="193" t="s">
        <v>813</v>
      </c>
      <c r="C1014" s="193"/>
      <c r="D1014" s="193"/>
      <c r="E1014" s="193"/>
      <c r="F1014" s="193"/>
      <c r="G1014" s="97"/>
      <c r="H1014" s="97"/>
      <c r="I1014" s="97"/>
    </row>
    <row r="1015" customFormat="false" ht="15.4" hidden="false" customHeight="true" outlineLevel="0" collapsed="false">
      <c r="A1015" s="62"/>
      <c r="B1015" s="193"/>
      <c r="C1015" s="193"/>
      <c r="D1015" s="193"/>
      <c r="E1015" s="193"/>
      <c r="F1015" s="193"/>
      <c r="G1015" s="253"/>
      <c r="H1015" s="253"/>
      <c r="I1015" s="97"/>
    </row>
    <row r="1016" customFormat="false" ht="15.4" hidden="false" customHeight="true" outlineLevel="0" collapsed="false">
      <c r="A1016" s="62"/>
      <c r="B1016" s="335" t="s">
        <v>814</v>
      </c>
      <c r="C1016" s="97"/>
      <c r="D1016" s="97"/>
      <c r="E1016" s="97"/>
      <c r="F1016" s="97"/>
      <c r="G1016" s="97"/>
      <c r="H1016" s="97"/>
      <c r="I1016" s="97"/>
    </row>
    <row r="1017" customFormat="false" ht="15.4" hidden="false" customHeight="true" outlineLevel="0" collapsed="false">
      <c r="A1017" s="269" t="s">
        <v>815</v>
      </c>
      <c r="B1017" s="269"/>
      <c r="C1017" s="269"/>
      <c r="D1017" s="269"/>
      <c r="E1017" s="269"/>
      <c r="F1017" s="269"/>
      <c r="G1017" s="269"/>
      <c r="H1017" s="269"/>
      <c r="I1017" s="269"/>
    </row>
    <row r="1018" customFormat="false" ht="15.4" hidden="false" customHeight="true" outlineLevel="0" collapsed="false">
      <c r="A1018" s="62"/>
      <c r="B1018" s="97"/>
      <c r="C1018" s="97"/>
      <c r="D1018" s="97"/>
      <c r="E1018" s="97"/>
      <c r="F1018" s="97"/>
      <c r="G1018" s="97"/>
      <c r="H1018" s="97"/>
      <c r="I1018" s="97"/>
    </row>
    <row r="1019" customFormat="false" ht="15.4" hidden="false" customHeight="true" outlineLevel="0" collapsed="false">
      <c r="A1019" s="345" t="s">
        <v>816</v>
      </c>
      <c r="B1019" s="345"/>
      <c r="C1019" s="345"/>
      <c r="D1019" s="97"/>
      <c r="E1019" s="97"/>
      <c r="F1019" s="97"/>
      <c r="G1019" s="97"/>
      <c r="H1019" s="97"/>
      <c r="I1019" s="97"/>
    </row>
    <row r="1020" customFormat="false" ht="15.4" hidden="false" customHeight="true" outlineLevel="0" collapsed="false">
      <c r="A1020" s="346"/>
      <c r="B1020" s="346"/>
      <c r="C1020" s="346"/>
      <c r="D1020" s="97"/>
      <c r="E1020" s="97"/>
      <c r="F1020" s="97"/>
      <c r="G1020" s="97"/>
      <c r="H1020" s="97"/>
      <c r="I1020" s="97"/>
    </row>
    <row r="1021" customFormat="false" ht="15.4" hidden="false" customHeight="true" outlineLevel="0" collapsed="false">
      <c r="A1021" s="62"/>
      <c r="B1021" s="347" t="s">
        <v>817</v>
      </c>
      <c r="C1021" s="347"/>
      <c r="D1021" s="347"/>
      <c r="E1021" s="97"/>
      <c r="F1021" s="97"/>
      <c r="G1021" s="97"/>
      <c r="H1021" s="97"/>
      <c r="I1021" s="97"/>
    </row>
    <row r="1022" customFormat="false" ht="15.4" hidden="false" customHeight="true" outlineLevel="0" collapsed="false">
      <c r="A1022" s="348" t="s">
        <v>818</v>
      </c>
      <c r="B1022" s="348"/>
      <c r="C1022" s="348"/>
      <c r="D1022" s="348"/>
      <c r="E1022" s="348"/>
      <c r="F1022" s="349" t="s">
        <v>819</v>
      </c>
      <c r="G1022" s="349"/>
      <c r="H1022" s="349"/>
      <c r="I1022" s="97"/>
    </row>
    <row r="1023" customFormat="false" ht="15.4" hidden="false" customHeight="true" outlineLevel="0" collapsed="false">
      <c r="A1023" s="348"/>
      <c r="B1023" s="348"/>
      <c r="C1023" s="348"/>
      <c r="D1023" s="348"/>
      <c r="E1023" s="348"/>
      <c r="F1023" s="350" t="s">
        <v>406</v>
      </c>
      <c r="G1023" s="351" t="s">
        <v>820</v>
      </c>
      <c r="H1023" s="352" t="s">
        <v>821</v>
      </c>
      <c r="I1023" s="11"/>
    </row>
    <row r="1024" customFormat="false" ht="15.4" hidden="false" customHeight="true" outlineLevel="0" collapsed="false">
      <c r="A1024" s="353" t="s">
        <v>822</v>
      </c>
      <c r="B1024" s="353"/>
      <c r="C1024" s="353"/>
      <c r="D1024" s="353"/>
      <c r="E1024" s="353"/>
      <c r="F1024" s="354"/>
      <c r="G1024" s="355"/>
      <c r="H1024" s="356"/>
      <c r="I1024" s="357" t="s">
        <v>823</v>
      </c>
    </row>
    <row r="1025" customFormat="false" ht="25.9" hidden="false" customHeight="true" outlineLevel="0" collapsed="false">
      <c r="A1025" s="358" t="s">
        <v>824</v>
      </c>
      <c r="B1025" s="358"/>
      <c r="C1025" s="358"/>
      <c r="D1025" s="358"/>
      <c r="E1025" s="358"/>
      <c r="F1025" s="358"/>
      <c r="G1025" s="358"/>
      <c r="H1025" s="358"/>
      <c r="I1025" s="359"/>
    </row>
    <row r="1026" customFormat="false" ht="15.4" hidden="false" customHeight="true" outlineLevel="0" collapsed="false">
      <c r="A1026" s="360" t="s">
        <v>825</v>
      </c>
      <c r="B1026" s="360"/>
      <c r="C1026" s="360"/>
      <c r="D1026" s="360"/>
      <c r="E1026" s="360"/>
      <c r="F1026" s="354"/>
      <c r="G1026" s="355"/>
      <c r="H1026" s="356"/>
      <c r="I1026" s="357" t="s">
        <v>826</v>
      </c>
    </row>
    <row r="1027" customFormat="false" ht="15.4" hidden="false" customHeight="true" outlineLevel="0" collapsed="false">
      <c r="A1027" s="358" t="s">
        <v>827</v>
      </c>
      <c r="B1027" s="358"/>
      <c r="C1027" s="358"/>
      <c r="D1027" s="358"/>
      <c r="E1027" s="358"/>
      <c r="F1027" s="358"/>
      <c r="G1027" s="358"/>
      <c r="H1027" s="358"/>
      <c r="I1027" s="359"/>
    </row>
    <row r="1028" customFormat="false" ht="4.15" hidden="false" customHeight="true" outlineLevel="0" collapsed="false">
      <c r="A1028" s="358"/>
      <c r="B1028" s="358"/>
      <c r="C1028" s="358"/>
      <c r="D1028" s="358"/>
      <c r="E1028" s="358"/>
      <c r="F1028" s="358"/>
      <c r="G1028" s="358"/>
      <c r="H1028" s="358"/>
      <c r="I1028" s="359"/>
    </row>
    <row r="1029" customFormat="false" ht="15.4" hidden="false" customHeight="true" outlineLevel="0" collapsed="false">
      <c r="A1029" s="361" t="s">
        <v>828</v>
      </c>
      <c r="B1029" s="361"/>
      <c r="C1029" s="361"/>
      <c r="D1029" s="361"/>
      <c r="E1029" s="361"/>
      <c r="F1029" s="354"/>
      <c r="G1029" s="355"/>
      <c r="H1029" s="356"/>
      <c r="I1029" s="357" t="s">
        <v>823</v>
      </c>
    </row>
    <row r="1030" customFormat="false" ht="15.4" hidden="false" customHeight="true" outlineLevel="0" collapsed="false">
      <c r="A1030" s="358" t="s">
        <v>829</v>
      </c>
      <c r="B1030" s="358"/>
      <c r="C1030" s="358"/>
      <c r="D1030" s="358"/>
      <c r="E1030" s="358"/>
      <c r="F1030" s="358"/>
      <c r="G1030" s="358"/>
      <c r="H1030" s="358"/>
      <c r="I1030" s="357"/>
    </row>
    <row r="1031" customFormat="false" ht="15.4" hidden="false" customHeight="true" outlineLevel="0" collapsed="false">
      <c r="A1031" s="361" t="s">
        <v>830</v>
      </c>
      <c r="B1031" s="361"/>
      <c r="C1031" s="361"/>
      <c r="D1031" s="361"/>
      <c r="E1031" s="361"/>
      <c r="F1031" s="354"/>
      <c r="G1031" s="355"/>
      <c r="H1031" s="356"/>
      <c r="I1031" s="357" t="s">
        <v>826</v>
      </c>
    </row>
    <row r="1032" customFormat="false" ht="37.9" hidden="false" customHeight="true" outlineLevel="0" collapsed="false">
      <c r="A1032" s="358" t="s">
        <v>831</v>
      </c>
      <c r="B1032" s="358"/>
      <c r="C1032" s="358"/>
      <c r="D1032" s="358"/>
      <c r="E1032" s="358"/>
      <c r="F1032" s="358"/>
      <c r="G1032" s="358"/>
      <c r="H1032" s="358"/>
      <c r="I1032" s="357"/>
    </row>
    <row r="1033" customFormat="false" ht="15.4" hidden="false" customHeight="true" outlineLevel="0" collapsed="false">
      <c r="A1033" s="361" t="s">
        <v>832</v>
      </c>
      <c r="B1033" s="361"/>
      <c r="C1033" s="361"/>
      <c r="D1033" s="361"/>
      <c r="E1033" s="361"/>
      <c r="F1033" s="354"/>
      <c r="G1033" s="355"/>
      <c r="H1033" s="356"/>
      <c r="I1033" s="357" t="s">
        <v>833</v>
      </c>
    </row>
    <row r="1034" customFormat="false" ht="37.9" hidden="false" customHeight="true" outlineLevel="0" collapsed="false">
      <c r="A1034" s="358" t="s">
        <v>834</v>
      </c>
      <c r="B1034" s="358"/>
      <c r="C1034" s="358"/>
      <c r="D1034" s="358"/>
      <c r="E1034" s="358"/>
      <c r="F1034" s="358"/>
      <c r="G1034" s="358"/>
      <c r="H1034" s="358"/>
      <c r="I1034" s="357"/>
    </row>
    <row r="1035" customFormat="false" ht="3.6" hidden="false" customHeight="true" outlineLevel="0" collapsed="false">
      <c r="A1035" s="358"/>
      <c r="B1035" s="358"/>
      <c r="C1035" s="358"/>
      <c r="D1035" s="358"/>
      <c r="E1035" s="358"/>
      <c r="F1035" s="358"/>
      <c r="G1035" s="358"/>
      <c r="H1035" s="358"/>
      <c r="I1035" s="357"/>
    </row>
    <row r="1036" customFormat="false" ht="15.4" hidden="false" customHeight="true" outlineLevel="0" collapsed="false">
      <c r="A1036" s="361" t="s">
        <v>835</v>
      </c>
      <c r="B1036" s="361"/>
      <c r="C1036" s="361"/>
      <c r="D1036" s="361"/>
      <c r="E1036" s="361"/>
      <c r="F1036" s="354"/>
      <c r="G1036" s="355"/>
      <c r="H1036" s="356"/>
      <c r="I1036" s="357" t="s">
        <v>823</v>
      </c>
    </row>
    <row r="1037" customFormat="false" ht="15.4" hidden="false" customHeight="true" outlineLevel="0" collapsed="false">
      <c r="A1037" s="358" t="s">
        <v>836</v>
      </c>
      <c r="B1037" s="358"/>
      <c r="C1037" s="358"/>
      <c r="D1037" s="358"/>
      <c r="E1037" s="358"/>
      <c r="F1037" s="358"/>
      <c r="G1037" s="358"/>
      <c r="H1037" s="358"/>
      <c r="I1037" s="357"/>
    </row>
    <row r="1038" customFormat="false" ht="15.4" hidden="false" customHeight="true" outlineLevel="0" collapsed="false">
      <c r="A1038" s="361" t="s">
        <v>837</v>
      </c>
      <c r="B1038" s="361"/>
      <c r="C1038" s="361"/>
      <c r="D1038" s="361"/>
      <c r="E1038" s="361"/>
      <c r="F1038" s="354"/>
      <c r="G1038" s="355"/>
      <c r="H1038" s="356"/>
      <c r="I1038" s="357" t="s">
        <v>826</v>
      </c>
    </row>
    <row r="1039" customFormat="false" ht="25.15" hidden="false" customHeight="true" outlineLevel="0" collapsed="false">
      <c r="A1039" s="358" t="s">
        <v>838</v>
      </c>
      <c r="B1039" s="358"/>
      <c r="C1039" s="358"/>
      <c r="D1039" s="358"/>
      <c r="E1039" s="358"/>
      <c r="F1039" s="358"/>
      <c r="G1039" s="358"/>
      <c r="H1039" s="358"/>
      <c r="I1039" s="357"/>
    </row>
    <row r="1040" customFormat="false" ht="5.45" hidden="false" customHeight="true" outlineLevel="0" collapsed="false">
      <c r="A1040" s="362"/>
      <c r="B1040" s="362"/>
      <c r="C1040" s="362"/>
      <c r="D1040" s="362"/>
      <c r="E1040" s="362"/>
      <c r="F1040" s="362"/>
      <c r="G1040" s="362"/>
      <c r="H1040" s="362"/>
      <c r="I1040" s="357"/>
    </row>
    <row r="1041" customFormat="false" ht="15.4" hidden="false" customHeight="true" outlineLevel="0" collapsed="false">
      <c r="A1041" s="361" t="s">
        <v>839</v>
      </c>
      <c r="B1041" s="361"/>
      <c r="C1041" s="361"/>
      <c r="D1041" s="361"/>
      <c r="E1041" s="361"/>
      <c r="F1041" s="354"/>
      <c r="G1041" s="355"/>
      <c r="H1041" s="356"/>
      <c r="I1041" s="357" t="s">
        <v>840</v>
      </c>
    </row>
    <row r="1042" customFormat="false" ht="15.4" hidden="false" customHeight="true" outlineLevel="0" collapsed="false">
      <c r="A1042" s="363" t="s">
        <v>841</v>
      </c>
      <c r="B1042" s="363"/>
      <c r="C1042" s="363"/>
      <c r="D1042" s="363"/>
      <c r="E1042" s="363"/>
      <c r="F1042" s="363"/>
      <c r="G1042" s="363"/>
      <c r="H1042" s="363"/>
      <c r="I1042" s="357"/>
    </row>
    <row r="1043" customFormat="false" ht="15.4" hidden="false" customHeight="true" outlineLevel="0" collapsed="false">
      <c r="A1043" s="364"/>
      <c r="B1043" s="364"/>
      <c r="C1043" s="364"/>
      <c r="D1043" s="19"/>
      <c r="E1043" s="19"/>
      <c r="F1043" s="19"/>
      <c r="G1043" s="19"/>
      <c r="H1043" s="365"/>
      <c r="I1043" s="357"/>
    </row>
    <row r="1044" customFormat="false" ht="15.4" hidden="false" customHeight="true" outlineLevel="0" collapsed="false">
      <c r="A1044" s="364"/>
      <c r="B1044" s="347" t="s">
        <v>842</v>
      </c>
      <c r="C1044" s="347"/>
      <c r="D1044" s="347"/>
      <c r="E1044" s="19"/>
      <c r="F1044" s="19"/>
      <c r="G1044" s="19"/>
      <c r="H1044" s="365"/>
      <c r="I1044" s="357"/>
    </row>
    <row r="1045" customFormat="false" ht="15.4" hidden="false" customHeight="true" outlineLevel="0" collapsed="false">
      <c r="A1045" s="348" t="s">
        <v>818</v>
      </c>
      <c r="B1045" s="348"/>
      <c r="C1045" s="348"/>
      <c r="D1045" s="348"/>
      <c r="E1045" s="348"/>
      <c r="F1045" s="349" t="s">
        <v>819</v>
      </c>
      <c r="G1045" s="349"/>
      <c r="H1045" s="349"/>
      <c r="I1045" s="357"/>
    </row>
    <row r="1046" customFormat="false" ht="15.4" hidden="false" customHeight="true" outlineLevel="0" collapsed="false">
      <c r="A1046" s="348"/>
      <c r="B1046" s="348"/>
      <c r="C1046" s="348"/>
      <c r="D1046" s="348"/>
      <c r="E1046" s="348"/>
      <c r="F1046" s="350" t="s">
        <v>406</v>
      </c>
      <c r="G1046" s="351" t="s">
        <v>820</v>
      </c>
      <c r="H1046" s="352" t="s">
        <v>821</v>
      </c>
      <c r="I1046" s="357"/>
    </row>
    <row r="1047" customFormat="false" ht="15.4" hidden="false" customHeight="true" outlineLevel="0" collapsed="false">
      <c r="A1047" s="361" t="s">
        <v>843</v>
      </c>
      <c r="B1047" s="361"/>
      <c r="C1047" s="361"/>
      <c r="D1047" s="361"/>
      <c r="E1047" s="361"/>
      <c r="F1047" s="354"/>
      <c r="G1047" s="355"/>
      <c r="H1047" s="356"/>
      <c r="I1047" s="357" t="s">
        <v>844</v>
      </c>
    </row>
    <row r="1048" customFormat="false" ht="37.9" hidden="false" customHeight="true" outlineLevel="0" collapsed="false">
      <c r="A1048" s="358" t="s">
        <v>845</v>
      </c>
      <c r="B1048" s="358"/>
      <c r="C1048" s="358"/>
      <c r="D1048" s="358"/>
      <c r="E1048" s="358"/>
      <c r="F1048" s="358"/>
      <c r="G1048" s="358"/>
      <c r="H1048" s="358"/>
      <c r="I1048" s="357"/>
    </row>
    <row r="1049" customFormat="false" ht="15.4" hidden="false" customHeight="true" outlineLevel="0" collapsed="false">
      <c r="A1049" s="361" t="s">
        <v>846</v>
      </c>
      <c r="B1049" s="361"/>
      <c r="C1049" s="361"/>
      <c r="D1049" s="361"/>
      <c r="E1049" s="361"/>
      <c r="F1049" s="354"/>
      <c r="G1049" s="355"/>
      <c r="H1049" s="356"/>
      <c r="I1049" s="357" t="s">
        <v>844</v>
      </c>
    </row>
    <row r="1050" customFormat="false" ht="15.4" hidden="false" customHeight="true" outlineLevel="0" collapsed="false">
      <c r="A1050" s="361" t="s">
        <v>847</v>
      </c>
      <c r="B1050" s="361"/>
      <c r="C1050" s="361"/>
      <c r="D1050" s="361"/>
      <c r="E1050" s="361"/>
      <c r="F1050" s="354"/>
      <c r="G1050" s="355"/>
      <c r="H1050" s="356"/>
      <c r="I1050" s="357" t="s">
        <v>844</v>
      </c>
    </row>
    <row r="1051" customFormat="false" ht="15.4" hidden="false" customHeight="true" outlineLevel="0" collapsed="false">
      <c r="A1051" s="361" t="s">
        <v>848</v>
      </c>
      <c r="B1051" s="361"/>
      <c r="C1051" s="361"/>
      <c r="D1051" s="361"/>
      <c r="E1051" s="361"/>
      <c r="F1051" s="354"/>
      <c r="G1051" s="355"/>
      <c r="H1051" s="356"/>
      <c r="I1051" s="357" t="s">
        <v>844</v>
      </c>
    </row>
    <row r="1052" customFormat="false" ht="15.4" hidden="false" customHeight="true" outlineLevel="0" collapsed="false">
      <c r="A1052" s="358" t="s">
        <v>849</v>
      </c>
      <c r="B1052" s="358"/>
      <c r="C1052" s="358"/>
      <c r="D1052" s="358"/>
      <c r="E1052" s="358"/>
      <c r="F1052" s="358"/>
      <c r="G1052" s="358"/>
      <c r="H1052" s="358"/>
      <c r="I1052" s="357"/>
    </row>
    <row r="1053" customFormat="false" ht="4.15" hidden="false" customHeight="true" outlineLevel="0" collapsed="false">
      <c r="A1053" s="366"/>
      <c r="B1053" s="366"/>
      <c r="C1053" s="366"/>
      <c r="D1053" s="366"/>
      <c r="E1053" s="366"/>
      <c r="F1053" s="366"/>
      <c r="G1053" s="366"/>
      <c r="H1053" s="366"/>
      <c r="I1053" s="357"/>
    </row>
    <row r="1054" customFormat="false" ht="15.4" hidden="false" customHeight="true" outlineLevel="0" collapsed="false">
      <c r="A1054" s="360" t="s">
        <v>850</v>
      </c>
      <c r="B1054" s="360"/>
      <c r="C1054" s="360"/>
      <c r="D1054" s="360"/>
      <c r="E1054" s="360"/>
      <c r="F1054" s="354"/>
      <c r="G1054" s="355"/>
      <c r="H1054" s="356"/>
      <c r="I1054" s="357" t="s">
        <v>851</v>
      </c>
    </row>
    <row r="1055" customFormat="false" ht="24" hidden="false" customHeight="true" outlineLevel="0" collapsed="false">
      <c r="A1055" s="367" t="s">
        <v>852</v>
      </c>
      <c r="B1055" s="367"/>
      <c r="C1055" s="367"/>
      <c r="D1055" s="367"/>
      <c r="E1055" s="367"/>
      <c r="F1055" s="367"/>
      <c r="G1055" s="367"/>
      <c r="H1055" s="367"/>
      <c r="I1055" s="357"/>
    </row>
    <row r="1056" customFormat="false" ht="15" hidden="false" customHeight="true" outlineLevel="0" collapsed="false">
      <c r="A1056" s="368" t="s">
        <v>853</v>
      </c>
      <c r="B1056" s="368"/>
      <c r="C1056" s="368"/>
      <c r="D1056" s="368"/>
      <c r="E1056" s="368"/>
      <c r="F1056" s="354"/>
      <c r="G1056" s="355"/>
      <c r="H1056" s="356"/>
      <c r="I1056" s="369" t="s">
        <v>854</v>
      </c>
    </row>
    <row r="1057" customFormat="false" ht="62.45" hidden="false" customHeight="true" outlineLevel="0" collapsed="false">
      <c r="A1057" s="370" t="s">
        <v>855</v>
      </c>
      <c r="B1057" s="370"/>
      <c r="C1057" s="370"/>
      <c r="D1057" s="370"/>
      <c r="E1057" s="370"/>
      <c r="F1057" s="370"/>
      <c r="G1057" s="370"/>
      <c r="H1057" s="370"/>
      <c r="I1057" s="369"/>
    </row>
    <row r="1058" customFormat="false" ht="15.4" hidden="false" customHeight="true" outlineLevel="0" collapsed="false">
      <c r="A1058" s="371" t="s">
        <v>856</v>
      </c>
      <c r="B1058" s="371"/>
      <c r="C1058" s="371"/>
      <c r="D1058" s="371"/>
      <c r="E1058" s="371"/>
      <c r="F1058" s="354"/>
      <c r="G1058" s="355"/>
      <c r="H1058" s="356"/>
      <c r="I1058" s="372"/>
    </row>
    <row r="1059" customFormat="false" ht="15.4" hidden="false" customHeight="true" outlineLevel="0" collapsed="false">
      <c r="A1059" s="373"/>
      <c r="B1059" s="374" t="s">
        <v>857</v>
      </c>
      <c r="C1059" s="374"/>
      <c r="D1059" s="374"/>
      <c r="E1059" s="373"/>
      <c r="F1059" s="373"/>
      <c r="G1059" s="373"/>
      <c r="H1059" s="11"/>
      <c r="I1059" s="375"/>
    </row>
    <row r="1060" customFormat="false" ht="12.75" hidden="false" customHeight="true" outlineLevel="0" collapsed="false">
      <c r="A1060" s="348" t="s">
        <v>818</v>
      </c>
      <c r="B1060" s="348"/>
      <c r="C1060" s="348"/>
      <c r="D1060" s="348"/>
      <c r="E1060" s="348"/>
      <c r="F1060" s="349" t="s">
        <v>819</v>
      </c>
      <c r="G1060" s="349"/>
      <c r="H1060" s="349"/>
      <c r="I1060" s="375"/>
    </row>
    <row r="1061" customFormat="false" ht="12.75" hidden="false" customHeight="true" outlineLevel="0" collapsed="false">
      <c r="A1061" s="348"/>
      <c r="B1061" s="348"/>
      <c r="C1061" s="348"/>
      <c r="D1061" s="348"/>
      <c r="E1061" s="348"/>
      <c r="F1061" s="350" t="s">
        <v>406</v>
      </c>
      <c r="G1061" s="351" t="s">
        <v>820</v>
      </c>
      <c r="H1061" s="352" t="s">
        <v>821</v>
      </c>
      <c r="I1061" s="375"/>
    </row>
    <row r="1062" customFormat="false" ht="15.4" hidden="false" customHeight="true" outlineLevel="0" collapsed="false">
      <c r="A1062" s="360" t="s">
        <v>858</v>
      </c>
      <c r="B1062" s="360"/>
      <c r="C1062" s="360"/>
      <c r="D1062" s="360"/>
      <c r="E1062" s="360"/>
      <c r="F1062" s="354"/>
      <c r="G1062" s="355"/>
      <c r="H1062" s="356"/>
      <c r="I1062" s="375" t="s">
        <v>859</v>
      </c>
    </row>
    <row r="1063" customFormat="false" ht="99.6" hidden="false" customHeight="true" outlineLevel="0" collapsed="false">
      <c r="A1063" s="358" t="s">
        <v>860</v>
      </c>
      <c r="B1063" s="358"/>
      <c r="C1063" s="358"/>
      <c r="D1063" s="358"/>
      <c r="E1063" s="358"/>
      <c r="F1063" s="358"/>
      <c r="G1063" s="358"/>
      <c r="H1063" s="358"/>
      <c r="I1063" s="375"/>
    </row>
    <row r="1064" customFormat="false" ht="15.4" hidden="false" customHeight="true" outlineLevel="0" collapsed="false">
      <c r="A1064" s="360" t="s">
        <v>861</v>
      </c>
      <c r="B1064" s="360"/>
      <c r="C1064" s="360"/>
      <c r="D1064" s="360"/>
      <c r="E1064" s="360"/>
      <c r="F1064" s="354"/>
      <c r="G1064" s="355"/>
      <c r="H1064" s="356"/>
      <c r="I1064" s="375" t="s">
        <v>862</v>
      </c>
    </row>
    <row r="1065" customFormat="false" ht="37.9" hidden="false" customHeight="true" outlineLevel="0" collapsed="false">
      <c r="A1065" s="358" t="s">
        <v>863</v>
      </c>
      <c r="B1065" s="358"/>
      <c r="C1065" s="358"/>
      <c r="D1065" s="358"/>
      <c r="E1065" s="358"/>
      <c r="F1065" s="358"/>
      <c r="G1065" s="358"/>
      <c r="H1065" s="358"/>
      <c r="I1065" s="375"/>
    </row>
    <row r="1066" customFormat="false" ht="15.4" hidden="false" customHeight="true" outlineLevel="0" collapsed="false">
      <c r="A1066" s="360" t="s">
        <v>864</v>
      </c>
      <c r="B1066" s="360"/>
      <c r="C1066" s="360"/>
      <c r="D1066" s="360"/>
      <c r="E1066" s="360"/>
      <c r="F1066" s="354"/>
      <c r="G1066" s="355"/>
      <c r="H1066" s="356"/>
      <c r="I1066" s="375" t="s">
        <v>865</v>
      </c>
    </row>
    <row r="1067" customFormat="false" ht="15.4" hidden="false" customHeight="true" outlineLevel="0" collapsed="false">
      <c r="A1067" s="11"/>
      <c r="B1067" s="55"/>
      <c r="C1067" s="55"/>
      <c r="D1067" s="11"/>
      <c r="E1067" s="11"/>
      <c r="F1067" s="11"/>
      <c r="H1067" s="11"/>
      <c r="I1067" s="375"/>
    </row>
    <row r="1068" customFormat="false" ht="15.4" hidden="false" customHeight="true" outlineLevel="0" collapsed="false">
      <c r="A1068" s="11"/>
      <c r="B1068" s="376" t="s">
        <v>866</v>
      </c>
      <c r="C1068" s="376"/>
      <c r="D1068" s="376"/>
      <c r="E1068" s="11"/>
      <c r="F1068" s="11"/>
      <c r="H1068" s="11"/>
      <c r="I1068" s="375"/>
    </row>
    <row r="1069" customFormat="false" ht="12.75" hidden="false" customHeight="true" outlineLevel="0" collapsed="false">
      <c r="A1069" s="348" t="s">
        <v>818</v>
      </c>
      <c r="B1069" s="348"/>
      <c r="C1069" s="348"/>
      <c r="D1069" s="348"/>
      <c r="E1069" s="348"/>
      <c r="F1069" s="349" t="s">
        <v>819</v>
      </c>
      <c r="G1069" s="349"/>
      <c r="H1069" s="349"/>
      <c r="I1069" s="375"/>
    </row>
    <row r="1070" customFormat="false" ht="12.75" hidden="false" customHeight="true" outlineLevel="0" collapsed="false">
      <c r="A1070" s="348"/>
      <c r="B1070" s="348"/>
      <c r="C1070" s="348"/>
      <c r="D1070" s="348"/>
      <c r="E1070" s="348"/>
      <c r="F1070" s="350" t="s">
        <v>406</v>
      </c>
      <c r="G1070" s="351" t="s">
        <v>820</v>
      </c>
      <c r="H1070" s="352" t="s">
        <v>821</v>
      </c>
      <c r="I1070" s="375"/>
    </row>
    <row r="1071" customFormat="false" ht="15.75" hidden="false" customHeight="true" outlineLevel="0" collapsed="false">
      <c r="A1071" s="360" t="s">
        <v>867</v>
      </c>
      <c r="B1071" s="360"/>
      <c r="C1071" s="360"/>
      <c r="D1071" s="360"/>
      <c r="E1071" s="360"/>
      <c r="F1071" s="354"/>
      <c r="G1071" s="355"/>
      <c r="H1071" s="356"/>
      <c r="I1071" s="375" t="s">
        <v>868</v>
      </c>
    </row>
    <row r="1072" customFormat="false" ht="12.75" hidden="false" customHeight="true" outlineLevel="0" collapsed="false">
      <c r="A1072" s="358" t="s">
        <v>869</v>
      </c>
      <c r="B1072" s="358"/>
      <c r="C1072" s="358"/>
      <c r="D1072" s="358"/>
      <c r="E1072" s="358"/>
      <c r="F1072" s="358"/>
      <c r="G1072" s="358"/>
      <c r="H1072" s="358"/>
      <c r="I1072" s="375"/>
    </row>
    <row r="1073" customFormat="false" ht="6" hidden="false" customHeight="true" outlineLevel="0" collapsed="false">
      <c r="A1073" s="377"/>
      <c r="B1073" s="377"/>
      <c r="C1073" s="377"/>
      <c r="D1073" s="377"/>
      <c r="E1073" s="377"/>
      <c r="F1073" s="377"/>
      <c r="G1073" s="377"/>
      <c r="H1073" s="377"/>
      <c r="I1073" s="375"/>
    </row>
    <row r="1074" customFormat="false" ht="15.4" hidden="false" customHeight="true" outlineLevel="0" collapsed="false">
      <c r="A1074" s="360" t="s">
        <v>870</v>
      </c>
      <c r="B1074" s="360"/>
      <c r="C1074" s="360"/>
      <c r="D1074" s="360"/>
      <c r="E1074" s="360"/>
      <c r="F1074" s="354"/>
      <c r="G1074" s="355"/>
      <c r="H1074" s="356"/>
      <c r="I1074" s="375" t="s">
        <v>859</v>
      </c>
    </row>
    <row r="1075" customFormat="false" ht="15.4" hidden="false" customHeight="true" outlineLevel="0" collapsed="false">
      <c r="A1075" s="378" t="s">
        <v>871</v>
      </c>
      <c r="B1075" s="378"/>
      <c r="C1075" s="378"/>
      <c r="D1075" s="378"/>
      <c r="E1075" s="378"/>
      <c r="F1075" s="354"/>
      <c r="G1075" s="355"/>
      <c r="H1075" s="356"/>
      <c r="I1075" s="375" t="s">
        <v>859</v>
      </c>
    </row>
    <row r="1076" customFormat="false" ht="15.4" hidden="false" customHeight="true" outlineLevel="0" collapsed="false">
      <c r="A1076" s="62"/>
      <c r="B1076" s="61"/>
      <c r="C1076" s="75"/>
      <c r="D1076" s="75"/>
      <c r="E1076" s="75"/>
      <c r="F1076" s="97"/>
      <c r="G1076" s="97"/>
      <c r="H1076" s="97"/>
      <c r="I1076" s="97"/>
    </row>
    <row r="1077" customFormat="false" ht="15.4" hidden="false" customHeight="true" outlineLevel="0" collapsed="false">
      <c r="A1077" s="345" t="s">
        <v>872</v>
      </c>
      <c r="B1077" s="345"/>
      <c r="C1077" s="345"/>
      <c r="D1077" s="97"/>
      <c r="E1077" s="97"/>
      <c r="F1077" s="97"/>
      <c r="G1077" s="97"/>
      <c r="H1077" s="97"/>
      <c r="I1077" s="97"/>
    </row>
    <row r="1078" customFormat="false" ht="15.4" hidden="false" customHeight="true" outlineLevel="0" collapsed="false">
      <c r="A1078" s="62" t="s">
        <v>840</v>
      </c>
      <c r="B1078" s="193" t="s">
        <v>873</v>
      </c>
      <c r="C1078" s="193"/>
      <c r="D1078" s="193"/>
      <c r="E1078" s="193"/>
      <c r="F1078" s="193"/>
      <c r="G1078" s="97"/>
      <c r="H1078" s="97"/>
      <c r="I1078" s="97"/>
    </row>
    <row r="1079" customFormat="false" ht="15.4" hidden="false" customHeight="true" outlineLevel="0" collapsed="false">
      <c r="A1079" s="62"/>
      <c r="B1079" s="193"/>
      <c r="C1079" s="193"/>
      <c r="D1079" s="193"/>
      <c r="E1079" s="193"/>
      <c r="F1079" s="193"/>
      <c r="G1079" s="253"/>
      <c r="H1079" s="253"/>
      <c r="I1079" s="97"/>
    </row>
    <row r="1080" customFormat="false" ht="15.4" hidden="false" customHeight="true" outlineLevel="0" collapsed="false">
      <c r="A1080" s="62"/>
      <c r="B1080" s="97"/>
      <c r="C1080" s="97"/>
      <c r="D1080" s="97"/>
      <c r="E1080" s="97"/>
      <c r="F1080" s="97"/>
      <c r="G1080" s="97"/>
      <c r="H1080" s="97"/>
      <c r="I1080" s="97"/>
    </row>
    <row r="1081" customFormat="false" ht="15.4" hidden="false" customHeight="true" outlineLevel="0" collapsed="false">
      <c r="A1081" s="62" t="s">
        <v>874</v>
      </c>
      <c r="B1081" s="193" t="s">
        <v>875</v>
      </c>
      <c r="C1081" s="193"/>
      <c r="D1081" s="193"/>
      <c r="E1081" s="193"/>
      <c r="F1081" s="193"/>
      <c r="G1081" s="194" t="s">
        <v>253</v>
      </c>
      <c r="H1081" s="194" t="s">
        <v>254</v>
      </c>
      <c r="I1081" s="97"/>
    </row>
    <row r="1082" customFormat="false" ht="15.4" hidden="false" customHeight="true" outlineLevel="0" collapsed="false">
      <c r="A1082" s="62"/>
      <c r="B1082" s="193"/>
      <c r="C1082" s="193"/>
      <c r="D1082" s="193"/>
      <c r="E1082" s="193"/>
      <c r="F1082" s="193"/>
      <c r="G1082" s="339"/>
      <c r="H1082" s="195"/>
      <c r="I1082" s="97"/>
    </row>
    <row r="1083" customFormat="false" ht="15.4" hidden="false" customHeight="true" outlineLevel="0" collapsed="false">
      <c r="A1083" s="62"/>
      <c r="B1083" s="197" t="s">
        <v>876</v>
      </c>
      <c r="C1083" s="197"/>
      <c r="D1083" s="197"/>
      <c r="E1083" s="197"/>
      <c r="F1083" s="197"/>
      <c r="G1083" s="197"/>
      <c r="H1083" s="197"/>
      <c r="I1083" s="97"/>
    </row>
    <row r="1084" customFormat="false" ht="9" hidden="false" customHeight="true" outlineLevel="0" collapsed="false">
      <c r="A1084" s="62"/>
      <c r="B1084" s="97"/>
      <c r="C1084" s="97"/>
      <c r="D1084" s="97"/>
      <c r="E1084" s="97"/>
      <c r="F1084" s="97"/>
      <c r="G1084" s="97"/>
      <c r="H1084" s="97"/>
      <c r="I1084" s="97"/>
    </row>
    <row r="1085" customFormat="false" ht="15.4" hidden="false" customHeight="true" outlineLevel="0" collapsed="false">
      <c r="A1085" s="345" t="s">
        <v>877</v>
      </c>
      <c r="B1085" s="345"/>
      <c r="C1085" s="345"/>
      <c r="D1085" s="97"/>
      <c r="E1085" s="97"/>
      <c r="F1085" s="97"/>
      <c r="G1085" s="97"/>
      <c r="H1085" s="97"/>
      <c r="I1085" s="97"/>
    </row>
    <row r="1086" customFormat="false" ht="15.4" hidden="false" customHeight="true" outlineLevel="0" collapsed="false">
      <c r="A1086" s="62" t="s">
        <v>878</v>
      </c>
      <c r="B1086" s="190" t="s">
        <v>879</v>
      </c>
      <c r="C1086" s="190"/>
      <c r="D1086" s="190"/>
      <c r="E1086" s="190"/>
      <c r="F1086" s="190"/>
      <c r="G1086" s="190"/>
      <c r="H1086" s="97"/>
      <c r="I1086" s="97"/>
    </row>
    <row r="1087" customFormat="false" ht="11.25" hidden="false" customHeight="true" outlineLevel="0" collapsed="false">
      <c r="A1087" s="62"/>
      <c r="B1087" s="61"/>
      <c r="C1087" s="75"/>
      <c r="D1087" s="75"/>
      <c r="E1087" s="75"/>
      <c r="F1087" s="339"/>
      <c r="G1087" s="97" t="s">
        <v>880</v>
      </c>
      <c r="H1087" s="97"/>
      <c r="I1087" s="97"/>
    </row>
    <row r="1088" customFormat="false" ht="11.25" hidden="false" customHeight="true" outlineLevel="0" collapsed="false">
      <c r="A1088" s="62"/>
      <c r="B1088" s="61"/>
      <c r="C1088" s="75"/>
      <c r="D1088" s="75"/>
      <c r="E1088" s="75"/>
      <c r="F1088" s="339"/>
      <c r="G1088" s="97" t="s">
        <v>881</v>
      </c>
      <c r="H1088" s="97"/>
      <c r="I1088" s="97"/>
    </row>
    <row r="1089" customFormat="false" ht="11.25" hidden="false" customHeight="true" outlineLevel="0" collapsed="false">
      <c r="A1089" s="62"/>
      <c r="B1089" s="61"/>
      <c r="C1089" s="75"/>
      <c r="D1089" s="75"/>
      <c r="E1089" s="75"/>
      <c r="F1089" s="339"/>
      <c r="G1089" s="97" t="s">
        <v>882</v>
      </c>
      <c r="H1089" s="97"/>
      <c r="I1089" s="97"/>
    </row>
    <row r="1090" customFormat="false" ht="11.25" hidden="false" customHeight="true" outlineLevel="0" collapsed="false">
      <c r="A1090" s="62"/>
      <c r="B1090" s="61"/>
      <c r="C1090" s="75"/>
      <c r="D1090" s="75"/>
      <c r="E1090" s="75"/>
      <c r="F1090" s="339"/>
      <c r="G1090" s="97" t="s">
        <v>883</v>
      </c>
      <c r="H1090" s="97"/>
      <c r="I1090" s="97"/>
    </row>
    <row r="1091" customFormat="false" ht="9.75" hidden="false" customHeight="true" outlineLevel="0" collapsed="false">
      <c r="A1091" s="97"/>
      <c r="B1091" s="97"/>
      <c r="C1091" s="75"/>
      <c r="D1091" s="75"/>
      <c r="E1091" s="75"/>
      <c r="F1091" s="97"/>
      <c r="I1091" s="97"/>
    </row>
    <row r="1092" customFormat="false" ht="15.4" hidden="false" customHeight="true" outlineLevel="0" collapsed="false">
      <c r="A1092" s="62" t="s">
        <v>878</v>
      </c>
      <c r="B1092" s="91" t="s">
        <v>884</v>
      </c>
      <c r="C1092" s="75"/>
      <c r="D1092" s="75"/>
      <c r="E1092" s="75"/>
      <c r="F1092" s="97"/>
      <c r="G1092" s="194" t="s">
        <v>253</v>
      </c>
      <c r="H1092" s="194" t="s">
        <v>254</v>
      </c>
      <c r="I1092" s="97"/>
    </row>
    <row r="1093" customFormat="false" ht="15.4" hidden="false" customHeight="true" outlineLevel="0" collapsed="false">
      <c r="A1093" s="62"/>
      <c r="B1093" s="335" t="s">
        <v>885</v>
      </c>
      <c r="C1093" s="75"/>
      <c r="D1093" s="75"/>
      <c r="E1093" s="75"/>
      <c r="F1093" s="97"/>
      <c r="G1093" s="339"/>
      <c r="H1093" s="195"/>
      <c r="I1093" s="97"/>
    </row>
    <row r="1094" customFormat="false" ht="10.5" hidden="false" customHeight="true" outlineLevel="0" collapsed="false">
      <c r="A1094" s="62"/>
      <c r="B1094" s="61"/>
      <c r="C1094" s="75"/>
      <c r="D1094" s="75"/>
      <c r="E1094" s="75"/>
      <c r="F1094" s="97"/>
      <c r="G1094" s="97"/>
      <c r="H1094" s="97"/>
      <c r="I1094" s="97"/>
    </row>
    <row r="1095" customFormat="false" ht="15.4" hidden="false" customHeight="true" outlineLevel="0" collapsed="false">
      <c r="A1095" s="62" t="s">
        <v>878</v>
      </c>
      <c r="B1095" s="193" t="s">
        <v>886</v>
      </c>
      <c r="C1095" s="193"/>
      <c r="D1095" s="193"/>
      <c r="E1095" s="193"/>
      <c r="F1095" s="193"/>
      <c r="G1095" s="194" t="s">
        <v>253</v>
      </c>
      <c r="H1095" s="194" t="s">
        <v>254</v>
      </c>
      <c r="I1095" s="97"/>
    </row>
    <row r="1096" customFormat="false" ht="15.4" hidden="false" customHeight="true" outlineLevel="0" collapsed="false">
      <c r="A1096" s="62"/>
      <c r="B1096" s="193"/>
      <c r="C1096" s="193"/>
      <c r="D1096" s="193"/>
      <c r="E1096" s="193"/>
      <c r="F1096" s="193"/>
      <c r="G1096" s="339"/>
      <c r="H1096" s="195"/>
      <c r="I1096" s="97"/>
    </row>
    <row r="1097" customFormat="false" ht="15.4" hidden="false" customHeight="true" outlineLevel="0" collapsed="false">
      <c r="A1097" s="62"/>
      <c r="B1097" s="379" t="s">
        <v>887</v>
      </c>
      <c r="C1097" s="84"/>
      <c r="D1097" s="84"/>
      <c r="E1097" s="84"/>
      <c r="F1097" s="84"/>
      <c r="G1097" s="84"/>
      <c r="H1097" s="84"/>
      <c r="I1097" s="97"/>
    </row>
    <row r="1098" customFormat="false" ht="9" hidden="false" customHeight="true" outlineLevel="0" collapsed="false">
      <c r="A1098" s="62"/>
      <c r="B1098" s="75"/>
      <c r="C1098" s="75"/>
      <c r="D1098" s="75"/>
      <c r="E1098" s="75"/>
      <c r="F1098" s="97"/>
      <c r="G1098" s="97"/>
      <c r="H1098" s="97"/>
      <c r="I1098" s="97"/>
    </row>
    <row r="1099" customFormat="false" ht="15.4" hidden="false" customHeight="true" outlineLevel="0" collapsed="false">
      <c r="A1099" s="62" t="s">
        <v>878</v>
      </c>
      <c r="B1099" s="238" t="s">
        <v>888</v>
      </c>
      <c r="C1099" s="238"/>
      <c r="D1099" s="238"/>
      <c r="E1099" s="238"/>
      <c r="F1099" s="238"/>
      <c r="G1099" s="339"/>
      <c r="H1099" s="97" t="s">
        <v>889</v>
      </c>
      <c r="I1099" s="97"/>
    </row>
    <row r="1100" customFormat="false" ht="15.4" hidden="false" customHeight="true" outlineLevel="0" collapsed="false">
      <c r="A1100" s="62"/>
      <c r="B1100" s="335" t="s">
        <v>890</v>
      </c>
      <c r="C1100" s="380"/>
      <c r="D1100" s="198"/>
      <c r="E1100" s="381"/>
      <c r="F1100" s="97"/>
      <c r="G1100" s="339"/>
      <c r="H1100" s="97" t="s">
        <v>891</v>
      </c>
      <c r="I1100" s="97"/>
    </row>
    <row r="1101" customFormat="false" ht="15.4" hidden="false" customHeight="true" outlineLevel="0" collapsed="false">
      <c r="A1101" s="62"/>
      <c r="B1101" s="335" t="s">
        <v>892</v>
      </c>
      <c r="C1101" s="380"/>
      <c r="D1101" s="198"/>
      <c r="E1101" s="381"/>
      <c r="F1101" s="97"/>
      <c r="G1101" s="339"/>
      <c r="H1101" s="97" t="s">
        <v>893</v>
      </c>
      <c r="I1101" s="97"/>
    </row>
    <row r="1102" customFormat="false" ht="15.4" hidden="false" customHeight="true" outlineLevel="0" collapsed="false">
      <c r="A1102" s="62"/>
      <c r="B1102" s="335" t="s">
        <v>894</v>
      </c>
      <c r="C1102" s="327"/>
      <c r="D1102" s="198"/>
      <c r="E1102" s="381"/>
      <c r="F1102" s="97"/>
      <c r="G1102" s="97"/>
      <c r="H1102" s="97"/>
      <c r="I1102" s="97"/>
    </row>
    <row r="1103" customFormat="false" ht="15.4" hidden="false" customHeight="true" outlineLevel="0" collapsed="false">
      <c r="A1103" s="62"/>
      <c r="B1103" s="382"/>
      <c r="C1103" s="97"/>
      <c r="D1103" s="97"/>
      <c r="E1103" s="97"/>
      <c r="F1103" s="97"/>
      <c r="G1103" s="194" t="s">
        <v>253</v>
      </c>
      <c r="H1103" s="194" t="s">
        <v>254</v>
      </c>
      <c r="I1103" s="97"/>
    </row>
    <row r="1104" customFormat="false" ht="15.4" hidden="false" customHeight="true" outlineLevel="0" collapsed="false">
      <c r="A1104" s="62" t="s">
        <v>791</v>
      </c>
      <c r="B1104" s="238" t="s">
        <v>895</v>
      </c>
      <c r="C1104" s="238"/>
      <c r="D1104" s="238"/>
      <c r="E1104" s="238"/>
      <c r="F1104" s="238"/>
      <c r="G1104" s="339"/>
      <c r="H1104" s="195"/>
      <c r="I1104" s="97"/>
    </row>
    <row r="1105" customFormat="false" ht="29.45" hidden="false" customHeight="true" outlineLevel="0" collapsed="false">
      <c r="A1105" s="214" t="s">
        <v>896</v>
      </c>
      <c r="B1105" s="214"/>
      <c r="C1105" s="214"/>
      <c r="D1105" s="383"/>
      <c r="E1105" s="384" t="s">
        <v>897</v>
      </c>
      <c r="F1105" s="384"/>
      <c r="G1105" s="385" t="s">
        <v>898</v>
      </c>
      <c r="H1105" s="386" t="s">
        <v>899</v>
      </c>
      <c r="I1105" s="386"/>
    </row>
    <row r="1106" customFormat="false" ht="12.2" hidden="false" customHeight="true" outlineLevel="0" collapsed="false">
      <c r="A1106" s="85"/>
      <c r="B1106" s="383"/>
      <c r="C1106" s="383"/>
      <c r="D1106" s="383"/>
      <c r="E1106" s="97"/>
      <c r="F1106" s="97"/>
      <c r="G1106" s="387" t="s">
        <v>900</v>
      </c>
      <c r="H1106" s="388" t="s">
        <v>900</v>
      </c>
      <c r="I1106" s="388"/>
    </row>
    <row r="1107" customFormat="false" ht="12.2" hidden="false" customHeight="true" outlineLevel="0" collapsed="false">
      <c r="A1107" s="389" t="s">
        <v>901</v>
      </c>
      <c r="B1107" s="389"/>
      <c r="C1107" s="389"/>
      <c r="D1107" s="389"/>
      <c r="E1107" s="389"/>
      <c r="F1107" s="389"/>
      <c r="G1107" s="390"/>
      <c r="H1107" s="391"/>
      <c r="I1107" s="391"/>
    </row>
    <row r="1108" customFormat="false" ht="12.2" hidden="false" customHeight="true" outlineLevel="0" collapsed="false">
      <c r="A1108" s="392" t="s">
        <v>902</v>
      </c>
      <c r="B1108" s="392"/>
      <c r="C1108" s="392"/>
      <c r="D1108" s="392"/>
      <c r="E1108" s="392"/>
      <c r="F1108" s="392"/>
      <c r="G1108" s="393"/>
      <c r="H1108" s="394"/>
      <c r="I1108" s="394"/>
    </row>
    <row r="1109" customFormat="false" ht="12.2" hidden="false" customHeight="true" outlineLevel="0" collapsed="false">
      <c r="A1109" s="392" t="s">
        <v>903</v>
      </c>
      <c r="B1109" s="392"/>
      <c r="C1109" s="392"/>
      <c r="D1109" s="392"/>
      <c r="E1109" s="392"/>
      <c r="F1109" s="392"/>
      <c r="G1109" s="393"/>
      <c r="H1109" s="394"/>
      <c r="I1109" s="394"/>
    </row>
    <row r="1110" customFormat="false" ht="12.2" hidden="false" customHeight="true" outlineLevel="0" collapsed="false">
      <c r="A1110" s="392" t="s">
        <v>904</v>
      </c>
      <c r="B1110" s="392"/>
      <c r="C1110" s="392"/>
      <c r="D1110" s="392"/>
      <c r="E1110" s="392"/>
      <c r="F1110" s="392"/>
      <c r="G1110" s="393"/>
      <c r="H1110" s="394"/>
      <c r="I1110" s="394"/>
    </row>
    <row r="1111" customFormat="false" ht="12.2" hidden="false" customHeight="true" outlineLevel="0" collapsed="false">
      <c r="A1111" s="392" t="s">
        <v>905</v>
      </c>
      <c r="B1111" s="392"/>
      <c r="C1111" s="392"/>
      <c r="D1111" s="392"/>
      <c r="E1111" s="392"/>
      <c r="F1111" s="392"/>
      <c r="G1111" s="393"/>
      <c r="H1111" s="394"/>
      <c r="I1111" s="394"/>
    </row>
    <row r="1112" customFormat="false" ht="12.2" hidden="false" customHeight="true" outlineLevel="0" collapsed="false">
      <c r="A1112" s="395" t="s">
        <v>906</v>
      </c>
      <c r="B1112" s="395"/>
      <c r="C1112" s="395"/>
      <c r="D1112" s="395"/>
      <c r="E1112" s="395"/>
      <c r="F1112" s="395"/>
      <c r="G1112" s="396"/>
      <c r="H1112" s="397"/>
      <c r="I1112" s="397"/>
    </row>
    <row r="1113" customFormat="false" ht="12.2" hidden="false" customHeight="true" outlineLevel="0" collapsed="false">
      <c r="A1113" s="395"/>
      <c r="B1113" s="395"/>
      <c r="C1113" s="395"/>
      <c r="D1113" s="395"/>
      <c r="E1113" s="395"/>
      <c r="F1113" s="395"/>
      <c r="G1113" s="396"/>
      <c r="H1113" s="149"/>
      <c r="I1113" s="398"/>
    </row>
    <row r="1114" customFormat="false" ht="12.2" hidden="false" customHeight="true" outlineLevel="0" collapsed="false">
      <c r="A1114" s="392" t="s">
        <v>907</v>
      </c>
      <c r="B1114" s="392"/>
      <c r="C1114" s="392"/>
      <c r="D1114" s="392"/>
      <c r="E1114" s="392"/>
      <c r="F1114" s="392"/>
      <c r="G1114" s="393"/>
      <c r="H1114" s="206"/>
      <c r="I1114" s="399"/>
    </row>
    <row r="1115" customFormat="false" ht="12.2" hidden="false" customHeight="true" outlineLevel="0" collapsed="false">
      <c r="A1115" s="392" t="s">
        <v>908</v>
      </c>
      <c r="B1115" s="392"/>
      <c r="C1115" s="392"/>
      <c r="D1115" s="392"/>
      <c r="E1115" s="392"/>
      <c r="F1115" s="392"/>
      <c r="G1115" s="393"/>
      <c r="H1115" s="206"/>
      <c r="I1115" s="399"/>
    </row>
    <row r="1116" customFormat="false" ht="12.2" hidden="false" customHeight="true" outlineLevel="0" collapsed="false">
      <c r="A1116" s="392" t="s">
        <v>909</v>
      </c>
      <c r="B1116" s="392"/>
      <c r="C1116" s="392"/>
      <c r="D1116" s="392"/>
      <c r="E1116" s="392"/>
      <c r="F1116" s="392"/>
      <c r="G1116" s="393"/>
      <c r="H1116" s="206"/>
      <c r="I1116" s="399"/>
    </row>
    <row r="1117" customFormat="false" ht="12.2" hidden="false" customHeight="true" outlineLevel="0" collapsed="false">
      <c r="A1117" s="392" t="s">
        <v>909</v>
      </c>
      <c r="B1117" s="392"/>
      <c r="C1117" s="392"/>
      <c r="D1117" s="392"/>
      <c r="E1117" s="392"/>
      <c r="F1117" s="392"/>
      <c r="G1117" s="393"/>
      <c r="H1117" s="206"/>
      <c r="I1117" s="399"/>
    </row>
    <row r="1118" customFormat="false" ht="12.2" hidden="false" customHeight="true" outlineLevel="0" collapsed="false">
      <c r="A1118" s="389" t="s">
        <v>910</v>
      </c>
      <c r="B1118" s="389"/>
      <c r="C1118" s="389"/>
      <c r="D1118" s="389"/>
      <c r="E1118" s="389"/>
      <c r="F1118" s="389"/>
      <c r="G1118" s="390"/>
      <c r="H1118" s="391"/>
      <c r="I1118" s="391"/>
    </row>
    <row r="1119" customFormat="false" ht="12.2" hidden="false" customHeight="true" outlineLevel="0" collapsed="false">
      <c r="A1119" s="392" t="s">
        <v>911</v>
      </c>
      <c r="B1119" s="392"/>
      <c r="C1119" s="392"/>
      <c r="D1119" s="392"/>
      <c r="E1119" s="392"/>
      <c r="F1119" s="392"/>
      <c r="G1119" s="393"/>
      <c r="H1119" s="206"/>
      <c r="I1119" s="399"/>
    </row>
    <row r="1120" customFormat="false" ht="12.2" hidden="false" customHeight="true" outlineLevel="0" collapsed="false">
      <c r="A1120" s="392" t="s">
        <v>912</v>
      </c>
      <c r="B1120" s="392"/>
      <c r="C1120" s="392"/>
      <c r="D1120" s="392"/>
      <c r="E1120" s="392"/>
      <c r="F1120" s="392"/>
      <c r="G1120" s="393"/>
      <c r="H1120" s="206"/>
      <c r="I1120" s="399"/>
    </row>
    <row r="1121" customFormat="false" ht="12.2" hidden="false" customHeight="true" outlineLevel="0" collapsed="false">
      <c r="A1121" s="392" t="s">
        <v>913</v>
      </c>
      <c r="B1121" s="392"/>
      <c r="C1121" s="392"/>
      <c r="D1121" s="392"/>
      <c r="E1121" s="392"/>
      <c r="F1121" s="392"/>
      <c r="G1121" s="393"/>
      <c r="H1121" s="206"/>
      <c r="I1121" s="399"/>
    </row>
    <row r="1122" customFormat="false" ht="12.2" hidden="false" customHeight="true" outlineLevel="0" collapsed="false">
      <c r="A1122" s="389" t="s">
        <v>914</v>
      </c>
      <c r="B1122" s="389"/>
      <c r="C1122" s="389"/>
      <c r="D1122" s="389"/>
      <c r="E1122" s="389"/>
      <c r="F1122" s="389"/>
      <c r="G1122" s="390"/>
      <c r="H1122" s="391"/>
      <c r="I1122" s="391"/>
    </row>
    <row r="1123" customFormat="false" ht="12.2" hidden="false" customHeight="true" outlineLevel="0" collapsed="false">
      <c r="A1123" s="392" t="s">
        <v>915</v>
      </c>
      <c r="B1123" s="392"/>
      <c r="C1123" s="392"/>
      <c r="D1123" s="392"/>
      <c r="E1123" s="392"/>
      <c r="F1123" s="392"/>
      <c r="G1123" s="393"/>
      <c r="H1123" s="206"/>
      <c r="I1123" s="399"/>
    </row>
    <row r="1124" customFormat="false" ht="12.2" hidden="false" customHeight="true" outlineLevel="0" collapsed="false">
      <c r="A1124" s="392" t="s">
        <v>916</v>
      </c>
      <c r="B1124" s="392"/>
      <c r="C1124" s="392"/>
      <c r="D1124" s="392"/>
      <c r="E1124" s="392"/>
      <c r="F1124" s="392"/>
      <c r="G1124" s="393"/>
      <c r="H1124" s="206"/>
      <c r="I1124" s="399"/>
    </row>
    <row r="1125" customFormat="false" ht="12.2" hidden="false" customHeight="true" outlineLevel="0" collapsed="false">
      <c r="A1125" s="392" t="s">
        <v>917</v>
      </c>
      <c r="B1125" s="392"/>
      <c r="C1125" s="392"/>
      <c r="D1125" s="392"/>
      <c r="E1125" s="392"/>
      <c r="F1125" s="392"/>
      <c r="G1125" s="393"/>
      <c r="H1125" s="206"/>
      <c r="I1125" s="399"/>
    </row>
    <row r="1126" customFormat="false" ht="12.2" hidden="false" customHeight="true" outlineLevel="0" collapsed="false">
      <c r="A1126" s="389" t="s">
        <v>918</v>
      </c>
      <c r="B1126" s="389"/>
      <c r="C1126" s="389"/>
      <c r="D1126" s="389"/>
      <c r="E1126" s="389"/>
      <c r="F1126" s="389"/>
      <c r="G1126" s="390"/>
      <c r="H1126" s="391"/>
      <c r="I1126" s="391"/>
    </row>
    <row r="1127" customFormat="false" ht="12.2" hidden="false" customHeight="true" outlineLevel="0" collapsed="false">
      <c r="A1127" s="392" t="s">
        <v>919</v>
      </c>
      <c r="B1127" s="392"/>
      <c r="C1127" s="392"/>
      <c r="D1127" s="392"/>
      <c r="E1127" s="392"/>
      <c r="F1127" s="392"/>
      <c r="G1127" s="393"/>
      <c r="H1127" s="206"/>
      <c r="I1127" s="399"/>
    </row>
    <row r="1128" customFormat="false" ht="12.2" hidden="false" customHeight="true" outlineLevel="0" collapsed="false">
      <c r="A1128" s="392" t="s">
        <v>920</v>
      </c>
      <c r="B1128" s="392"/>
      <c r="C1128" s="392"/>
      <c r="D1128" s="392"/>
      <c r="E1128" s="392"/>
      <c r="F1128" s="392"/>
      <c r="G1128" s="393"/>
      <c r="H1128" s="206"/>
      <c r="I1128" s="399"/>
    </row>
    <row r="1129" customFormat="false" ht="12.2" hidden="false" customHeight="true" outlineLevel="0" collapsed="false">
      <c r="A1129" s="392" t="s">
        <v>921</v>
      </c>
      <c r="B1129" s="392"/>
      <c r="C1129" s="392"/>
      <c r="D1129" s="392"/>
      <c r="E1129" s="392"/>
      <c r="F1129" s="392"/>
      <c r="G1129" s="393"/>
      <c r="H1129" s="206"/>
      <c r="I1129" s="399"/>
    </row>
    <row r="1130" customFormat="false" ht="12.2" hidden="false" customHeight="true" outlineLevel="0" collapsed="false">
      <c r="A1130" s="392" t="s">
        <v>922</v>
      </c>
      <c r="B1130" s="392"/>
      <c r="C1130" s="392"/>
      <c r="D1130" s="392"/>
      <c r="E1130" s="392"/>
      <c r="F1130" s="392"/>
      <c r="G1130" s="393"/>
      <c r="H1130" s="206"/>
      <c r="I1130" s="399"/>
    </row>
    <row r="1131" customFormat="false" ht="12.2" hidden="false" customHeight="true" outlineLevel="0" collapsed="false">
      <c r="A1131" s="392" t="s">
        <v>923</v>
      </c>
      <c r="B1131" s="392"/>
      <c r="C1131" s="392"/>
      <c r="D1131" s="392"/>
      <c r="E1131" s="392"/>
      <c r="F1131" s="392"/>
      <c r="G1131" s="393"/>
      <c r="H1131" s="206"/>
      <c r="I1131" s="399"/>
    </row>
    <row r="1132" customFormat="false" ht="12.2" hidden="false" customHeight="true" outlineLevel="0" collapsed="false">
      <c r="A1132" s="392" t="s">
        <v>924</v>
      </c>
      <c r="B1132" s="392"/>
      <c r="C1132" s="392"/>
      <c r="D1132" s="392"/>
      <c r="E1132" s="392"/>
      <c r="F1132" s="392"/>
      <c r="G1132" s="393"/>
      <c r="H1132" s="206"/>
      <c r="I1132" s="399"/>
    </row>
    <row r="1133" customFormat="false" ht="12.2" hidden="false" customHeight="true" outlineLevel="0" collapsed="false">
      <c r="A1133" s="392" t="s">
        <v>925</v>
      </c>
      <c r="B1133" s="392"/>
      <c r="C1133" s="392"/>
      <c r="D1133" s="392"/>
      <c r="E1133" s="392"/>
      <c r="F1133" s="392"/>
      <c r="G1133" s="393"/>
      <c r="H1133" s="206"/>
      <c r="I1133" s="399"/>
    </row>
    <row r="1134" customFormat="false" ht="12.2" hidden="false" customHeight="true" outlineLevel="0" collapsed="false">
      <c r="A1134" s="400" t="s">
        <v>926</v>
      </c>
      <c r="B1134" s="400"/>
      <c r="C1134" s="400"/>
      <c r="D1134" s="400"/>
      <c r="E1134" s="400"/>
      <c r="F1134" s="400"/>
      <c r="G1134" s="401"/>
      <c r="H1134" s="402"/>
      <c r="I1134" s="403"/>
    </row>
    <row r="1135" customFormat="false" ht="12.2" hidden="false" customHeight="true" outlineLevel="0" collapsed="false">
      <c r="A1135" s="389" t="s">
        <v>927</v>
      </c>
      <c r="B1135" s="389"/>
      <c r="C1135" s="389"/>
      <c r="D1135" s="389"/>
      <c r="E1135" s="389"/>
      <c r="F1135" s="389"/>
      <c r="G1135" s="390"/>
      <c r="H1135" s="391"/>
      <c r="I1135" s="391"/>
    </row>
    <row r="1136" customFormat="false" ht="12.2" hidden="false" customHeight="true" outlineLevel="0" collapsed="false">
      <c r="A1136" s="392" t="s">
        <v>928</v>
      </c>
      <c r="B1136" s="392"/>
      <c r="C1136" s="392"/>
      <c r="D1136" s="392"/>
      <c r="E1136" s="392"/>
      <c r="F1136" s="392"/>
      <c r="G1136" s="393"/>
      <c r="H1136" s="206"/>
      <c r="I1136" s="399"/>
    </row>
    <row r="1137" customFormat="false" ht="12.2" hidden="false" customHeight="true" outlineLevel="0" collapsed="false">
      <c r="A1137" s="392" t="s">
        <v>929</v>
      </c>
      <c r="B1137" s="392"/>
      <c r="C1137" s="392"/>
      <c r="D1137" s="392"/>
      <c r="E1137" s="392"/>
      <c r="F1137" s="392"/>
      <c r="G1137" s="393"/>
      <c r="H1137" s="206"/>
      <c r="I1137" s="399"/>
    </row>
    <row r="1138" customFormat="false" ht="12.2" hidden="false" customHeight="true" outlineLevel="0" collapsed="false">
      <c r="A1138" s="400" t="s">
        <v>930</v>
      </c>
      <c r="B1138" s="400"/>
      <c r="C1138" s="400"/>
      <c r="D1138" s="400"/>
      <c r="E1138" s="400"/>
      <c r="F1138" s="400"/>
      <c r="G1138" s="401"/>
      <c r="H1138" s="402"/>
      <c r="I1138" s="403"/>
    </row>
    <row r="1139" customFormat="false" ht="12.2" hidden="false" customHeight="true" outlineLevel="0" collapsed="false">
      <c r="A1139" s="389" t="s">
        <v>931</v>
      </c>
      <c r="B1139" s="389"/>
      <c r="C1139" s="389"/>
      <c r="D1139" s="389"/>
      <c r="E1139" s="389"/>
      <c r="F1139" s="389"/>
      <c r="G1139" s="390"/>
      <c r="H1139" s="391"/>
      <c r="I1139" s="391"/>
    </row>
    <row r="1140" customFormat="false" ht="12.2" hidden="false" customHeight="true" outlineLevel="0" collapsed="false">
      <c r="A1140" s="392" t="s">
        <v>928</v>
      </c>
      <c r="B1140" s="392"/>
      <c r="C1140" s="392"/>
      <c r="D1140" s="392"/>
      <c r="E1140" s="392"/>
      <c r="F1140" s="392"/>
      <c r="G1140" s="393"/>
      <c r="H1140" s="206"/>
      <c r="I1140" s="399"/>
    </row>
    <row r="1141" customFormat="false" ht="12.2" hidden="false" customHeight="true" outlineLevel="0" collapsed="false">
      <c r="A1141" s="400" t="s">
        <v>932</v>
      </c>
      <c r="B1141" s="400"/>
      <c r="C1141" s="400"/>
      <c r="D1141" s="400"/>
      <c r="E1141" s="400"/>
      <c r="F1141" s="400"/>
      <c r="G1141" s="401"/>
      <c r="H1141" s="402"/>
      <c r="I1141" s="403"/>
    </row>
    <row r="1142" customFormat="false" ht="12.2" hidden="false" customHeight="true" outlineLevel="0" collapsed="false">
      <c r="A1142" s="389" t="s">
        <v>933</v>
      </c>
      <c r="B1142" s="389"/>
      <c r="C1142" s="389"/>
      <c r="D1142" s="389"/>
      <c r="E1142" s="389"/>
      <c r="F1142" s="389"/>
      <c r="G1142" s="390"/>
      <c r="H1142" s="391"/>
      <c r="I1142" s="391"/>
    </row>
    <row r="1143" customFormat="false" ht="12.2" hidden="false" customHeight="true" outlineLevel="0" collapsed="false">
      <c r="A1143" s="392" t="s">
        <v>934</v>
      </c>
      <c r="B1143" s="392"/>
      <c r="C1143" s="392"/>
      <c r="D1143" s="392"/>
      <c r="E1143" s="392"/>
      <c r="F1143" s="392"/>
      <c r="G1143" s="393"/>
      <c r="H1143" s="206"/>
      <c r="I1143" s="399"/>
    </row>
    <row r="1144" customFormat="false" ht="12.2" hidden="false" customHeight="true" outlineLevel="0" collapsed="false">
      <c r="A1144" s="392" t="s">
        <v>929</v>
      </c>
      <c r="B1144" s="392"/>
      <c r="C1144" s="392"/>
      <c r="D1144" s="392"/>
      <c r="E1144" s="392"/>
      <c r="F1144" s="392"/>
      <c r="G1144" s="393"/>
      <c r="H1144" s="206"/>
      <c r="I1144" s="399"/>
    </row>
    <row r="1145" customFormat="false" ht="12.2" hidden="false" customHeight="true" outlineLevel="0" collapsed="false">
      <c r="A1145" s="392" t="s">
        <v>930</v>
      </c>
      <c r="B1145" s="392"/>
      <c r="C1145" s="392"/>
      <c r="D1145" s="392"/>
      <c r="E1145" s="392"/>
      <c r="F1145" s="392"/>
      <c r="G1145" s="393"/>
      <c r="H1145" s="206"/>
      <c r="I1145" s="399"/>
    </row>
    <row r="1146" customFormat="false" ht="12.2" hidden="false" customHeight="true" outlineLevel="0" collapsed="false">
      <c r="A1146" s="400" t="s">
        <v>932</v>
      </c>
      <c r="B1146" s="400"/>
      <c r="C1146" s="400"/>
      <c r="D1146" s="400"/>
      <c r="E1146" s="400"/>
      <c r="F1146" s="400"/>
      <c r="G1146" s="401"/>
      <c r="H1146" s="402"/>
      <c r="I1146" s="403"/>
    </row>
    <row r="1147" customFormat="false" ht="12.2" hidden="false" customHeight="true" outlineLevel="0" collapsed="false">
      <c r="A1147" s="389" t="s">
        <v>935</v>
      </c>
      <c r="B1147" s="389"/>
      <c r="C1147" s="389"/>
      <c r="D1147" s="389"/>
      <c r="E1147" s="389"/>
      <c r="F1147" s="389"/>
      <c r="G1147" s="390"/>
      <c r="H1147" s="391"/>
      <c r="I1147" s="391"/>
    </row>
    <row r="1148" customFormat="false" ht="12.2" hidden="false" customHeight="true" outlineLevel="0" collapsed="false">
      <c r="A1148" s="392" t="s">
        <v>934</v>
      </c>
      <c r="B1148" s="392"/>
      <c r="C1148" s="392"/>
      <c r="D1148" s="392"/>
      <c r="E1148" s="392"/>
      <c r="F1148" s="392"/>
      <c r="G1148" s="393"/>
      <c r="H1148" s="206"/>
      <c r="I1148" s="399"/>
    </row>
    <row r="1149" customFormat="false" ht="12.2" hidden="false" customHeight="true" outlineLevel="0" collapsed="false">
      <c r="A1149" s="392" t="s">
        <v>929</v>
      </c>
      <c r="B1149" s="392"/>
      <c r="C1149" s="392"/>
      <c r="D1149" s="392"/>
      <c r="E1149" s="392"/>
      <c r="F1149" s="392"/>
      <c r="G1149" s="393"/>
      <c r="H1149" s="206"/>
      <c r="I1149" s="399"/>
    </row>
    <row r="1150" customFormat="false" ht="12.2" hidden="false" customHeight="true" outlineLevel="0" collapsed="false">
      <c r="A1150" s="392" t="s">
        <v>930</v>
      </c>
      <c r="B1150" s="392"/>
      <c r="C1150" s="392"/>
      <c r="D1150" s="392"/>
      <c r="E1150" s="392"/>
      <c r="F1150" s="392"/>
      <c r="G1150" s="393"/>
      <c r="H1150" s="206"/>
      <c r="I1150" s="399"/>
    </row>
    <row r="1151" customFormat="false" ht="12.2" hidden="false" customHeight="true" outlineLevel="0" collapsed="false">
      <c r="A1151" s="400" t="s">
        <v>932</v>
      </c>
      <c r="B1151" s="400"/>
      <c r="C1151" s="400"/>
      <c r="D1151" s="400"/>
      <c r="E1151" s="400"/>
      <c r="F1151" s="400"/>
      <c r="G1151" s="401"/>
      <c r="H1151" s="402"/>
      <c r="I1151" s="403"/>
    </row>
    <row r="1152" customFormat="false" ht="12.2" hidden="false" customHeight="true" outlineLevel="0" collapsed="false">
      <c r="A1152" s="389" t="s">
        <v>936</v>
      </c>
      <c r="B1152" s="389"/>
      <c r="C1152" s="389"/>
      <c r="D1152" s="389"/>
      <c r="E1152" s="389"/>
      <c r="F1152" s="389"/>
      <c r="G1152" s="390"/>
      <c r="H1152" s="391"/>
      <c r="I1152" s="391"/>
    </row>
    <row r="1153" customFormat="false" ht="12.2" hidden="false" customHeight="true" outlineLevel="0" collapsed="false">
      <c r="A1153" s="392" t="s">
        <v>928</v>
      </c>
      <c r="B1153" s="392"/>
      <c r="C1153" s="392"/>
      <c r="D1153" s="392"/>
      <c r="E1153" s="392"/>
      <c r="F1153" s="392"/>
      <c r="G1153" s="393"/>
      <c r="H1153" s="206"/>
      <c r="I1153" s="399"/>
    </row>
    <row r="1154" customFormat="false" ht="12.2" hidden="false" customHeight="true" outlineLevel="0" collapsed="false">
      <c r="A1154" s="400" t="s">
        <v>932</v>
      </c>
      <c r="B1154" s="400"/>
      <c r="C1154" s="400"/>
      <c r="D1154" s="400"/>
      <c r="E1154" s="400"/>
      <c r="F1154" s="400"/>
      <c r="G1154" s="401"/>
      <c r="H1154" s="402"/>
      <c r="I1154" s="403"/>
    </row>
    <row r="1155" customFormat="false" ht="12.2" hidden="false" customHeight="true" outlineLevel="0" collapsed="false">
      <c r="A1155" s="389" t="s">
        <v>937</v>
      </c>
      <c r="B1155" s="389"/>
      <c r="C1155" s="389"/>
      <c r="D1155" s="389"/>
      <c r="E1155" s="389"/>
      <c r="F1155" s="389"/>
      <c r="G1155" s="390"/>
      <c r="H1155" s="391"/>
      <c r="I1155" s="391"/>
    </row>
    <row r="1156" customFormat="false" ht="12.2" hidden="false" customHeight="true" outlineLevel="0" collapsed="false">
      <c r="A1156" s="392" t="s">
        <v>928</v>
      </c>
      <c r="B1156" s="392"/>
      <c r="C1156" s="392"/>
      <c r="D1156" s="392"/>
      <c r="E1156" s="392"/>
      <c r="F1156" s="392"/>
      <c r="G1156" s="393"/>
      <c r="H1156" s="206"/>
      <c r="I1156" s="399"/>
    </row>
    <row r="1157" customFormat="false" ht="12.2" hidden="false" customHeight="true" outlineLevel="0" collapsed="false">
      <c r="A1157" s="392" t="s">
        <v>938</v>
      </c>
      <c r="B1157" s="392"/>
      <c r="C1157" s="392"/>
      <c r="D1157" s="392"/>
      <c r="E1157" s="392"/>
      <c r="F1157" s="392"/>
      <c r="G1157" s="393"/>
      <c r="H1157" s="206"/>
      <c r="I1157" s="399"/>
    </row>
    <row r="1158" customFormat="false" ht="12.2" hidden="false" customHeight="true" outlineLevel="0" collapsed="false">
      <c r="A1158" s="400" t="s">
        <v>932</v>
      </c>
      <c r="B1158" s="400"/>
      <c r="C1158" s="400"/>
      <c r="D1158" s="400"/>
      <c r="E1158" s="400"/>
      <c r="F1158" s="400"/>
      <c r="G1158" s="401"/>
      <c r="H1158" s="402"/>
      <c r="I1158" s="403"/>
    </row>
    <row r="1159" customFormat="false" ht="12.2" hidden="false" customHeight="true" outlineLevel="0" collapsed="false">
      <c r="A1159" s="389" t="s">
        <v>939</v>
      </c>
      <c r="B1159" s="389"/>
      <c r="C1159" s="389"/>
      <c r="D1159" s="389"/>
      <c r="E1159" s="389"/>
      <c r="F1159" s="389"/>
      <c r="G1159" s="390"/>
      <c r="H1159" s="391"/>
      <c r="I1159" s="391"/>
    </row>
    <row r="1160" customFormat="false" ht="12.2" hidden="false" customHeight="true" outlineLevel="0" collapsed="false">
      <c r="A1160" s="392" t="s">
        <v>940</v>
      </c>
      <c r="B1160" s="392"/>
      <c r="C1160" s="392"/>
      <c r="D1160" s="392"/>
      <c r="E1160" s="392"/>
      <c r="F1160" s="392"/>
      <c r="G1160" s="393"/>
      <c r="H1160" s="206"/>
      <c r="I1160" s="399"/>
    </row>
    <row r="1161" customFormat="false" ht="12.2" hidden="false" customHeight="true" outlineLevel="0" collapsed="false">
      <c r="A1161" s="400" t="s">
        <v>941</v>
      </c>
      <c r="B1161" s="400"/>
      <c r="C1161" s="400"/>
      <c r="D1161" s="400"/>
      <c r="E1161" s="400"/>
      <c r="F1161" s="400"/>
      <c r="G1161" s="401"/>
      <c r="H1161" s="402"/>
      <c r="I1161" s="403"/>
    </row>
    <row r="1162" customFormat="false" ht="12.2" hidden="false" customHeight="true" outlineLevel="0" collapsed="false">
      <c r="A1162" s="389" t="s">
        <v>942</v>
      </c>
      <c r="B1162" s="389"/>
      <c r="C1162" s="389"/>
      <c r="D1162" s="389"/>
      <c r="E1162" s="389"/>
      <c r="F1162" s="389"/>
      <c r="G1162" s="390"/>
      <c r="H1162" s="391"/>
      <c r="I1162" s="391"/>
    </row>
    <row r="1163" customFormat="false" ht="12.2" hidden="false" customHeight="true" outlineLevel="0" collapsed="false">
      <c r="A1163" s="392" t="s">
        <v>943</v>
      </c>
      <c r="B1163" s="392"/>
      <c r="C1163" s="392"/>
      <c r="D1163" s="392"/>
      <c r="E1163" s="392"/>
      <c r="F1163" s="392"/>
      <c r="G1163" s="393"/>
      <c r="H1163" s="206"/>
      <c r="I1163" s="399"/>
    </row>
    <row r="1164" customFormat="false" ht="12.2" hidden="false" customHeight="true" outlineLevel="0" collapsed="false">
      <c r="A1164" s="400" t="s">
        <v>944</v>
      </c>
      <c r="B1164" s="400"/>
      <c r="C1164" s="400"/>
      <c r="D1164" s="400"/>
      <c r="E1164" s="400"/>
      <c r="F1164" s="400"/>
      <c r="G1164" s="401"/>
      <c r="H1164" s="402"/>
      <c r="I1164" s="403"/>
    </row>
    <row r="1165" customFormat="false" ht="15.4" hidden="false" customHeight="true" outlineLevel="0" collapsed="false">
      <c r="A1165" s="62" t="s">
        <v>945</v>
      </c>
      <c r="B1165" s="198" t="s">
        <v>946</v>
      </c>
      <c r="C1165" s="198"/>
      <c r="D1165" s="198"/>
      <c r="E1165" s="198"/>
      <c r="F1165" s="198"/>
      <c r="G1165" s="253"/>
      <c r="H1165" s="253"/>
      <c r="I1165" s="97"/>
    </row>
    <row r="1166" customFormat="false" ht="15.4" hidden="false" customHeight="true" outlineLevel="0" collapsed="false">
      <c r="A1166" s="62"/>
      <c r="B1166" s="272" t="s">
        <v>947</v>
      </c>
      <c r="C1166" s="97"/>
      <c r="D1166" s="202"/>
      <c r="E1166" s="202"/>
      <c r="F1166" s="202"/>
      <c r="G1166" s="202"/>
      <c r="H1166" s="253"/>
      <c r="I1166" s="97"/>
    </row>
    <row r="1167" customFormat="false" ht="15.4" hidden="false" customHeight="true" outlineLevel="0" collapsed="false">
      <c r="A1167" s="62"/>
      <c r="B1167" s="75"/>
      <c r="C1167" s="383"/>
      <c r="D1167" s="404"/>
      <c r="E1167" s="404"/>
      <c r="F1167" s="404"/>
      <c r="G1167" s="97"/>
      <c r="H1167" s="97"/>
      <c r="I1167" s="97"/>
    </row>
    <row r="1168" customFormat="false" ht="15.4" hidden="false" customHeight="true" outlineLevel="0" collapsed="false">
      <c r="A1168" s="62"/>
      <c r="B1168" s="193" t="s">
        <v>948</v>
      </c>
      <c r="C1168" s="193"/>
      <c r="D1168" s="193"/>
      <c r="E1168" s="193"/>
      <c r="F1168" s="193"/>
      <c r="G1168" s="195"/>
      <c r="H1168" s="97" t="s">
        <v>949</v>
      </c>
      <c r="I1168" s="97"/>
    </row>
    <row r="1169" customFormat="false" ht="15.4" hidden="false" customHeight="true" outlineLevel="0" collapsed="false">
      <c r="A1169" s="62"/>
      <c r="B1169" s="193"/>
      <c r="C1169" s="193"/>
      <c r="D1169" s="193"/>
      <c r="E1169" s="193"/>
      <c r="F1169" s="193"/>
      <c r="G1169" s="195"/>
      <c r="H1169" s="97" t="s">
        <v>950</v>
      </c>
      <c r="I1169" s="97"/>
    </row>
    <row r="1170" customFormat="false" ht="15.4" hidden="false" customHeight="true" outlineLevel="0" collapsed="false">
      <c r="A1170" s="62"/>
      <c r="B1170" s="405" t="s">
        <v>951</v>
      </c>
      <c r="C1170" s="75"/>
      <c r="D1170" s="75"/>
      <c r="E1170" s="202"/>
      <c r="F1170" s="75"/>
      <c r="G1170" s="195"/>
      <c r="H1170" s="97" t="s">
        <v>952</v>
      </c>
      <c r="I1170" s="97"/>
    </row>
    <row r="1171" customFormat="false" ht="15.4" hidden="false" customHeight="true" outlineLevel="0" collapsed="false">
      <c r="A1171" s="62"/>
      <c r="B1171" s="202"/>
      <c r="C1171" s="202"/>
      <c r="D1171" s="202"/>
      <c r="E1171" s="202"/>
      <c r="F1171" s="75"/>
      <c r="G1171" s="195"/>
      <c r="H1171" s="97" t="s">
        <v>953</v>
      </c>
      <c r="I1171" s="97"/>
    </row>
    <row r="1172" customFormat="false" ht="15.4" hidden="false" customHeight="true" outlineLevel="0" collapsed="false">
      <c r="A1172" s="62"/>
      <c r="B1172" s="97"/>
      <c r="C1172" s="97"/>
      <c r="D1172" s="97"/>
      <c r="E1172" s="97"/>
      <c r="F1172" s="97"/>
      <c r="G1172" s="97"/>
      <c r="H1172" s="97"/>
      <c r="I1172" s="97"/>
    </row>
    <row r="1173" customFormat="false" ht="15.4" hidden="false" customHeight="true" outlineLevel="0" collapsed="false">
      <c r="A1173" s="62"/>
      <c r="B1173" s="97"/>
      <c r="C1173" s="242"/>
      <c r="D1173" s="75"/>
      <c r="E1173" s="97"/>
      <c r="F1173" s="97"/>
      <c r="G1173" s="194" t="s">
        <v>253</v>
      </c>
      <c r="H1173" s="194" t="s">
        <v>254</v>
      </c>
      <c r="I1173" s="97"/>
    </row>
    <row r="1174" customFormat="false" ht="15.4" hidden="false" customHeight="true" outlineLevel="0" collapsed="false">
      <c r="A1174" s="62"/>
      <c r="B1174" s="406" t="s">
        <v>954</v>
      </c>
      <c r="C1174" s="406"/>
      <c r="D1174" s="406"/>
      <c r="E1174" s="406"/>
      <c r="F1174" s="406"/>
      <c r="G1174" s="339"/>
      <c r="H1174" s="195"/>
      <c r="I1174" s="97"/>
    </row>
    <row r="1175" customFormat="false" ht="15.4" hidden="false" customHeight="true" outlineLevel="0" collapsed="false">
      <c r="A1175" s="62"/>
      <c r="B1175" s="97"/>
      <c r="C1175" s="97"/>
      <c r="D1175" s="97"/>
      <c r="E1175" s="97"/>
      <c r="F1175" s="97"/>
      <c r="G1175" s="97"/>
      <c r="H1175" s="97"/>
      <c r="I1175" s="97"/>
    </row>
    <row r="1176" customFormat="false" ht="15.4" hidden="false" customHeight="true" outlineLevel="0" collapsed="false">
      <c r="A1176" s="62"/>
      <c r="B1176" s="97"/>
      <c r="C1176" s="97"/>
      <c r="D1176" s="97"/>
      <c r="E1176" s="97"/>
      <c r="F1176" s="97"/>
      <c r="G1176" s="97"/>
      <c r="H1176" s="97"/>
      <c r="I1176" s="97"/>
    </row>
    <row r="1177" customFormat="false" ht="15.4" hidden="false" customHeight="true" outlineLevel="0" collapsed="false">
      <c r="A1177" s="62" t="s">
        <v>955</v>
      </c>
      <c r="B1177" s="198" t="s">
        <v>956</v>
      </c>
      <c r="C1177" s="198"/>
      <c r="D1177" s="198"/>
      <c r="E1177" s="198"/>
      <c r="F1177" s="198"/>
      <c r="G1177" s="253"/>
      <c r="H1177" s="253"/>
      <c r="I1177" s="97"/>
    </row>
    <row r="1178" customFormat="false" ht="15.4" hidden="false" customHeight="true" outlineLevel="0" collapsed="false">
      <c r="A1178" s="62"/>
      <c r="B1178" s="85"/>
      <c r="C1178" s="75"/>
      <c r="D1178" s="75"/>
      <c r="E1178" s="342"/>
      <c r="F1178" s="75"/>
      <c r="G1178" s="97"/>
      <c r="H1178" s="97"/>
      <c r="I1178" s="97"/>
    </row>
    <row r="1179" customFormat="false" ht="15.4" hidden="false" customHeight="true" outlineLevel="0" collapsed="false">
      <c r="A1179" s="62"/>
      <c r="B1179" s="198" t="s">
        <v>957</v>
      </c>
      <c r="C1179" s="198"/>
      <c r="D1179" s="198"/>
      <c r="E1179" s="198"/>
      <c r="F1179" s="198"/>
      <c r="G1179" s="194" t="s">
        <v>253</v>
      </c>
      <c r="H1179" s="194" t="s">
        <v>254</v>
      </c>
      <c r="I1179" s="97"/>
    </row>
    <row r="1180" customFormat="false" ht="15.4" hidden="false" customHeight="true" outlineLevel="0" collapsed="false">
      <c r="A1180" s="62"/>
      <c r="B1180" s="97"/>
      <c r="C1180" s="97"/>
      <c r="D1180" s="97"/>
      <c r="E1180" s="97"/>
      <c r="F1180" s="90" t="s">
        <v>958</v>
      </c>
      <c r="G1180" s="339"/>
      <c r="H1180" s="195"/>
      <c r="I1180" s="97"/>
    </row>
    <row r="1181" customFormat="false" ht="15.4" hidden="false" customHeight="true" outlineLevel="0" collapsed="false">
      <c r="A1181" s="62"/>
      <c r="B1181" s="75"/>
      <c r="C1181" s="97"/>
      <c r="D1181" s="97"/>
      <c r="E1181" s="75"/>
      <c r="F1181" s="90" t="s">
        <v>959</v>
      </c>
      <c r="G1181" s="339"/>
      <c r="H1181" s="195"/>
      <c r="I1181" s="97"/>
    </row>
    <row r="1182" customFormat="false" ht="15.4" hidden="false" customHeight="true" outlineLevel="0" collapsed="false">
      <c r="A1182" s="62"/>
      <c r="B1182" s="75"/>
      <c r="C1182" s="75"/>
      <c r="D1182" s="75"/>
      <c r="E1182" s="62"/>
      <c r="F1182" s="75"/>
      <c r="G1182" s="97"/>
      <c r="H1182" s="97"/>
      <c r="I1182" s="97"/>
    </row>
    <row r="1183" customFormat="false" ht="15.4" hidden="false" customHeight="true" outlineLevel="0" collapsed="false">
      <c r="A1183" s="62"/>
      <c r="B1183" s="193" t="s">
        <v>960</v>
      </c>
      <c r="C1183" s="193"/>
      <c r="D1183" s="193"/>
      <c r="E1183" s="193"/>
      <c r="F1183" s="193"/>
      <c r="G1183" s="194" t="s">
        <v>253</v>
      </c>
      <c r="H1183" s="194" t="s">
        <v>254</v>
      </c>
      <c r="I1183" s="97"/>
    </row>
    <row r="1184" customFormat="false" ht="15.4" hidden="false" customHeight="true" outlineLevel="0" collapsed="false">
      <c r="A1184" s="62"/>
      <c r="B1184" s="193"/>
      <c r="C1184" s="193"/>
      <c r="D1184" s="193"/>
      <c r="E1184" s="193"/>
      <c r="F1184" s="193"/>
      <c r="G1184" s="339"/>
      <c r="H1184" s="195"/>
      <c r="I1184" s="97"/>
    </row>
    <row r="1185" customFormat="false" ht="15.4" hidden="false" customHeight="true" outlineLevel="0" collapsed="false">
      <c r="A1185" s="62"/>
      <c r="B1185" s="97"/>
      <c r="C1185" s="97"/>
      <c r="D1185" s="97"/>
      <c r="E1185" s="97"/>
      <c r="F1185" s="97"/>
      <c r="G1185" s="97"/>
      <c r="H1185" s="97"/>
      <c r="I1185" s="97"/>
    </row>
    <row r="1186" customFormat="false" ht="15.4" hidden="false" customHeight="true" outlineLevel="0" collapsed="false">
      <c r="A1186" s="62"/>
      <c r="B1186" s="97"/>
      <c r="C1186" s="97"/>
      <c r="D1186" s="97"/>
      <c r="E1186" s="97"/>
      <c r="F1186" s="97"/>
      <c r="G1186" s="97"/>
      <c r="H1186" s="97"/>
      <c r="I1186" s="97"/>
    </row>
    <row r="1187" customFormat="false" ht="15.4" hidden="false" customHeight="true" outlineLevel="0" collapsed="false">
      <c r="A1187" s="62"/>
      <c r="B1187" s="97"/>
      <c r="C1187" s="97"/>
      <c r="D1187" s="97"/>
      <c r="E1187" s="97"/>
      <c r="F1187" s="97"/>
      <c r="G1187" s="97"/>
      <c r="H1187" s="97"/>
      <c r="I1187" s="97"/>
    </row>
    <row r="1188" customFormat="false" ht="15.4" hidden="false" customHeight="true" outlineLevel="0" collapsed="false">
      <c r="A1188" s="62"/>
      <c r="B1188" s="97"/>
      <c r="C1188" s="97"/>
      <c r="D1188" s="97"/>
      <c r="E1188" s="97"/>
      <c r="F1188" s="97"/>
      <c r="G1188" s="97"/>
      <c r="H1188" s="97"/>
      <c r="I1188" s="97"/>
    </row>
    <row r="1189" customFormat="false" ht="15.4" hidden="false" customHeight="true" outlineLevel="0" collapsed="false">
      <c r="A1189" s="62"/>
      <c r="B1189" s="97"/>
      <c r="C1189" s="97"/>
      <c r="D1189" s="97"/>
      <c r="E1189" s="97"/>
      <c r="F1189" s="97"/>
      <c r="G1189" s="97"/>
      <c r="H1189" s="97"/>
      <c r="I1189" s="97"/>
    </row>
    <row r="1190" customFormat="false" ht="15.4" hidden="false" customHeight="true" outlineLevel="0" collapsed="false">
      <c r="A1190" s="62"/>
      <c r="B1190" s="97"/>
      <c r="C1190" s="97"/>
      <c r="D1190" s="97"/>
      <c r="E1190" s="97"/>
      <c r="F1190" s="97"/>
      <c r="G1190" s="97"/>
      <c r="H1190" s="97"/>
      <c r="I1190" s="97"/>
    </row>
    <row r="1191" customFormat="false" ht="15.4" hidden="false" customHeight="true" outlineLevel="0" collapsed="false">
      <c r="A1191" s="62"/>
      <c r="B1191" s="97"/>
      <c r="C1191" s="97"/>
      <c r="D1191" s="97"/>
      <c r="E1191" s="97"/>
      <c r="F1191" s="97"/>
      <c r="G1191" s="97"/>
      <c r="H1191" s="97"/>
      <c r="I1191" s="97"/>
    </row>
    <row r="1192" customFormat="false" ht="15.4" hidden="false" customHeight="true" outlineLevel="0" collapsed="false">
      <c r="A1192" s="62"/>
      <c r="B1192" s="97"/>
      <c r="C1192" s="97"/>
      <c r="D1192" s="97"/>
      <c r="E1192" s="97"/>
      <c r="F1192" s="97"/>
      <c r="G1192" s="97"/>
      <c r="H1192" s="97"/>
      <c r="I1192" s="97"/>
    </row>
    <row r="1193" customFormat="false" ht="15.4" hidden="false" customHeight="true" outlineLevel="0" collapsed="false">
      <c r="A1193" s="62"/>
      <c r="B1193" s="97"/>
      <c r="C1193" s="97"/>
      <c r="D1193" s="97"/>
      <c r="E1193" s="97"/>
      <c r="F1193" s="97"/>
      <c r="G1193" s="97"/>
      <c r="H1193" s="97"/>
      <c r="I1193" s="97"/>
    </row>
    <row r="1194" customFormat="false" ht="15.4" hidden="false" customHeight="true" outlineLevel="0" collapsed="false">
      <c r="A1194" s="62"/>
      <c r="B1194" s="97"/>
      <c r="C1194" s="97"/>
      <c r="D1194" s="97"/>
      <c r="E1194" s="97"/>
      <c r="F1194" s="97"/>
      <c r="G1194" s="97"/>
      <c r="H1194" s="97"/>
      <c r="I1194" s="97"/>
    </row>
    <row r="1195" customFormat="false" ht="15.4" hidden="false" customHeight="true" outlineLevel="0" collapsed="false">
      <c r="A1195" s="62"/>
      <c r="B1195" s="97"/>
      <c r="C1195" s="97"/>
      <c r="D1195" s="97"/>
      <c r="E1195" s="97"/>
      <c r="F1195" s="97"/>
      <c r="G1195" s="97"/>
      <c r="H1195" s="97"/>
      <c r="I1195" s="97"/>
    </row>
    <row r="1196" customFormat="false" ht="15.4" hidden="false" customHeight="true" outlineLevel="0" collapsed="false">
      <c r="A1196" s="62"/>
      <c r="B1196" s="97"/>
      <c r="C1196" s="97"/>
      <c r="D1196" s="97"/>
      <c r="E1196" s="97"/>
      <c r="F1196" s="97"/>
      <c r="G1196" s="97"/>
      <c r="H1196" s="97"/>
      <c r="I1196" s="97"/>
    </row>
    <row r="1197" customFormat="false" ht="15.4" hidden="false" customHeight="true" outlineLevel="0" collapsed="false">
      <c r="A1197" s="62"/>
      <c r="B1197" s="97"/>
      <c r="C1197" s="97"/>
      <c r="D1197" s="97"/>
      <c r="E1197" s="97"/>
      <c r="F1197" s="97"/>
      <c r="G1197" s="97"/>
      <c r="H1197" s="97"/>
      <c r="I1197" s="97"/>
    </row>
    <row r="1198" customFormat="false" ht="15.4" hidden="false" customHeight="true" outlineLevel="0" collapsed="false">
      <c r="A1198" s="62"/>
      <c r="B1198" s="97"/>
      <c r="C1198" s="97"/>
      <c r="D1198" s="97"/>
      <c r="E1198" s="97"/>
      <c r="F1198" s="97"/>
      <c r="G1198" s="97"/>
      <c r="H1198" s="97"/>
      <c r="I1198" s="97"/>
    </row>
    <row r="1199" customFormat="false" ht="15.4" hidden="false" customHeight="true" outlineLevel="0" collapsed="false">
      <c r="A1199" s="62"/>
      <c r="B1199" s="97"/>
      <c r="C1199" s="97"/>
      <c r="D1199" s="97"/>
      <c r="E1199" s="97"/>
      <c r="F1199" s="97"/>
      <c r="G1199" s="97"/>
      <c r="H1199" s="97"/>
      <c r="I1199" s="97"/>
    </row>
    <row r="1200" customFormat="false" ht="15.4" hidden="false" customHeight="true" outlineLevel="0" collapsed="false">
      <c r="A1200" s="62"/>
      <c r="B1200" s="97"/>
      <c r="C1200" s="97"/>
      <c r="D1200" s="97"/>
      <c r="E1200" s="97"/>
      <c r="F1200" s="97"/>
      <c r="G1200" s="97"/>
      <c r="H1200" s="97"/>
      <c r="I1200" s="97"/>
    </row>
    <row r="1201" customFormat="false" ht="15.4" hidden="false" customHeight="true" outlineLevel="0" collapsed="false">
      <c r="A1201" s="62"/>
      <c r="B1201" s="97"/>
      <c r="C1201" s="97"/>
      <c r="D1201" s="97"/>
      <c r="E1201" s="97"/>
      <c r="F1201" s="97"/>
      <c r="G1201" s="97"/>
      <c r="H1201" s="97"/>
      <c r="I1201" s="97"/>
    </row>
    <row r="1202" customFormat="false" ht="15.4" hidden="false" customHeight="true" outlineLevel="0" collapsed="false">
      <c r="A1202" s="62"/>
      <c r="B1202" s="97"/>
      <c r="C1202" s="97"/>
      <c r="D1202" s="97"/>
      <c r="E1202" s="97"/>
      <c r="F1202" s="97"/>
      <c r="G1202" s="97"/>
      <c r="H1202" s="97"/>
      <c r="I1202" s="97"/>
    </row>
    <row r="1203" customFormat="false" ht="15.4" hidden="false" customHeight="true" outlineLevel="0" collapsed="false">
      <c r="A1203" s="62"/>
      <c r="B1203" s="97"/>
      <c r="C1203" s="97"/>
      <c r="D1203" s="97"/>
      <c r="E1203" s="97"/>
      <c r="F1203" s="97"/>
      <c r="G1203" s="97"/>
      <c r="H1203" s="97"/>
      <c r="I1203" s="97"/>
    </row>
    <row r="1204" customFormat="false" ht="15.4" hidden="false" customHeight="true" outlineLevel="0" collapsed="false">
      <c r="A1204" s="62"/>
      <c r="B1204" s="97"/>
      <c r="C1204" s="97"/>
      <c r="D1204" s="97"/>
      <c r="E1204" s="97"/>
      <c r="F1204" s="97"/>
      <c r="G1204" s="97"/>
      <c r="H1204" s="97"/>
      <c r="I1204" s="97"/>
    </row>
    <row r="1205" customFormat="false" ht="15.4" hidden="false" customHeight="true" outlineLevel="0" collapsed="false">
      <c r="A1205" s="62"/>
      <c r="B1205" s="97"/>
      <c r="C1205" s="97"/>
      <c r="D1205" s="97"/>
      <c r="E1205" s="97"/>
      <c r="F1205" s="97"/>
      <c r="G1205" s="97"/>
      <c r="H1205" s="97"/>
      <c r="I1205" s="97"/>
    </row>
    <row r="1206" customFormat="false" ht="15.4" hidden="false" customHeight="true" outlineLevel="0" collapsed="false">
      <c r="A1206" s="62"/>
      <c r="B1206" s="97"/>
      <c r="C1206" s="97"/>
      <c r="D1206" s="97"/>
      <c r="E1206" s="97"/>
      <c r="F1206" s="97"/>
      <c r="G1206" s="97"/>
      <c r="H1206" s="97"/>
      <c r="I1206" s="97"/>
    </row>
    <row r="1207" customFormat="false" ht="15.4" hidden="false" customHeight="true" outlineLevel="0" collapsed="false">
      <c r="A1207" s="62"/>
      <c r="B1207" s="97"/>
      <c r="C1207" s="97"/>
      <c r="D1207" s="97"/>
      <c r="E1207" s="97"/>
      <c r="F1207" s="97"/>
      <c r="G1207" s="97"/>
      <c r="H1207" s="97"/>
      <c r="I1207" s="97"/>
    </row>
    <row r="1208" customFormat="false" ht="15.4" hidden="false" customHeight="true" outlineLevel="0" collapsed="false">
      <c r="A1208" s="62"/>
      <c r="B1208" s="97"/>
      <c r="C1208" s="97"/>
      <c r="D1208" s="97"/>
      <c r="E1208" s="97"/>
      <c r="F1208" s="97"/>
      <c r="G1208" s="97"/>
      <c r="H1208" s="97"/>
      <c r="I1208" s="97"/>
    </row>
    <row r="1209" customFormat="false" ht="15.4" hidden="false" customHeight="true" outlineLevel="0" collapsed="false">
      <c r="A1209" s="62"/>
      <c r="B1209" s="97"/>
      <c r="C1209" s="97"/>
      <c r="D1209" s="97"/>
      <c r="E1209" s="97"/>
      <c r="F1209" s="97"/>
      <c r="G1209" s="97"/>
      <c r="H1209" s="97"/>
      <c r="I1209" s="97"/>
    </row>
    <row r="1210" customFormat="false" ht="15.4" hidden="false" customHeight="true" outlineLevel="0" collapsed="false">
      <c r="A1210" s="62"/>
      <c r="B1210" s="97"/>
      <c r="C1210" s="97"/>
      <c r="D1210" s="97"/>
      <c r="E1210" s="97"/>
      <c r="F1210" s="97"/>
      <c r="G1210" s="97"/>
      <c r="H1210" s="97"/>
      <c r="I1210" s="97"/>
    </row>
  </sheetData>
  <mergeCells count="776">
    <mergeCell ref="A1:I1"/>
    <mergeCell ref="A3:B3"/>
    <mergeCell ref="A5:B5"/>
    <mergeCell ref="F7:G7"/>
    <mergeCell ref="A13:C13"/>
    <mergeCell ref="A14:D14"/>
    <mergeCell ref="A15:D15"/>
    <mergeCell ref="A16:D16"/>
    <mergeCell ref="B21:C22"/>
    <mergeCell ref="D21:D22"/>
    <mergeCell ref="E21:E22"/>
    <mergeCell ref="F21:G21"/>
    <mergeCell ref="F22:G22"/>
    <mergeCell ref="B23:C23"/>
    <mergeCell ref="F23:G23"/>
    <mergeCell ref="B24:C24"/>
    <mergeCell ref="B25:C25"/>
    <mergeCell ref="F25:G26"/>
    <mergeCell ref="H25:H26"/>
    <mergeCell ref="I25:I26"/>
    <mergeCell ref="G41:I41"/>
    <mergeCell ref="A42:C42"/>
    <mergeCell ref="A43:C43"/>
    <mergeCell ref="A44:C44"/>
    <mergeCell ref="A49:I49"/>
    <mergeCell ref="A51:A53"/>
    <mergeCell ref="D51:D53"/>
    <mergeCell ref="E51:E53"/>
    <mergeCell ref="F51:G53"/>
    <mergeCell ref="H51:H53"/>
    <mergeCell ref="A54:C54"/>
    <mergeCell ref="B55:C55"/>
    <mergeCell ref="F55:G55"/>
    <mergeCell ref="F56:G56"/>
    <mergeCell ref="F57:G57"/>
    <mergeCell ref="F58:G58"/>
    <mergeCell ref="F59:G59"/>
    <mergeCell ref="F60:G60"/>
    <mergeCell ref="F61:G61"/>
    <mergeCell ref="F62:G62"/>
    <mergeCell ref="F63:G63"/>
    <mergeCell ref="F64:G64"/>
    <mergeCell ref="A65:C65"/>
    <mergeCell ref="F65:G65"/>
    <mergeCell ref="F66:G66"/>
    <mergeCell ref="F67:G67"/>
    <mergeCell ref="F68:G68"/>
    <mergeCell ref="F69:G69"/>
    <mergeCell ref="F70:G70"/>
    <mergeCell ref="A71:C71"/>
    <mergeCell ref="F71:G71"/>
    <mergeCell ref="F72:G72"/>
    <mergeCell ref="F73:G73"/>
    <mergeCell ref="F74:G74"/>
    <mergeCell ref="F75:G75"/>
    <mergeCell ref="F76:G76"/>
    <mergeCell ref="A77:C77"/>
    <mergeCell ref="F77:G77"/>
    <mergeCell ref="F78:G78"/>
    <mergeCell ref="F79:G79"/>
    <mergeCell ref="F80:G80"/>
    <mergeCell ref="F81:G81"/>
    <mergeCell ref="F82:G82"/>
    <mergeCell ref="F83:G83"/>
    <mergeCell ref="F84:G84"/>
    <mergeCell ref="F85:G85"/>
    <mergeCell ref="F86:G86"/>
    <mergeCell ref="F87:G87"/>
    <mergeCell ref="F88:G88"/>
    <mergeCell ref="F89:G89"/>
    <mergeCell ref="F90:G90"/>
    <mergeCell ref="F91:G91"/>
    <mergeCell ref="A92:C92"/>
    <mergeCell ref="F92:G92"/>
    <mergeCell ref="F93:G93"/>
    <mergeCell ref="F95:G95"/>
    <mergeCell ref="F97:G97"/>
    <mergeCell ref="F98:G98"/>
    <mergeCell ref="C99:D99"/>
    <mergeCell ref="E99:F99"/>
    <mergeCell ref="G99:I101"/>
    <mergeCell ref="C100:C101"/>
    <mergeCell ref="D100:D101"/>
    <mergeCell ref="E100:E101"/>
    <mergeCell ref="F100:F101"/>
    <mergeCell ref="A102:B102"/>
    <mergeCell ref="G102:I102"/>
    <mergeCell ref="G103:I103"/>
    <mergeCell ref="G104:I104"/>
    <mergeCell ref="G105:I105"/>
    <mergeCell ref="G106:I106"/>
    <mergeCell ref="G107:I107"/>
    <mergeCell ref="G108:I108"/>
    <mergeCell ref="G109:I109"/>
    <mergeCell ref="G110:I110"/>
    <mergeCell ref="G111:I111"/>
    <mergeCell ref="G112:I112"/>
    <mergeCell ref="G113:I113"/>
    <mergeCell ref="G114:I114"/>
    <mergeCell ref="G115:I115"/>
    <mergeCell ref="G116:I116"/>
    <mergeCell ref="G117:I117"/>
    <mergeCell ref="G118:I118"/>
    <mergeCell ref="G119:I119"/>
    <mergeCell ref="G120:I120"/>
    <mergeCell ref="G121:I121"/>
    <mergeCell ref="G122:I122"/>
    <mergeCell ref="G123:I123"/>
    <mergeCell ref="E124:F124"/>
    <mergeCell ref="G124:I124"/>
    <mergeCell ref="G125:I125"/>
    <mergeCell ref="G126:I126"/>
    <mergeCell ref="G127:I127"/>
    <mergeCell ref="G128:I128"/>
    <mergeCell ref="G129:I129"/>
    <mergeCell ref="G130:I130"/>
    <mergeCell ref="G131:I131"/>
    <mergeCell ref="G132:I132"/>
    <mergeCell ref="G133:I133"/>
    <mergeCell ref="G134:I134"/>
    <mergeCell ref="G135:I135"/>
    <mergeCell ref="G136:I136"/>
    <mergeCell ref="G137:I137"/>
    <mergeCell ref="G138:I138"/>
    <mergeCell ref="G139:I139"/>
    <mergeCell ref="G140:I140"/>
    <mergeCell ref="G141:I141"/>
    <mergeCell ref="G142:I142"/>
    <mergeCell ref="E143:F143"/>
    <mergeCell ref="G143:I143"/>
    <mergeCell ref="D145:E145"/>
    <mergeCell ref="G145:H145"/>
    <mergeCell ref="A146:B149"/>
    <mergeCell ref="C150:D150"/>
    <mergeCell ref="G150:H150"/>
    <mergeCell ref="C151:C152"/>
    <mergeCell ref="D151:D152"/>
    <mergeCell ref="G151:G152"/>
    <mergeCell ref="H151:H152"/>
    <mergeCell ref="E153:F153"/>
    <mergeCell ref="E154:F154"/>
    <mergeCell ref="E155:F155"/>
    <mergeCell ref="E156:F156"/>
    <mergeCell ref="E157:F157"/>
    <mergeCell ref="E158:F158"/>
    <mergeCell ref="E159:F159"/>
    <mergeCell ref="E160:F160"/>
    <mergeCell ref="E161:F161"/>
    <mergeCell ref="E162:F162"/>
    <mergeCell ref="E163:F163"/>
    <mergeCell ref="E164:F164"/>
    <mergeCell ref="E165:F165"/>
    <mergeCell ref="E166:F166"/>
    <mergeCell ref="A168:B168"/>
    <mergeCell ref="A169:B169"/>
    <mergeCell ref="A170:B170"/>
    <mergeCell ref="A171:B171"/>
    <mergeCell ref="A172:B172"/>
    <mergeCell ref="A173:B173"/>
    <mergeCell ref="F173:H173"/>
    <mergeCell ref="A174:B174"/>
    <mergeCell ref="F174:H176"/>
    <mergeCell ref="A175:B175"/>
    <mergeCell ref="A176:B176"/>
    <mergeCell ref="A177:B177"/>
    <mergeCell ref="A192:C192"/>
    <mergeCell ref="A197:C197"/>
    <mergeCell ref="B198:F199"/>
    <mergeCell ref="B200:F201"/>
    <mergeCell ref="B202:H202"/>
    <mergeCell ref="B204:F205"/>
    <mergeCell ref="A207:C207"/>
    <mergeCell ref="B208:G208"/>
    <mergeCell ref="B211:F212"/>
    <mergeCell ref="G211:G212"/>
    <mergeCell ref="H211:H212"/>
    <mergeCell ref="B213:F214"/>
    <mergeCell ref="G213:G214"/>
    <mergeCell ref="H213:H214"/>
    <mergeCell ref="B215:F216"/>
    <mergeCell ref="G215:G216"/>
    <mergeCell ref="H215:H216"/>
    <mergeCell ref="B217:F217"/>
    <mergeCell ref="B219:F220"/>
    <mergeCell ref="B222:F222"/>
    <mergeCell ref="E223:F223"/>
    <mergeCell ref="E224:F224"/>
    <mergeCell ref="B226:F226"/>
    <mergeCell ref="A228:D228"/>
    <mergeCell ref="A249:I249"/>
    <mergeCell ref="A251:C251"/>
    <mergeCell ref="G253:I253"/>
    <mergeCell ref="H254:I254"/>
    <mergeCell ref="A255:B255"/>
    <mergeCell ref="H256:I256"/>
    <mergeCell ref="H257:I257"/>
    <mergeCell ref="H258:I258"/>
    <mergeCell ref="H259:I259"/>
    <mergeCell ref="H260:I260"/>
    <mergeCell ref="H261:I261"/>
    <mergeCell ref="H262:I262"/>
    <mergeCell ref="H263:I263"/>
    <mergeCell ref="H264:I264"/>
    <mergeCell ref="H265:I265"/>
    <mergeCell ref="H266:I266"/>
    <mergeCell ref="H267:I267"/>
    <mergeCell ref="A268:B268"/>
    <mergeCell ref="H268:I268"/>
    <mergeCell ref="H269:I269"/>
    <mergeCell ref="H270:I270"/>
    <mergeCell ref="H271:I271"/>
    <mergeCell ref="H272:I272"/>
    <mergeCell ref="H273:I273"/>
    <mergeCell ref="H274:I274"/>
    <mergeCell ref="A275:B275"/>
    <mergeCell ref="H275:I275"/>
    <mergeCell ref="H276:I276"/>
    <mergeCell ref="H277:I277"/>
    <mergeCell ref="H278:I278"/>
    <mergeCell ref="H279:I279"/>
    <mergeCell ref="H280:I280"/>
    <mergeCell ref="H281:I281"/>
    <mergeCell ref="H282:I282"/>
    <mergeCell ref="A283:B283"/>
    <mergeCell ref="H283:I283"/>
    <mergeCell ref="H284:I284"/>
    <mergeCell ref="H285:I285"/>
    <mergeCell ref="H286:I286"/>
    <mergeCell ref="H287:I287"/>
    <mergeCell ref="A288:B288"/>
    <mergeCell ref="H288:I288"/>
    <mergeCell ref="A289:B289"/>
    <mergeCell ref="H289:I289"/>
    <mergeCell ref="A295:C296"/>
    <mergeCell ref="F298:I298"/>
    <mergeCell ref="G299:I299"/>
    <mergeCell ref="A300:B300"/>
    <mergeCell ref="G301:I301"/>
    <mergeCell ref="G302:I302"/>
    <mergeCell ref="G303:I303"/>
    <mergeCell ref="G304:I304"/>
    <mergeCell ref="G305:I305"/>
    <mergeCell ref="G306:I306"/>
    <mergeCell ref="G307:I307"/>
    <mergeCell ref="G308:I308"/>
    <mergeCell ref="G309:I309"/>
    <mergeCell ref="G310:I310"/>
    <mergeCell ref="G311:I311"/>
    <mergeCell ref="G312:I312"/>
    <mergeCell ref="G315:I315"/>
    <mergeCell ref="G316:I316"/>
    <mergeCell ref="A317:B317"/>
    <mergeCell ref="G317:I317"/>
    <mergeCell ref="G318:I318"/>
    <mergeCell ref="G319:I319"/>
    <mergeCell ref="G320:I320"/>
    <mergeCell ref="G321:I321"/>
    <mergeCell ref="G322:I322"/>
    <mergeCell ref="G323:I323"/>
    <mergeCell ref="A324:B324"/>
    <mergeCell ref="G324:I324"/>
    <mergeCell ref="G325:I325"/>
    <mergeCell ref="G326:I326"/>
    <mergeCell ref="G327:I327"/>
    <mergeCell ref="A328:B328"/>
    <mergeCell ref="G328:I328"/>
    <mergeCell ref="G329:I329"/>
    <mergeCell ref="G330:I330"/>
    <mergeCell ref="G331:I331"/>
    <mergeCell ref="G332:I332"/>
    <mergeCell ref="G333:I333"/>
    <mergeCell ref="A334:B334"/>
    <mergeCell ref="G334:I334"/>
    <mergeCell ref="G335:I335"/>
    <mergeCell ref="G336:I336"/>
    <mergeCell ref="G337:I337"/>
    <mergeCell ref="A338:B338"/>
    <mergeCell ref="G338:I338"/>
    <mergeCell ref="A342:C342"/>
    <mergeCell ref="D344:H344"/>
    <mergeCell ref="D345:H345"/>
    <mergeCell ref="D346:H346"/>
    <mergeCell ref="D347:H347"/>
    <mergeCell ref="D348:H348"/>
    <mergeCell ref="A351:C351"/>
    <mergeCell ref="E377:E378"/>
    <mergeCell ref="F377:F378"/>
    <mergeCell ref="G377:G378"/>
    <mergeCell ref="A390:C390"/>
    <mergeCell ref="E391:E392"/>
    <mergeCell ref="F391:F392"/>
    <mergeCell ref="G391:G392"/>
    <mergeCell ref="A392:D393"/>
    <mergeCell ref="H423:H424"/>
    <mergeCell ref="B430:F431"/>
    <mergeCell ref="B434:F434"/>
    <mergeCell ref="B438:F438"/>
    <mergeCell ref="A439:C439"/>
    <mergeCell ref="B441:F443"/>
    <mergeCell ref="G442:G443"/>
    <mergeCell ref="H442:H443"/>
    <mergeCell ref="B446:F447"/>
    <mergeCell ref="B450:D450"/>
    <mergeCell ref="B451:E451"/>
    <mergeCell ref="B452:E452"/>
    <mergeCell ref="B453:E453"/>
    <mergeCell ref="B454:E454"/>
    <mergeCell ref="B455:E455"/>
    <mergeCell ref="B456:E456"/>
    <mergeCell ref="B457:E457"/>
    <mergeCell ref="B459:C459"/>
    <mergeCell ref="B460:E460"/>
    <mergeCell ref="B462:D462"/>
    <mergeCell ref="B466:C466"/>
    <mergeCell ref="B467:E467"/>
    <mergeCell ref="B469:F470"/>
    <mergeCell ref="B472:F473"/>
    <mergeCell ref="B475:E475"/>
    <mergeCell ref="B477:D477"/>
    <mergeCell ref="B481:C481"/>
    <mergeCell ref="B482:F482"/>
    <mergeCell ref="B483:F484"/>
    <mergeCell ref="B486:F487"/>
    <mergeCell ref="B488:F488"/>
    <mergeCell ref="B490:F490"/>
    <mergeCell ref="B492:F493"/>
    <mergeCell ref="B494:F495"/>
    <mergeCell ref="B496:F497"/>
    <mergeCell ref="B499:F500"/>
    <mergeCell ref="A502:C502"/>
    <mergeCell ref="B503:F504"/>
    <mergeCell ref="B506:F507"/>
    <mergeCell ref="B511:F512"/>
    <mergeCell ref="A514:C514"/>
    <mergeCell ref="B515:E516"/>
    <mergeCell ref="B520:F520"/>
    <mergeCell ref="B522:F523"/>
    <mergeCell ref="B525:F526"/>
    <mergeCell ref="B527:F527"/>
    <mergeCell ref="B528:F528"/>
    <mergeCell ref="B529:F529"/>
    <mergeCell ref="B530:F530"/>
    <mergeCell ref="B532:F533"/>
    <mergeCell ref="B537:D537"/>
    <mergeCell ref="A539:B540"/>
    <mergeCell ref="C539:D540"/>
    <mergeCell ref="F539:F540"/>
    <mergeCell ref="G539:G540"/>
    <mergeCell ref="H539:H540"/>
    <mergeCell ref="I539:I540"/>
    <mergeCell ref="A541:B541"/>
    <mergeCell ref="C541:D541"/>
    <mergeCell ref="A542:B542"/>
    <mergeCell ref="C542:D542"/>
    <mergeCell ref="A543:B543"/>
    <mergeCell ref="C543:D543"/>
    <mergeCell ref="A544:B544"/>
    <mergeCell ref="C544:D544"/>
    <mergeCell ref="A545:B545"/>
    <mergeCell ref="C545:D545"/>
    <mergeCell ref="A546:B546"/>
    <mergeCell ref="C546:D546"/>
    <mergeCell ref="A547:B547"/>
    <mergeCell ref="C547:D547"/>
    <mergeCell ref="A548:B548"/>
    <mergeCell ref="C548:D548"/>
    <mergeCell ref="A549:B549"/>
    <mergeCell ref="C549:D549"/>
    <mergeCell ref="A584:I584"/>
    <mergeCell ref="A586:C586"/>
    <mergeCell ref="B588:D588"/>
    <mergeCell ref="B589:F589"/>
    <mergeCell ref="B591:F592"/>
    <mergeCell ref="B594:F595"/>
    <mergeCell ref="B597:D597"/>
    <mergeCell ref="B598:F599"/>
    <mergeCell ref="B603:F603"/>
    <mergeCell ref="B606:H606"/>
    <mergeCell ref="B608:D608"/>
    <mergeCell ref="B609:F609"/>
    <mergeCell ref="B611:F611"/>
    <mergeCell ref="B613:F613"/>
    <mergeCell ref="B616:F616"/>
    <mergeCell ref="B618:D618"/>
    <mergeCell ref="A626:C626"/>
    <mergeCell ref="B628:F629"/>
    <mergeCell ref="B630:H631"/>
    <mergeCell ref="B633:F634"/>
    <mergeCell ref="B635:H638"/>
    <mergeCell ref="A640:C640"/>
    <mergeCell ref="B642:F643"/>
    <mergeCell ref="B647:D647"/>
    <mergeCell ref="F647:G647"/>
    <mergeCell ref="F648:G648"/>
    <mergeCell ref="F649:G649"/>
    <mergeCell ref="H649:I651"/>
    <mergeCell ref="F650:G650"/>
    <mergeCell ref="F651:G651"/>
    <mergeCell ref="F652:G652"/>
    <mergeCell ref="F653:G653"/>
    <mergeCell ref="F654:G654"/>
    <mergeCell ref="F655:G655"/>
    <mergeCell ref="F656:G656"/>
    <mergeCell ref="F657:G657"/>
    <mergeCell ref="B661:F661"/>
    <mergeCell ref="B663:F664"/>
    <mergeCell ref="B665:H665"/>
    <mergeCell ref="B666:F666"/>
    <mergeCell ref="A668:C668"/>
    <mergeCell ref="B670:D670"/>
    <mergeCell ref="B671:F671"/>
    <mergeCell ref="B673:D673"/>
    <mergeCell ref="B677:E677"/>
    <mergeCell ref="F677:G677"/>
    <mergeCell ref="B679:F680"/>
    <mergeCell ref="B682:D682"/>
    <mergeCell ref="B683:F683"/>
    <mergeCell ref="B685:F686"/>
    <mergeCell ref="B688:D688"/>
    <mergeCell ref="B689:F690"/>
    <mergeCell ref="B692:D692"/>
    <mergeCell ref="C693:I693"/>
    <mergeCell ref="C694:I694"/>
    <mergeCell ref="C695:I695"/>
    <mergeCell ref="C696:I696"/>
    <mergeCell ref="B698:F698"/>
    <mergeCell ref="B699:H699"/>
    <mergeCell ref="B701:F703"/>
    <mergeCell ref="G702:G703"/>
    <mergeCell ref="H702:H703"/>
    <mergeCell ref="B705:D705"/>
    <mergeCell ref="B706:F707"/>
    <mergeCell ref="B708:F709"/>
    <mergeCell ref="B711:F713"/>
    <mergeCell ref="B715:D715"/>
    <mergeCell ref="B716:F717"/>
    <mergeCell ref="B719:F720"/>
    <mergeCell ref="B721:H722"/>
    <mergeCell ref="B724:F725"/>
    <mergeCell ref="B726:H730"/>
    <mergeCell ref="A731:C731"/>
    <mergeCell ref="B733:D733"/>
    <mergeCell ref="A736:C736"/>
    <mergeCell ref="E736:G736"/>
    <mergeCell ref="A737:C737"/>
    <mergeCell ref="E737:G737"/>
    <mergeCell ref="A738:C738"/>
    <mergeCell ref="E738:G738"/>
    <mergeCell ref="A739:C739"/>
    <mergeCell ref="E739:G739"/>
    <mergeCell ref="A740:C740"/>
    <mergeCell ref="E740:G740"/>
    <mergeCell ref="A741:C741"/>
    <mergeCell ref="E741:G743"/>
    <mergeCell ref="H741:H743"/>
    <mergeCell ref="B745:F745"/>
    <mergeCell ref="B747:F748"/>
    <mergeCell ref="B750:F751"/>
    <mergeCell ref="B753:E753"/>
    <mergeCell ref="B758:D758"/>
    <mergeCell ref="A759:E759"/>
    <mergeCell ref="B761:F762"/>
    <mergeCell ref="G761:G762"/>
    <mergeCell ref="H761:H762"/>
    <mergeCell ref="B765:F766"/>
    <mergeCell ref="G765:G766"/>
    <mergeCell ref="H765:H766"/>
    <mergeCell ref="A770:E770"/>
    <mergeCell ref="B771:F772"/>
    <mergeCell ref="G771:G772"/>
    <mergeCell ref="H771:H772"/>
    <mergeCell ref="B773:F774"/>
    <mergeCell ref="G773:G774"/>
    <mergeCell ref="H773:H774"/>
    <mergeCell ref="B776:F777"/>
    <mergeCell ref="G776:G777"/>
    <mergeCell ref="H776:H777"/>
    <mergeCell ref="B778:F779"/>
    <mergeCell ref="G778:G779"/>
    <mergeCell ref="H778:H779"/>
    <mergeCell ref="B780:F780"/>
    <mergeCell ref="A781:I781"/>
    <mergeCell ref="A783:C783"/>
    <mergeCell ref="B784:F785"/>
    <mergeCell ref="G784:I785"/>
    <mergeCell ref="B786:C786"/>
    <mergeCell ref="D786:I786"/>
    <mergeCell ref="B787:C787"/>
    <mergeCell ref="D787:I787"/>
    <mergeCell ref="B788:C788"/>
    <mergeCell ref="D788:I788"/>
    <mergeCell ref="B789:C789"/>
    <mergeCell ref="D789:I789"/>
    <mergeCell ref="B791:F792"/>
    <mergeCell ref="G791:I792"/>
    <mergeCell ref="B793:C793"/>
    <mergeCell ref="D793:I793"/>
    <mergeCell ref="B794:C794"/>
    <mergeCell ref="D794:I794"/>
    <mergeCell ref="B795:C795"/>
    <mergeCell ref="D795:I795"/>
    <mergeCell ref="B796:C796"/>
    <mergeCell ref="D796:I796"/>
    <mergeCell ref="B798:F799"/>
    <mergeCell ref="A801:E801"/>
    <mergeCell ref="B802:F803"/>
    <mergeCell ref="B804:F805"/>
    <mergeCell ref="B806:F806"/>
    <mergeCell ref="C807:F807"/>
    <mergeCell ref="C808:F808"/>
    <mergeCell ref="B810:F811"/>
    <mergeCell ref="B812:F812"/>
    <mergeCell ref="A817:C817"/>
    <mergeCell ref="B819:F819"/>
    <mergeCell ref="B820:F820"/>
    <mergeCell ref="B821:F821"/>
    <mergeCell ref="B822:F823"/>
    <mergeCell ref="G822:G823"/>
    <mergeCell ref="H822:H823"/>
    <mergeCell ref="B824:F824"/>
    <mergeCell ref="B826:F827"/>
    <mergeCell ref="B828:I828"/>
    <mergeCell ref="B829:E831"/>
    <mergeCell ref="G829:G830"/>
    <mergeCell ref="H829:H830"/>
    <mergeCell ref="B832:I832"/>
    <mergeCell ref="A834:C834"/>
    <mergeCell ref="A837:F837"/>
    <mergeCell ref="A838:F838"/>
    <mergeCell ref="A839:F840"/>
    <mergeCell ref="G839:G840"/>
    <mergeCell ref="H839:H840"/>
    <mergeCell ref="A841:F841"/>
    <mergeCell ref="A842:F842"/>
    <mergeCell ref="A843:F846"/>
    <mergeCell ref="G843:G846"/>
    <mergeCell ref="H843:H846"/>
    <mergeCell ref="A847:F848"/>
    <mergeCell ref="G847:G848"/>
    <mergeCell ref="H847:H848"/>
    <mergeCell ref="B849:H849"/>
    <mergeCell ref="A851:C851"/>
    <mergeCell ref="G852:G853"/>
    <mergeCell ref="H852:H853"/>
    <mergeCell ref="A853:F853"/>
    <mergeCell ref="A854:A859"/>
    <mergeCell ref="B854:F854"/>
    <mergeCell ref="B855:F857"/>
    <mergeCell ref="G855:G857"/>
    <mergeCell ref="H855:H857"/>
    <mergeCell ref="B858:F859"/>
    <mergeCell ref="G858:G859"/>
    <mergeCell ref="H858:H859"/>
    <mergeCell ref="A860:A861"/>
    <mergeCell ref="B860:F861"/>
    <mergeCell ref="G860:G861"/>
    <mergeCell ref="H860:H861"/>
    <mergeCell ref="B866:F867"/>
    <mergeCell ref="A872:C872"/>
    <mergeCell ref="B874:F874"/>
    <mergeCell ref="B875:F875"/>
    <mergeCell ref="B876:F876"/>
    <mergeCell ref="B880:F880"/>
    <mergeCell ref="B881:H881"/>
    <mergeCell ref="B882:F882"/>
    <mergeCell ref="B883:F883"/>
    <mergeCell ref="B884:F884"/>
    <mergeCell ref="A886:C886"/>
    <mergeCell ref="B888:F888"/>
    <mergeCell ref="B889:F889"/>
    <mergeCell ref="B892:F892"/>
    <mergeCell ref="B893:F893"/>
    <mergeCell ref="B894:H894"/>
    <mergeCell ref="B895:F895"/>
    <mergeCell ref="B896:F896"/>
    <mergeCell ref="B898:F899"/>
    <mergeCell ref="B903:F904"/>
    <mergeCell ref="B905:I905"/>
    <mergeCell ref="B906:F907"/>
    <mergeCell ref="B908:I908"/>
    <mergeCell ref="B909:F911"/>
    <mergeCell ref="A913:C913"/>
    <mergeCell ref="B914:F914"/>
    <mergeCell ref="B915:H915"/>
    <mergeCell ref="B918:F919"/>
    <mergeCell ref="B920:F921"/>
    <mergeCell ref="A922:C922"/>
    <mergeCell ref="B923:F924"/>
    <mergeCell ref="B926:F927"/>
    <mergeCell ref="B936:F937"/>
    <mergeCell ref="B938:F939"/>
    <mergeCell ref="B942:D942"/>
    <mergeCell ref="B944:F945"/>
    <mergeCell ref="G944:G945"/>
    <mergeCell ref="H944:H945"/>
    <mergeCell ref="B946:F947"/>
    <mergeCell ref="G946:G947"/>
    <mergeCell ref="H946:H947"/>
    <mergeCell ref="B949:E949"/>
    <mergeCell ref="B954:F954"/>
    <mergeCell ref="B955:F955"/>
    <mergeCell ref="B957:F957"/>
    <mergeCell ref="B958:F958"/>
    <mergeCell ref="A960:C960"/>
    <mergeCell ref="B961:F962"/>
    <mergeCell ref="B965:F965"/>
    <mergeCell ref="B967:F968"/>
    <mergeCell ref="B969:F969"/>
    <mergeCell ref="B972:F973"/>
    <mergeCell ref="G972:G973"/>
    <mergeCell ref="H972:H973"/>
    <mergeCell ref="A975:C975"/>
    <mergeCell ref="B976:F976"/>
    <mergeCell ref="B977:F977"/>
    <mergeCell ref="B979:F980"/>
    <mergeCell ref="B981:F981"/>
    <mergeCell ref="B983:F985"/>
    <mergeCell ref="G984:G985"/>
    <mergeCell ref="H984:H985"/>
    <mergeCell ref="B987:F988"/>
    <mergeCell ref="B989:H989"/>
    <mergeCell ref="B993:F993"/>
    <mergeCell ref="A995:C995"/>
    <mergeCell ref="A1006:C1006"/>
    <mergeCell ref="B1008:F1008"/>
    <mergeCell ref="B1011:F1012"/>
    <mergeCell ref="B1014:F1015"/>
    <mergeCell ref="A1017:I1017"/>
    <mergeCell ref="A1019:C1019"/>
    <mergeCell ref="B1021:D1021"/>
    <mergeCell ref="A1022:E1023"/>
    <mergeCell ref="F1022:H1022"/>
    <mergeCell ref="A1024:E1024"/>
    <mergeCell ref="A1025:H1025"/>
    <mergeCell ref="A1026:E1026"/>
    <mergeCell ref="A1027:H1027"/>
    <mergeCell ref="A1028:H1028"/>
    <mergeCell ref="A1029:E1029"/>
    <mergeCell ref="A1030:H1030"/>
    <mergeCell ref="A1031:E1031"/>
    <mergeCell ref="A1032:H1032"/>
    <mergeCell ref="A1033:E1033"/>
    <mergeCell ref="A1034:H1034"/>
    <mergeCell ref="A1035:H1035"/>
    <mergeCell ref="A1036:E1036"/>
    <mergeCell ref="A1037:H1037"/>
    <mergeCell ref="A1038:E1038"/>
    <mergeCell ref="A1039:H1039"/>
    <mergeCell ref="A1040:H1040"/>
    <mergeCell ref="A1041:E1041"/>
    <mergeCell ref="A1042:H1042"/>
    <mergeCell ref="B1044:D1044"/>
    <mergeCell ref="A1045:E1046"/>
    <mergeCell ref="F1045:H1045"/>
    <mergeCell ref="A1047:E1047"/>
    <mergeCell ref="A1048:H1048"/>
    <mergeCell ref="A1049:E1049"/>
    <mergeCell ref="A1050:E1050"/>
    <mergeCell ref="A1051:E1051"/>
    <mergeCell ref="A1052:H1052"/>
    <mergeCell ref="A1053:H1053"/>
    <mergeCell ref="A1054:E1054"/>
    <mergeCell ref="A1055:H1055"/>
    <mergeCell ref="A1056:E1056"/>
    <mergeCell ref="I1056:I1057"/>
    <mergeCell ref="A1057:H1057"/>
    <mergeCell ref="A1058:E1058"/>
    <mergeCell ref="B1059:D1059"/>
    <mergeCell ref="A1060:E1061"/>
    <mergeCell ref="F1060:H1060"/>
    <mergeCell ref="A1062:E1062"/>
    <mergeCell ref="A1063:H1063"/>
    <mergeCell ref="A1064:E1064"/>
    <mergeCell ref="A1065:H1065"/>
    <mergeCell ref="A1066:E1066"/>
    <mergeCell ref="B1068:D1068"/>
    <mergeCell ref="A1069:E1070"/>
    <mergeCell ref="F1069:H1069"/>
    <mergeCell ref="A1071:E1071"/>
    <mergeCell ref="A1072:H1072"/>
    <mergeCell ref="A1073:H1073"/>
    <mergeCell ref="A1074:E1074"/>
    <mergeCell ref="A1075:E1075"/>
    <mergeCell ref="A1077:C1077"/>
    <mergeCell ref="B1078:F1079"/>
    <mergeCell ref="B1081:F1082"/>
    <mergeCell ref="B1083:H1083"/>
    <mergeCell ref="A1085:C1085"/>
    <mergeCell ref="B1086:G1086"/>
    <mergeCell ref="B1095:F1096"/>
    <mergeCell ref="B1099:F1099"/>
    <mergeCell ref="B1104:F1104"/>
    <mergeCell ref="A1105:C1105"/>
    <mergeCell ref="E1105:F1105"/>
    <mergeCell ref="H1105:I1105"/>
    <mergeCell ref="H1106:I1106"/>
    <mergeCell ref="A1107:F1107"/>
    <mergeCell ref="H1107:I1107"/>
    <mergeCell ref="A1108:F1108"/>
    <mergeCell ref="H1108:I1108"/>
    <mergeCell ref="A1109:F1109"/>
    <mergeCell ref="H1109:I1109"/>
    <mergeCell ref="A1110:F1110"/>
    <mergeCell ref="H1110:I1110"/>
    <mergeCell ref="A1111:F1111"/>
    <mergeCell ref="H1111:I1111"/>
    <mergeCell ref="A1112:F1113"/>
    <mergeCell ref="H1112:I1112"/>
    <mergeCell ref="A1114:F1114"/>
    <mergeCell ref="A1115:F1115"/>
    <mergeCell ref="A1116:F1116"/>
    <mergeCell ref="A1117:F1117"/>
    <mergeCell ref="A1118:F1118"/>
    <mergeCell ref="H1118:I1118"/>
    <mergeCell ref="A1119:F1119"/>
    <mergeCell ref="A1120:F1120"/>
    <mergeCell ref="A1121:F1121"/>
    <mergeCell ref="A1122:F1122"/>
    <mergeCell ref="H1122:I1122"/>
    <mergeCell ref="A1123:F1123"/>
    <mergeCell ref="A1124:F1124"/>
    <mergeCell ref="A1125:F1125"/>
    <mergeCell ref="A1126:F1126"/>
    <mergeCell ref="H1126:I1126"/>
    <mergeCell ref="A1127:F1127"/>
    <mergeCell ref="A1128:F1128"/>
    <mergeCell ref="A1129:F1129"/>
    <mergeCell ref="A1130:F1130"/>
    <mergeCell ref="A1131:F1131"/>
    <mergeCell ref="A1132:F1132"/>
    <mergeCell ref="A1133:F1133"/>
    <mergeCell ref="A1134:F1134"/>
    <mergeCell ref="A1135:F1135"/>
    <mergeCell ref="H1135:I1135"/>
    <mergeCell ref="A1136:F1136"/>
    <mergeCell ref="A1137:F1137"/>
    <mergeCell ref="A1138:F1138"/>
    <mergeCell ref="A1139:F1139"/>
    <mergeCell ref="H1139:I1139"/>
    <mergeCell ref="A1140:F1140"/>
    <mergeCell ref="A1141:F1141"/>
    <mergeCell ref="A1142:F1142"/>
    <mergeCell ref="H1142:I1142"/>
    <mergeCell ref="A1143:F1143"/>
    <mergeCell ref="A1144:F1144"/>
    <mergeCell ref="A1145:F1145"/>
    <mergeCell ref="A1146:F1146"/>
    <mergeCell ref="A1147:F1147"/>
    <mergeCell ref="H1147:I1147"/>
    <mergeCell ref="A1148:F1148"/>
    <mergeCell ref="A1149:F1149"/>
    <mergeCell ref="A1150:F1150"/>
    <mergeCell ref="A1151:F1151"/>
    <mergeCell ref="A1152:F1152"/>
    <mergeCell ref="H1152:I1152"/>
    <mergeCell ref="A1153:F1153"/>
    <mergeCell ref="A1154:F1154"/>
    <mergeCell ref="A1155:F1155"/>
    <mergeCell ref="H1155:I1155"/>
    <mergeCell ref="A1156:F1156"/>
    <mergeCell ref="A1157:F1157"/>
    <mergeCell ref="A1158:F1158"/>
    <mergeCell ref="A1159:F1159"/>
    <mergeCell ref="H1159:I1159"/>
    <mergeCell ref="A1160:F1160"/>
    <mergeCell ref="A1161:F1161"/>
    <mergeCell ref="A1162:F1162"/>
    <mergeCell ref="H1162:I1162"/>
    <mergeCell ref="A1163:F1163"/>
    <mergeCell ref="A1164:F1164"/>
    <mergeCell ref="B1165:F1165"/>
    <mergeCell ref="B1168:F1169"/>
    <mergeCell ref="B1174:F1174"/>
    <mergeCell ref="B1177:F1177"/>
    <mergeCell ref="B1179:F1179"/>
    <mergeCell ref="B1183:F1184"/>
  </mergeCells>
  <dataValidations count="3">
    <dataValidation allowBlank="true" operator="equal" showDropDown="false" showErrorMessage="true" showInputMessage="false" sqref="F961" type="list">
      <formula1>"0,1,2"</formula1>
      <formula2>0</formula2>
    </dataValidation>
    <dataValidation allowBlank="true" operator="equal" showDropDown="false" showErrorMessage="true" showInputMessage="false" sqref="O662" type="list">
      <formula1>"Moins de 20%,Plus de 20%"</formula1>
      <formula2>0</formula2>
    </dataValidation>
    <dataValidation allowBlank="true" operator="equal" showDropDown="false" showErrorMessage="true" showInputMessage="false" sqref="E507 O661 E689 F826 E923 F965 F967 F970 D987 E1066" type="list">
      <formula1>"oui,non"</formula1>
      <formula2>0</formula2>
    </dataValidation>
  </dataValidations>
  <printOptions headings="false" gridLines="false" gridLinesSet="true" horizontalCentered="false" verticalCentered="false"/>
  <pageMargins left="0.7" right="0.7" top="0.75" bottom="0.75" header="0.3" footer="0.3"/>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&amp;CQuestionnaire IDEA version 4 - Janvier 2020</oddHeader>
    <oddFooter>&amp;CPage &amp;P</oddFooter>
  </headerFooter>
  <rowBreaks count="7" manualBreakCount="7">
    <brk id="48" man="true" max="16383" min="0"/>
    <brk id="98" man="true" max="16383" min="0"/>
    <brk id="149" man="true" max="16383" min="0"/>
    <brk id="248" man="true" max="16383" min="0"/>
    <brk id="583" man="true" max="16383" min="0"/>
    <brk id="780" man="true" max="16383" min="0"/>
    <brk id="1016" man="true" max="16383" min="0"/>
  </rowBreaks>
  <legacyDrawing r:id="rId2"/>
</worksheet>
</file>

<file path=xl/worksheets/sheet5.xml><?xml version="1.0" encoding="utf-8"?>
<worksheet xmlns="http://schemas.openxmlformats.org/spreadsheetml/2006/main" xmlns:r="http://schemas.openxmlformats.org/officeDocument/2006/relationships">
  <sheetPr filterMode="false">
    <tabColor rgb="FFFF0000"/>
    <pageSetUpPr fitToPage="false"/>
  </sheetPr>
  <dimension ref="A1:IV1362"/>
  <sheetViews>
    <sheetView showFormulas="false" showGridLines="true" showRowColHeaders="true" showZeros="true" rightToLeft="false" tabSelected="true" showOutlineSymbols="true" defaultGridColor="true" view="normal" topLeftCell="A1" colorId="64" zoomScale="70" zoomScaleNormal="70" zoomScalePageLayoutView="100" workbookViewId="0">
      <selection pane="topLeft" activeCell="B6" activeCellId="0" sqref="B6"/>
    </sheetView>
  </sheetViews>
  <sheetFormatPr defaultRowHeight="15" zeroHeight="false" outlineLevelRow="0" outlineLevelCol="0"/>
  <cols>
    <col collapsed="false" customWidth="true" hidden="false" outlineLevel="0" max="1" min="1" style="11" width="33.52"/>
    <col collapsed="false" customWidth="true" hidden="false" outlineLevel="0" max="2" min="2" style="11" width="19.12"/>
    <col collapsed="false" customWidth="true" hidden="false" outlineLevel="0" max="3" min="3" style="11" width="28.67"/>
    <col collapsed="false" customWidth="true" hidden="false" outlineLevel="0" max="4" min="4" style="11" width="18.84"/>
    <col collapsed="false" customWidth="true" hidden="false" outlineLevel="0" max="5" min="5" style="11" width="32.1"/>
    <col collapsed="false" customWidth="true" hidden="false" outlineLevel="0" max="6" min="6" style="11" width="23.82"/>
    <col collapsed="false" customWidth="true" hidden="false" outlineLevel="0" max="7" min="7" style="11" width="27.12"/>
    <col collapsed="false" customWidth="true" hidden="false" outlineLevel="0" max="8" min="8" style="11" width="22.11"/>
    <col collapsed="false" customWidth="true" hidden="false" outlineLevel="0" max="9" min="9" style="11" width="20.11"/>
    <col collapsed="false" customWidth="true" hidden="false" outlineLevel="0" max="10" min="10" style="12" width="26.53"/>
    <col collapsed="false" customWidth="true" hidden="false" outlineLevel="0" max="11" min="11" style="11" width="26.82"/>
    <col collapsed="false" customWidth="true" hidden="false" outlineLevel="0" max="12" min="12" style="11" width="15.83"/>
    <col collapsed="false" customWidth="true" hidden="false" outlineLevel="0" max="13" min="13" style="11" width="43.23"/>
    <col collapsed="false" customWidth="true" hidden="false" outlineLevel="0" max="14" min="14" style="11" width="10.69"/>
    <col collapsed="false" customWidth="true" hidden="false" outlineLevel="0" max="15" min="15" style="11" width="24.11"/>
    <col collapsed="false" customWidth="true" hidden="false" outlineLevel="0" max="16" min="16" style="11" width="23.82"/>
    <col collapsed="false" customWidth="true" hidden="false" outlineLevel="0" max="257" min="17" style="11" width="10.69"/>
    <col collapsed="false" customWidth="true" hidden="false" outlineLevel="0" max="1025" min="258" style="0" width="10.69"/>
  </cols>
  <sheetData>
    <row r="1" customFormat="false" ht="26.25" hidden="false" customHeight="true" outlineLevel="0" collapsed="false">
      <c r="A1" s="407" t="s">
        <v>961</v>
      </c>
      <c r="B1" s="407"/>
      <c r="C1" s="407"/>
      <c r="D1" s="407"/>
      <c r="E1" s="407"/>
      <c r="F1" s="407"/>
      <c r="G1" s="407"/>
      <c r="H1" s="407"/>
      <c r="I1" s="407"/>
      <c r="J1" s="407"/>
      <c r="K1" s="407"/>
      <c r="L1" s="407"/>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row>
    <row r="2" customFormat="false" ht="20.1" hidden="false" customHeight="true" outlineLevel="0" collapsed="false">
      <c r="A2" s="408"/>
      <c r="B2" s="408"/>
      <c r="C2" s="409"/>
      <c r="D2" s="409"/>
      <c r="E2" s="409"/>
      <c r="F2" s="409"/>
      <c r="G2" s="409"/>
      <c r="H2" s="410"/>
      <c r="I2" s="411"/>
      <c r="J2" s="412"/>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row>
    <row r="3" customFormat="false" ht="20.1" hidden="false" customHeight="true" outlineLevel="0" collapsed="false">
      <c r="A3" s="408"/>
      <c r="B3" s="413" t="s">
        <v>962</v>
      </c>
      <c r="E3" s="414"/>
      <c r="F3" s="409"/>
      <c r="G3" s="409"/>
      <c r="H3" s="410"/>
      <c r="I3" s="411"/>
      <c r="J3" s="412"/>
      <c r="L3" s="0" t="s">
        <v>963</v>
      </c>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row>
    <row r="4" customFormat="false" ht="20.1" hidden="false" customHeight="true" outlineLevel="0" collapsed="false">
      <c r="A4" s="408"/>
      <c r="B4" s="415"/>
      <c r="E4" s="414"/>
      <c r="F4" s="409"/>
      <c r="G4" s="409"/>
      <c r="J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row>
    <row r="5" customFormat="false" ht="20.1" hidden="false" customHeight="true" outlineLevel="0" collapsed="false">
      <c r="A5" s="14" t="s">
        <v>964</v>
      </c>
      <c r="B5" s="416" t="n">
        <v>100003</v>
      </c>
      <c r="E5" s="414"/>
      <c r="F5" s="409"/>
      <c r="G5" s="409"/>
      <c r="J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row>
    <row r="6" customFormat="false" ht="20.1" hidden="false" customHeight="true" outlineLevel="0" collapsed="false">
      <c r="A6" s="11" t="s">
        <v>965</v>
      </c>
      <c r="B6" s="415"/>
      <c r="E6" s="414"/>
      <c r="F6" s="409"/>
      <c r="G6" s="409"/>
      <c r="J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row>
    <row r="7" customFormat="false" ht="20.1" hidden="false" customHeight="true" outlineLevel="0" collapsed="false">
      <c r="B7" s="415"/>
      <c r="E7" s="414"/>
      <c r="F7" s="409"/>
      <c r="G7" s="409"/>
      <c r="J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row>
    <row r="8" customFormat="false" ht="20.1" hidden="false" customHeight="true" outlineLevel="0" collapsed="false">
      <c r="A8" s="14" t="s">
        <v>966</v>
      </c>
      <c r="B8" s="417" t="n">
        <v>43839</v>
      </c>
      <c r="E8" s="14" t="s">
        <v>967</v>
      </c>
      <c r="F8" s="418" t="n">
        <v>2019</v>
      </c>
      <c r="G8" s="409"/>
      <c r="J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row>
    <row r="9" customFormat="false" ht="20.1" hidden="false" customHeight="true" outlineLevel="0" collapsed="false">
      <c r="A9" s="408"/>
      <c r="B9" s="415"/>
      <c r="E9" s="419" t="s">
        <v>968</v>
      </c>
      <c r="F9" s="409"/>
      <c r="G9" s="409"/>
      <c r="J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row>
    <row r="10" customFormat="false" ht="20.1" hidden="false" customHeight="true" outlineLevel="0" collapsed="false">
      <c r="A10" s="408"/>
      <c r="B10" s="415"/>
      <c r="E10" s="414"/>
      <c r="F10" s="409"/>
      <c r="G10" s="409"/>
      <c r="J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row>
    <row r="11" customFormat="false" ht="20.1" hidden="false" customHeight="true" outlineLevel="0" collapsed="false">
      <c r="A11" s="408"/>
      <c r="B11" s="413" t="s">
        <v>969</v>
      </c>
      <c r="E11" s="414"/>
      <c r="F11" s="409"/>
      <c r="G11" s="409"/>
      <c r="J11" s="0"/>
      <c r="L11" s="0" t="s">
        <v>963</v>
      </c>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row>
    <row r="12" customFormat="false" ht="20.1" hidden="false" customHeight="true" outlineLevel="0" collapsed="false">
      <c r="A12" s="408"/>
      <c r="B12" s="415"/>
      <c r="E12" s="414"/>
      <c r="F12" s="409"/>
      <c r="G12" s="409"/>
      <c r="J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row>
    <row r="13" customFormat="false" ht="20.1" hidden="false" customHeight="true" outlineLevel="0" collapsed="false">
      <c r="A13" s="14" t="s">
        <v>80</v>
      </c>
      <c r="B13" s="416" t="s">
        <v>970</v>
      </c>
      <c r="C13" s="420"/>
      <c r="G13" s="421"/>
      <c r="H13" s="422" t="s">
        <v>105</v>
      </c>
      <c r="J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row>
    <row r="14" customFormat="false" ht="20.1" hidden="false" customHeight="true" outlineLevel="0" collapsed="false">
      <c r="G14" s="423"/>
      <c r="H14" s="424"/>
      <c r="I14" s="424"/>
      <c r="J14" s="424"/>
      <c r="L14" s="425"/>
      <c r="M14" s="0"/>
      <c r="N14" s="0"/>
      <c r="O14" s="0"/>
      <c r="P14" s="0"/>
      <c r="Q14" s="426"/>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row>
    <row r="15" customFormat="false" ht="20.1" hidden="false" customHeight="true" outlineLevel="0" collapsed="false">
      <c r="A15" s="14" t="s">
        <v>971</v>
      </c>
      <c r="B15" s="427" t="s">
        <v>972</v>
      </c>
      <c r="C15" s="428"/>
      <c r="E15" s="429" t="s">
        <v>973</v>
      </c>
      <c r="F15" s="417" t="s">
        <v>974</v>
      </c>
      <c r="H15" s="424"/>
      <c r="I15" s="424"/>
      <c r="J15" s="424"/>
      <c r="L15" s="426"/>
      <c r="M15" s="426"/>
      <c r="N15" s="426"/>
      <c r="O15" s="426"/>
      <c r="P15" s="426"/>
      <c r="Q15" s="426"/>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row>
    <row r="16" customFormat="false" ht="20.1" hidden="false" customHeight="true" outlineLevel="0" collapsed="false">
      <c r="B16" s="430"/>
      <c r="H16" s="424"/>
      <c r="I16" s="424"/>
      <c r="J16" s="424"/>
      <c r="L16" s="426"/>
      <c r="M16" s="426"/>
      <c r="N16" s="426"/>
      <c r="O16" s="426"/>
      <c r="P16" s="426"/>
      <c r="Q16" s="426"/>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row>
    <row r="17" customFormat="false" ht="20.1" hidden="false" customHeight="true" outlineLevel="0" collapsed="false">
      <c r="A17" s="14" t="s">
        <v>975</v>
      </c>
      <c r="B17" s="431" t="s">
        <v>976</v>
      </c>
      <c r="C17" s="431"/>
      <c r="E17" s="14" t="s">
        <v>81</v>
      </c>
      <c r="F17" s="432" t="s">
        <v>977</v>
      </c>
      <c r="H17" s="424"/>
      <c r="I17" s="424"/>
      <c r="J17" s="424"/>
      <c r="L17" s="426"/>
      <c r="M17" s="426"/>
      <c r="N17" s="426"/>
      <c r="O17" s="426"/>
      <c r="P17" s="426"/>
      <c r="Q17" s="426"/>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row>
    <row r="18" customFormat="false" ht="20.1" hidden="false" customHeight="true" outlineLevel="0" collapsed="false">
      <c r="H18" s="424"/>
      <c r="I18" s="424"/>
      <c r="J18" s="424"/>
      <c r="L18" s="426"/>
      <c r="M18" s="426"/>
      <c r="N18" s="426"/>
      <c r="O18" s="426"/>
      <c r="P18" s="426"/>
      <c r="Q18" s="426"/>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row>
    <row r="19" customFormat="false" ht="20.1" hidden="false" customHeight="true" outlineLevel="0" collapsed="false">
      <c r="A19" s="433" t="s">
        <v>978</v>
      </c>
      <c r="B19" s="434" t="s">
        <v>979</v>
      </c>
      <c r="E19" s="433" t="s">
        <v>980</v>
      </c>
      <c r="F19" s="434" t="s">
        <v>253</v>
      </c>
      <c r="H19" s="424"/>
      <c r="I19" s="424"/>
      <c r="J19" s="424"/>
      <c r="L19" s="435"/>
      <c r="M19" s="426"/>
      <c r="N19" s="426"/>
      <c r="O19" s="426"/>
      <c r="P19" s="426"/>
      <c r="Q19" s="426"/>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row>
    <row r="20" customFormat="false" ht="20.1" hidden="false" customHeight="true" outlineLevel="0" collapsed="false">
      <c r="A20" s="14"/>
      <c r="G20" s="421"/>
      <c r="H20" s="424"/>
      <c r="I20" s="424"/>
      <c r="J20" s="424"/>
      <c r="L20" s="425"/>
      <c r="M20" s="426"/>
      <c r="N20" s="426"/>
      <c r="O20" s="426"/>
      <c r="P20" s="426"/>
      <c r="Q20" s="426"/>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row>
    <row r="21" customFormat="false" ht="20.1" hidden="false" customHeight="true" outlineLevel="0" collapsed="false">
      <c r="A21" s="433" t="s">
        <v>981</v>
      </c>
      <c r="B21" s="434" t="s">
        <v>253</v>
      </c>
      <c r="E21" s="433" t="s">
        <v>982</v>
      </c>
      <c r="F21" s="434" t="s">
        <v>254</v>
      </c>
      <c r="G21" s="421"/>
      <c r="H21" s="424"/>
      <c r="I21" s="424"/>
      <c r="J21" s="424"/>
      <c r="L21" s="425"/>
      <c r="M21" s="426"/>
      <c r="N21" s="426"/>
      <c r="O21" s="426"/>
      <c r="P21" s="426"/>
      <c r="Q21" s="426"/>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row>
    <row r="22" customFormat="false" ht="20.1" hidden="false" customHeight="true" outlineLevel="0" collapsed="false">
      <c r="A22" s="14"/>
      <c r="G22" s="421"/>
      <c r="H22" s="424"/>
      <c r="I22" s="424"/>
      <c r="J22" s="424"/>
      <c r="L22" s="425"/>
      <c r="M22" s="426"/>
      <c r="N22" s="426"/>
      <c r="O22" s="426"/>
      <c r="P22" s="426"/>
      <c r="Q22" s="426"/>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row>
    <row r="23" customFormat="false" ht="20.1" hidden="false" customHeight="true" outlineLevel="0" collapsed="false">
      <c r="A23" s="14"/>
      <c r="G23" s="421"/>
      <c r="H23" s="424"/>
      <c r="I23" s="424"/>
      <c r="J23" s="424"/>
      <c r="L23" s="425"/>
      <c r="M23" s="426"/>
      <c r="N23" s="426"/>
      <c r="O23" s="426"/>
      <c r="P23" s="426"/>
      <c r="Q23" s="426"/>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row>
    <row r="24" customFormat="false" ht="20.1" hidden="false" customHeight="true" outlineLevel="0" collapsed="false">
      <c r="A24" s="14" t="s">
        <v>93</v>
      </c>
      <c r="B24" s="436" t="n">
        <f aca="false">SUM(B25:B32)</f>
        <v>77</v>
      </c>
      <c r="C24" s="437" t="s">
        <v>94</v>
      </c>
      <c r="E24" s="14" t="s">
        <v>104</v>
      </c>
      <c r="F24" s="438"/>
      <c r="G24" s="11" t="s">
        <v>94</v>
      </c>
      <c r="H24" s="424"/>
      <c r="I24" s="424"/>
      <c r="J24" s="424"/>
      <c r="L24" s="425"/>
      <c r="M24" s="426"/>
      <c r="N24" s="426"/>
      <c r="O24" s="426"/>
      <c r="P24" s="426"/>
      <c r="Q24" s="426"/>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row>
    <row r="25" customFormat="false" ht="30.75" hidden="false" customHeight="true" outlineLevel="0" collapsed="false">
      <c r="A25" s="439" t="s">
        <v>983</v>
      </c>
      <c r="B25" s="440" t="n">
        <v>76</v>
      </c>
      <c r="C25" s="441" t="s">
        <v>94</v>
      </c>
      <c r="G25" s="421"/>
      <c r="H25" s="424"/>
      <c r="I25" s="424"/>
      <c r="J25" s="424"/>
      <c r="L25" s="425"/>
      <c r="M25" s="426"/>
      <c r="N25" s="426"/>
      <c r="O25" s="426"/>
      <c r="P25" s="426"/>
      <c r="Q25" s="426"/>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row>
    <row r="26" customFormat="false" ht="20.1" hidden="false" customHeight="true" outlineLevel="0" collapsed="false">
      <c r="A26" s="442" t="s">
        <v>984</v>
      </c>
      <c r="B26" s="440"/>
      <c r="C26" s="443" t="s">
        <v>94</v>
      </c>
      <c r="G26" s="421"/>
      <c r="H26" s="424"/>
      <c r="I26" s="424"/>
      <c r="J26" s="424"/>
      <c r="L26" s="425"/>
      <c r="M26" s="426"/>
      <c r="N26" s="426"/>
      <c r="O26" s="426"/>
      <c r="P26" s="426"/>
      <c r="Q26" s="426"/>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row>
    <row r="27" customFormat="false" ht="30" hidden="false" customHeight="true" outlineLevel="0" collapsed="false">
      <c r="A27" s="444" t="s">
        <v>985</v>
      </c>
      <c r="B27" s="440" t="n">
        <v>1</v>
      </c>
      <c r="C27" s="441" t="s">
        <v>94</v>
      </c>
      <c r="G27" s="421"/>
      <c r="H27" s="424"/>
      <c r="I27" s="424"/>
      <c r="J27" s="424"/>
      <c r="L27" s="425"/>
      <c r="M27" s="426"/>
      <c r="N27" s="426"/>
      <c r="O27" s="426"/>
      <c r="P27" s="426"/>
      <c r="Q27" s="426"/>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row>
    <row r="28" customFormat="false" ht="20.1" hidden="false" customHeight="true" outlineLevel="0" collapsed="false">
      <c r="A28" s="442" t="s">
        <v>97</v>
      </c>
      <c r="B28" s="440"/>
      <c r="C28" s="443" t="s">
        <v>94</v>
      </c>
      <c r="G28" s="421"/>
      <c r="H28" s="424"/>
      <c r="I28" s="424"/>
      <c r="J28" s="424"/>
      <c r="L28" s="425"/>
      <c r="M28" s="426"/>
      <c r="N28" s="426"/>
      <c r="O28" s="426"/>
      <c r="P28" s="426"/>
      <c r="Q28" s="426"/>
      <c r="R28" s="426"/>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row>
    <row r="29" customFormat="false" ht="20.1" hidden="false" customHeight="true" outlineLevel="0" collapsed="false">
      <c r="A29" s="442" t="s">
        <v>98</v>
      </c>
      <c r="B29" s="440"/>
      <c r="C29" s="443" t="s">
        <v>94</v>
      </c>
      <c r="G29" s="421"/>
      <c r="H29" s="424"/>
      <c r="I29" s="424"/>
      <c r="J29" s="424"/>
      <c r="L29" s="425"/>
      <c r="M29" s="426"/>
      <c r="N29" s="426"/>
      <c r="O29" s="426"/>
      <c r="P29" s="426"/>
      <c r="Q29" s="426"/>
      <c r="R29" s="426"/>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row>
    <row r="30" customFormat="false" ht="20.1" hidden="false" customHeight="true" outlineLevel="0" collapsed="false">
      <c r="A30" s="442" t="s">
        <v>100</v>
      </c>
      <c r="B30" s="440"/>
      <c r="C30" s="443" t="s">
        <v>94</v>
      </c>
      <c r="J30" s="0"/>
      <c r="L30" s="426"/>
      <c r="M30" s="426"/>
      <c r="N30" s="426"/>
      <c r="O30" s="426"/>
      <c r="P30" s="426"/>
      <c r="Q30" s="426"/>
      <c r="R30" s="426"/>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row>
    <row r="31" customFormat="false" ht="20.1" hidden="false" customHeight="true" outlineLevel="0" collapsed="false">
      <c r="A31" s="439" t="s">
        <v>986</v>
      </c>
      <c r="B31" s="440"/>
      <c r="C31" s="443" t="s">
        <v>94</v>
      </c>
      <c r="D31" s="11" t="s">
        <v>987</v>
      </c>
      <c r="E31" s="445"/>
      <c r="F31" s="445"/>
      <c r="G31" s="445"/>
      <c r="J31" s="0"/>
      <c r="L31" s="426"/>
      <c r="M31" s="426"/>
      <c r="N31" s="426"/>
      <c r="O31" s="426"/>
      <c r="P31" s="426"/>
      <c r="Q31" s="426"/>
      <c r="R31" s="426"/>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row>
    <row r="32" customFormat="false" ht="30" hidden="false" customHeight="true" outlineLevel="0" collapsed="false">
      <c r="A32" s="444" t="s">
        <v>988</v>
      </c>
      <c r="B32" s="440"/>
      <c r="C32" s="441" t="s">
        <v>94</v>
      </c>
      <c r="D32" s="446" t="s">
        <v>987</v>
      </c>
      <c r="E32" s="447"/>
      <c r="F32" s="447"/>
      <c r="G32" s="447"/>
      <c r="J32" s="0"/>
      <c r="L32" s="426"/>
      <c r="M32" s="426"/>
      <c r="N32" s="426"/>
      <c r="O32" s="426"/>
      <c r="P32" s="426"/>
      <c r="Q32" s="426"/>
      <c r="R32" s="426"/>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row>
    <row r="33" customFormat="false" ht="20.1" hidden="false" customHeight="true" outlineLevel="0" collapsed="false">
      <c r="A33" s="14"/>
      <c r="B33" s="55"/>
      <c r="E33" s="422"/>
      <c r="F33" s="55"/>
      <c r="G33" s="411"/>
      <c r="L33" s="426"/>
      <c r="M33" s="426"/>
      <c r="N33" s="426"/>
      <c r="O33" s="426"/>
      <c r="P33" s="426"/>
      <c r="Q33" s="426"/>
      <c r="R33" s="426"/>
    </row>
    <row r="34" customFormat="false" ht="20.1" hidden="false" customHeight="true" outlineLevel="0" collapsed="false">
      <c r="L34" s="426"/>
      <c r="M34" s="426"/>
      <c r="N34" s="426"/>
      <c r="O34" s="426"/>
      <c r="P34" s="426"/>
      <c r="R34" s="426"/>
    </row>
    <row r="35" customFormat="false" ht="20.1" hidden="false" customHeight="true" outlineLevel="0" collapsed="false">
      <c r="B35" s="413" t="s">
        <v>989</v>
      </c>
      <c r="H35" s="448"/>
      <c r="I35" s="448"/>
      <c r="J35" s="449"/>
      <c r="L35" s="0" t="s">
        <v>963</v>
      </c>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row>
    <row r="36" customFormat="false" ht="20.1" hidden="false" customHeight="true" outlineLevel="0" collapsed="false">
      <c r="H36" s="448"/>
      <c r="I36" s="448"/>
      <c r="J36" s="449"/>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row>
    <row r="37" customFormat="false" ht="20.1" hidden="false" customHeight="true" outlineLevel="0" collapsed="false">
      <c r="A37" s="14" t="s">
        <v>107</v>
      </c>
      <c r="B37" s="450" t="n">
        <v>2</v>
      </c>
      <c r="H37" s="448"/>
      <c r="I37" s="448"/>
      <c r="J37" s="449"/>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row>
    <row r="38" customFormat="false" ht="20.25" hidden="false" customHeight="true" outlineLevel="0" collapsed="false">
      <c r="A38" s="451" t="s">
        <v>990</v>
      </c>
      <c r="B38" s="451"/>
      <c r="C38" s="450" t="n">
        <v>1</v>
      </c>
      <c r="E38" s="14" t="s">
        <v>991</v>
      </c>
      <c r="F38" s="450" t="s">
        <v>114</v>
      </c>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row>
    <row r="39" customFormat="false" ht="19.5" hidden="false" customHeight="true" outlineLevel="0" collapsed="false">
      <c r="A39" s="451" t="s">
        <v>992</v>
      </c>
      <c r="B39" s="451"/>
      <c r="C39" s="450" t="n">
        <v>1</v>
      </c>
      <c r="E39" s="409"/>
      <c r="F39" s="409"/>
      <c r="G39" s="409"/>
      <c r="J39" s="0"/>
      <c r="L39" s="0"/>
      <c r="M39" s="0"/>
      <c r="N39" s="0"/>
      <c r="O39" s="426"/>
      <c r="P39" s="0"/>
      <c r="Q39" s="0"/>
      <c r="R39" s="426"/>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row>
    <row r="40" customFormat="false" ht="20.1" hidden="false" customHeight="true" outlineLevel="0" collapsed="false">
      <c r="A40" s="451" t="s">
        <v>993</v>
      </c>
      <c r="B40" s="451"/>
      <c r="C40" s="450"/>
      <c r="E40" s="409"/>
      <c r="F40" s="409"/>
      <c r="G40" s="409"/>
      <c r="O40" s="426"/>
      <c r="R40" s="426"/>
    </row>
    <row r="41" customFormat="false" ht="20.1" hidden="false" customHeight="true" outlineLevel="0" collapsed="false">
      <c r="E41" s="409"/>
      <c r="F41" s="409"/>
      <c r="G41" s="409"/>
      <c r="O41" s="426"/>
      <c r="R41" s="426"/>
    </row>
    <row r="42" customFormat="false" ht="20.1" hidden="false" customHeight="true" outlineLevel="0" collapsed="false">
      <c r="A42" s="14" t="s">
        <v>116</v>
      </c>
      <c r="B42" s="450"/>
      <c r="C42" s="452" t="s">
        <v>739</v>
      </c>
      <c r="D42" s="453"/>
      <c r="E42" s="453"/>
      <c r="F42" s="453"/>
      <c r="G42" s="453"/>
      <c r="O42" s="426"/>
      <c r="R42" s="426"/>
    </row>
    <row r="43" customFormat="false" ht="20.1" hidden="false" customHeight="true" outlineLevel="0" collapsed="false">
      <c r="E43" s="409"/>
      <c r="F43" s="409"/>
      <c r="G43" s="409"/>
      <c r="O43" s="426"/>
      <c r="R43" s="426"/>
    </row>
    <row r="44" customFormat="false" ht="20.1" hidden="false" customHeight="true" outlineLevel="0" collapsed="false">
      <c r="B44" s="413" t="s">
        <v>994</v>
      </c>
      <c r="E44" s="409"/>
      <c r="G44" s="409"/>
      <c r="I44" s="411"/>
      <c r="J44" s="412"/>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row>
    <row r="45" customFormat="false" ht="20.1" hidden="false" customHeight="true" outlineLevel="0" collapsed="false">
      <c r="B45" s="413"/>
      <c r="E45" s="409"/>
      <c r="G45" s="409"/>
      <c r="I45" s="411"/>
      <c r="J45" s="412"/>
      <c r="L45" s="0"/>
      <c r="M45" s="0"/>
      <c r="N45" s="0"/>
      <c r="O45" s="0"/>
      <c r="P45" s="0"/>
      <c r="Q45" s="54"/>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row>
    <row r="46" customFormat="false" ht="20.1" hidden="false" customHeight="true" outlineLevel="0" collapsed="false">
      <c r="A46" s="454" t="s">
        <v>995</v>
      </c>
      <c r="B46" s="455"/>
      <c r="C46" s="456"/>
      <c r="D46" s="456"/>
      <c r="E46" s="456"/>
      <c r="F46" s="456"/>
      <c r="G46" s="456"/>
      <c r="H46" s="457"/>
      <c r="I46" s="457"/>
      <c r="J46" s="457"/>
      <c r="L46" s="0"/>
      <c r="M46" s="0"/>
      <c r="N46" s="0"/>
      <c r="O46" s="0"/>
      <c r="P46" s="0"/>
      <c r="Q46" s="54"/>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row>
    <row r="47" customFormat="false" ht="20.1" hidden="false" customHeight="true" outlineLevel="0" collapsed="false">
      <c r="A47" s="410"/>
      <c r="B47" s="410"/>
      <c r="C47" s="458"/>
      <c r="D47" s="456"/>
      <c r="E47" s="456"/>
      <c r="F47" s="456"/>
      <c r="G47" s="456"/>
      <c r="H47" s="456"/>
      <c r="I47" s="456"/>
      <c r="J47" s="459"/>
      <c r="L47" s="0" t="s">
        <v>996</v>
      </c>
      <c r="M47" s="0"/>
      <c r="N47" s="0"/>
      <c r="O47" s="0"/>
      <c r="P47" s="0"/>
      <c r="Q47" s="54"/>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row>
    <row r="48" customFormat="false" ht="48.75" hidden="false" customHeight="true" outlineLevel="0" collapsed="false">
      <c r="A48" s="460" t="s">
        <v>997</v>
      </c>
      <c r="B48" s="461" t="s">
        <v>998</v>
      </c>
      <c r="C48" s="461"/>
      <c r="D48" s="462" t="s">
        <v>999</v>
      </c>
      <c r="E48" s="463" t="s">
        <v>1000</v>
      </c>
      <c r="F48" s="463"/>
      <c r="G48" s="464" t="s">
        <v>124</v>
      </c>
      <c r="H48" s="465" t="s">
        <v>1001</v>
      </c>
      <c r="I48" s="466" t="s">
        <v>1002</v>
      </c>
      <c r="J48" s="467" t="s">
        <v>1003</v>
      </c>
      <c r="K48" s="0"/>
      <c r="L48" s="0"/>
      <c r="M48" s="0"/>
      <c r="N48" s="0"/>
      <c r="O48" s="0"/>
      <c r="P48" s="54"/>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row>
    <row r="49" customFormat="false" ht="37.5" hidden="false" customHeight="true" outlineLevel="0" collapsed="false">
      <c r="A49" s="460"/>
      <c r="B49" s="461"/>
      <c r="C49" s="461"/>
      <c r="D49" s="462"/>
      <c r="E49" s="468" t="s">
        <v>1004</v>
      </c>
      <c r="F49" s="469" t="s">
        <v>1005</v>
      </c>
      <c r="G49" s="464"/>
      <c r="H49" s="465"/>
      <c r="I49" s="466"/>
      <c r="J49" s="467"/>
      <c r="K49" s="0"/>
      <c r="L49" s="0"/>
      <c r="M49" s="0"/>
      <c r="N49" s="0"/>
      <c r="O49" s="0"/>
      <c r="P49" s="54"/>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row>
    <row r="50" customFormat="false" ht="20.1" hidden="false" customHeight="true" outlineLevel="0" collapsed="false">
      <c r="A50" s="470" t="s">
        <v>1006</v>
      </c>
      <c r="B50" s="471"/>
      <c r="C50" s="472"/>
      <c r="D50" s="473"/>
      <c r="E50" s="474"/>
      <c r="F50" s="475"/>
      <c r="G50" s="476" t="s">
        <v>1007</v>
      </c>
      <c r="H50" s="477" t="s">
        <v>1007</v>
      </c>
      <c r="I50" s="478" t="s">
        <v>1008</v>
      </c>
      <c r="J50" s="479" t="n">
        <f aca="false">SUM(J51:J60)</f>
        <v>0</v>
      </c>
      <c r="K50" s="0"/>
      <c r="L50" s="0"/>
      <c r="M50" s="0"/>
      <c r="N50" s="0"/>
      <c r="O50" s="0"/>
      <c r="P50" s="5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row>
    <row r="51" customFormat="false" ht="20.1" hidden="false" customHeight="true" outlineLevel="0" collapsed="false">
      <c r="A51" s="480" t="s">
        <v>1009</v>
      </c>
      <c r="B51" s="481" t="s">
        <v>4</v>
      </c>
      <c r="C51" s="481"/>
      <c r="D51" s="482"/>
      <c r="E51" s="483"/>
      <c r="F51" s="484"/>
      <c r="G51" s="485"/>
      <c r="H51" s="486"/>
      <c r="I51" s="487" t="n">
        <v>1.05</v>
      </c>
      <c r="J51" s="488" t="n">
        <f aca="false">D51*(G51/12)*I51</f>
        <v>0</v>
      </c>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row>
    <row r="52" customFormat="false" ht="20.1" hidden="false" customHeight="true" outlineLevel="0" collapsed="false">
      <c r="A52" s="489"/>
      <c r="B52" s="490" t="s">
        <v>6</v>
      </c>
      <c r="C52" s="490"/>
      <c r="D52" s="482"/>
      <c r="E52" s="483"/>
      <c r="F52" s="484"/>
      <c r="G52" s="485"/>
      <c r="H52" s="486"/>
      <c r="I52" s="487" t="n">
        <v>0.85</v>
      </c>
      <c r="J52" s="488" t="n">
        <f aca="false">D52*(G52/12)*I52</f>
        <v>0</v>
      </c>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row>
    <row r="53" customFormat="false" ht="20.1" hidden="false" customHeight="true" outlineLevel="0" collapsed="false">
      <c r="A53" s="489"/>
      <c r="B53" s="490" t="s">
        <v>1010</v>
      </c>
      <c r="C53" s="490"/>
      <c r="D53" s="482"/>
      <c r="E53" s="483"/>
      <c r="F53" s="484"/>
      <c r="G53" s="485"/>
      <c r="H53" s="486"/>
      <c r="I53" s="487" t="n">
        <v>0.8</v>
      </c>
      <c r="J53" s="488" t="n">
        <f aca="false">D53*(G53/12)*I53</f>
        <v>0</v>
      </c>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row>
    <row r="54" customFormat="false" ht="20.1" hidden="false" customHeight="true" outlineLevel="0" collapsed="false">
      <c r="A54" s="489"/>
      <c r="B54" s="490" t="s">
        <v>1011</v>
      </c>
      <c r="C54" s="490"/>
      <c r="D54" s="482"/>
      <c r="E54" s="483"/>
      <c r="F54" s="484"/>
      <c r="G54" s="485"/>
      <c r="H54" s="486"/>
      <c r="I54" s="487" t="n">
        <v>0.2</v>
      </c>
      <c r="J54" s="488" t="n">
        <f aca="false">D54*(G54/12)*I54</f>
        <v>0</v>
      </c>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row>
    <row r="55" customFormat="false" ht="20.1" hidden="false" customHeight="true" outlineLevel="0" collapsed="false">
      <c r="A55" s="491" t="s">
        <v>1012</v>
      </c>
      <c r="B55" s="490" t="s">
        <v>1013</v>
      </c>
      <c r="C55" s="490"/>
      <c r="D55" s="482"/>
      <c r="E55" s="483"/>
      <c r="F55" s="484"/>
      <c r="G55" s="485"/>
      <c r="H55" s="486"/>
      <c r="I55" s="487" t="n">
        <v>0.3</v>
      </c>
      <c r="J55" s="488" t="n">
        <f aca="false">D55*(G55/12)*I55</f>
        <v>0</v>
      </c>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row>
    <row r="56" customFormat="false" ht="20.1" hidden="false" customHeight="true" outlineLevel="0" collapsed="false">
      <c r="A56" s="489"/>
      <c r="B56" s="492" t="s">
        <v>1014</v>
      </c>
      <c r="C56" s="492"/>
      <c r="D56" s="482"/>
      <c r="E56" s="483"/>
      <c r="F56" s="484"/>
      <c r="G56" s="485"/>
      <c r="H56" s="486"/>
      <c r="I56" s="493" t="n">
        <v>0.6</v>
      </c>
      <c r="J56" s="488" t="n">
        <f aca="false">D56*(G56/12)*I56</f>
        <v>0</v>
      </c>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row>
    <row r="57" customFormat="false" ht="20.1" hidden="false" customHeight="true" outlineLevel="0" collapsed="false">
      <c r="A57" s="489"/>
      <c r="B57" s="492" t="s">
        <v>1015</v>
      </c>
      <c r="C57" s="492"/>
      <c r="D57" s="482"/>
      <c r="E57" s="483"/>
      <c r="F57" s="484"/>
      <c r="G57" s="485"/>
      <c r="H57" s="486"/>
      <c r="I57" s="493" t="n">
        <v>0.7</v>
      </c>
      <c r="J57" s="488" t="n">
        <f aca="false">D57*(G57/12)*I57</f>
        <v>0</v>
      </c>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row>
    <row r="58" customFormat="false" ht="20.1" hidden="false" customHeight="true" outlineLevel="0" collapsed="false">
      <c r="A58" s="489"/>
      <c r="B58" s="492" t="s">
        <v>1016</v>
      </c>
      <c r="C58" s="492"/>
      <c r="D58" s="482"/>
      <c r="E58" s="483"/>
      <c r="F58" s="484"/>
      <c r="G58" s="485"/>
      <c r="H58" s="486"/>
      <c r="I58" s="493" t="n">
        <v>0.3</v>
      </c>
      <c r="J58" s="488" t="n">
        <f aca="false">D58*(G58/12)*I58</f>
        <v>0</v>
      </c>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row>
    <row r="59" customFormat="false" ht="20.1" hidden="false" customHeight="true" outlineLevel="0" collapsed="false">
      <c r="A59" s="489"/>
      <c r="B59" s="492" t="s">
        <v>1017</v>
      </c>
      <c r="C59" s="492"/>
      <c r="D59" s="482"/>
      <c r="E59" s="483"/>
      <c r="F59" s="484"/>
      <c r="G59" s="485"/>
      <c r="H59" s="486"/>
      <c r="I59" s="493" t="n">
        <v>0.6</v>
      </c>
      <c r="J59" s="488" t="n">
        <f aca="false">D59*(G59/12)*I59</f>
        <v>0</v>
      </c>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row>
    <row r="60" customFormat="false" ht="20.1" hidden="false" customHeight="true" outlineLevel="0" collapsed="false">
      <c r="A60" s="489"/>
      <c r="B60" s="492" t="s">
        <v>1018</v>
      </c>
      <c r="C60" s="492"/>
      <c r="D60" s="482"/>
      <c r="E60" s="483"/>
      <c r="F60" s="484"/>
      <c r="G60" s="485"/>
      <c r="H60" s="486"/>
      <c r="I60" s="493" t="n">
        <v>0.8</v>
      </c>
      <c r="J60" s="488" t="n">
        <f aca="false">D60*(G60/12)*I60</f>
        <v>0</v>
      </c>
      <c r="K60" s="0"/>
      <c r="L60" s="0"/>
      <c r="M60" s="0"/>
      <c r="N60" s="426"/>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row>
    <row r="61" customFormat="false" ht="20.1" hidden="false" customHeight="true" outlineLevel="0" collapsed="false">
      <c r="A61" s="470" t="s">
        <v>1019</v>
      </c>
      <c r="B61" s="494"/>
      <c r="C61" s="494"/>
      <c r="D61" s="495"/>
      <c r="E61" s="496"/>
      <c r="F61" s="497"/>
      <c r="G61" s="498"/>
      <c r="H61" s="496"/>
      <c r="I61" s="496"/>
      <c r="J61" s="499" t="n">
        <f aca="false">SUM(J62:J66)</f>
        <v>0</v>
      </c>
      <c r="K61" s="0"/>
      <c r="L61" s="0"/>
      <c r="M61" s="0"/>
      <c r="N61" s="426"/>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row>
    <row r="62" customFormat="false" ht="20.1" hidden="false" customHeight="true" outlineLevel="0" collapsed="false">
      <c r="A62" s="489"/>
      <c r="B62" s="490" t="s">
        <v>1020</v>
      </c>
      <c r="C62" s="490"/>
      <c r="D62" s="482"/>
      <c r="E62" s="483"/>
      <c r="F62" s="484"/>
      <c r="G62" s="485"/>
      <c r="H62" s="486"/>
      <c r="I62" s="487" t="n">
        <v>0.1</v>
      </c>
      <c r="J62" s="488" t="n">
        <f aca="false">D62*(G62/12)*I62</f>
        <v>0</v>
      </c>
      <c r="K62" s="0"/>
      <c r="L62" s="0"/>
      <c r="M62" s="0"/>
      <c r="N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row>
    <row r="63" customFormat="false" ht="20.1" hidden="false" customHeight="true" outlineLevel="0" collapsed="false">
      <c r="A63" s="489"/>
      <c r="B63" s="490" t="s">
        <v>1021</v>
      </c>
      <c r="C63" s="490"/>
      <c r="D63" s="482"/>
      <c r="E63" s="483"/>
      <c r="F63" s="484"/>
      <c r="G63" s="485"/>
      <c r="H63" s="486"/>
      <c r="I63" s="487" t="n">
        <v>0.1</v>
      </c>
      <c r="J63" s="488" t="n">
        <f aca="false">D63*(G63/12)*I63</f>
        <v>0</v>
      </c>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row>
    <row r="64" customFormat="false" ht="20.1" hidden="false" customHeight="true" outlineLevel="0" collapsed="false">
      <c r="A64" s="489"/>
      <c r="B64" s="490" t="s">
        <v>1022</v>
      </c>
      <c r="C64" s="490"/>
      <c r="D64" s="482"/>
      <c r="E64" s="483"/>
      <c r="F64" s="484"/>
      <c r="G64" s="485"/>
      <c r="H64" s="486"/>
      <c r="I64" s="487" t="n">
        <v>0.05</v>
      </c>
      <c r="J64" s="488" t="n">
        <f aca="false">D64*(G64/12)*I64</f>
        <v>0</v>
      </c>
      <c r="K64" s="0"/>
      <c r="L64" s="0"/>
      <c r="M64" s="0"/>
      <c r="N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row>
    <row r="65" customFormat="false" ht="20.1" hidden="false" customHeight="true" outlineLevel="0" collapsed="false">
      <c r="A65" s="489"/>
      <c r="B65" s="490" t="s">
        <v>1023</v>
      </c>
      <c r="C65" s="490"/>
      <c r="D65" s="482"/>
      <c r="E65" s="483"/>
      <c r="F65" s="484"/>
      <c r="G65" s="485"/>
      <c r="H65" s="486"/>
      <c r="I65" s="487" t="n">
        <v>0.1</v>
      </c>
      <c r="J65" s="488" t="n">
        <f aca="false">D65*(G65/12)*I65</f>
        <v>0</v>
      </c>
      <c r="K65" s="0"/>
      <c r="L65" s="0"/>
      <c r="M65" s="0"/>
      <c r="N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row>
    <row r="66" customFormat="false" ht="20.1" hidden="false" customHeight="true" outlineLevel="0" collapsed="false">
      <c r="A66" s="489"/>
      <c r="B66" s="490" t="s">
        <v>1024</v>
      </c>
      <c r="C66" s="490"/>
      <c r="D66" s="482"/>
      <c r="E66" s="483"/>
      <c r="F66" s="484"/>
      <c r="G66" s="485"/>
      <c r="H66" s="486"/>
      <c r="I66" s="487" t="n">
        <v>0.03</v>
      </c>
      <c r="J66" s="488" t="n">
        <f aca="false">D66*(G66/12)*I66</f>
        <v>0</v>
      </c>
      <c r="K66" s="0"/>
      <c r="L66" s="0"/>
      <c r="M66" s="0"/>
      <c r="N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row>
    <row r="67" customFormat="false" ht="20.1" hidden="false" customHeight="true" outlineLevel="0" collapsed="false">
      <c r="A67" s="470" t="s">
        <v>1025</v>
      </c>
      <c r="B67" s="500"/>
      <c r="C67" s="500"/>
      <c r="D67" s="501"/>
      <c r="E67" s="502"/>
      <c r="F67" s="503"/>
      <c r="G67" s="504"/>
      <c r="H67" s="502"/>
      <c r="I67" s="505"/>
      <c r="J67" s="499" t="n">
        <f aca="false">SUM(J68:J72)</f>
        <v>0</v>
      </c>
      <c r="K67" s="0"/>
      <c r="L67" s="0"/>
      <c r="M67" s="0"/>
      <c r="N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row>
    <row r="68" customFormat="false" ht="20.1" hidden="false" customHeight="true" outlineLevel="0" collapsed="false">
      <c r="A68" s="489"/>
      <c r="B68" s="490" t="s">
        <v>142</v>
      </c>
      <c r="C68" s="490"/>
      <c r="D68" s="482"/>
      <c r="E68" s="483"/>
      <c r="F68" s="484"/>
      <c r="G68" s="485"/>
      <c r="H68" s="486"/>
      <c r="I68" s="487" t="n">
        <v>0.31</v>
      </c>
      <c r="J68" s="488" t="n">
        <f aca="false">D68*(G68/12)*I68</f>
        <v>0</v>
      </c>
      <c r="K68" s="0"/>
      <c r="L68" s="0"/>
      <c r="M68" s="0"/>
      <c r="N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row>
    <row r="69" customFormat="false" ht="20.1" hidden="false" customHeight="true" outlineLevel="0" collapsed="false">
      <c r="A69" s="489"/>
      <c r="B69" s="490" t="s">
        <v>143</v>
      </c>
      <c r="C69" s="490"/>
      <c r="D69" s="482"/>
      <c r="E69" s="483"/>
      <c r="F69" s="484"/>
      <c r="G69" s="485"/>
      <c r="H69" s="486"/>
      <c r="I69" s="487" t="n">
        <v>0.26</v>
      </c>
      <c r="J69" s="488" t="n">
        <f aca="false">D69*(G69/12)*I69</f>
        <v>0</v>
      </c>
      <c r="K69" s="0"/>
      <c r="L69" s="0"/>
      <c r="M69" s="0"/>
      <c r="N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row>
    <row r="70" customFormat="false" ht="20.1" hidden="false" customHeight="true" outlineLevel="0" collapsed="false">
      <c r="A70" s="489"/>
      <c r="B70" s="490" t="s">
        <v>144</v>
      </c>
      <c r="C70" s="490"/>
      <c r="D70" s="482"/>
      <c r="E70" s="483"/>
      <c r="F70" s="484"/>
      <c r="G70" s="485"/>
      <c r="H70" s="486"/>
      <c r="I70" s="487" t="n">
        <v>0.14</v>
      </c>
      <c r="J70" s="488" t="n">
        <f aca="false">D70*(G70/12)*I70</f>
        <v>0</v>
      </c>
      <c r="K70" s="0"/>
      <c r="L70" s="0"/>
      <c r="M70" s="0"/>
      <c r="N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row>
    <row r="71" customFormat="false" ht="20.1" hidden="false" customHeight="true" outlineLevel="0" collapsed="false">
      <c r="A71" s="489"/>
      <c r="B71" s="490" t="s">
        <v>145</v>
      </c>
      <c r="C71" s="490"/>
      <c r="D71" s="482"/>
      <c r="E71" s="483"/>
      <c r="F71" s="484"/>
      <c r="G71" s="485"/>
      <c r="H71" s="486"/>
      <c r="I71" s="487" t="n">
        <v>0.055</v>
      </c>
      <c r="J71" s="488" t="n">
        <f aca="false">D71*(G71/12)*I71</f>
        <v>0</v>
      </c>
      <c r="K71" s="0"/>
      <c r="L71" s="0"/>
      <c r="M71" s="0"/>
      <c r="N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row>
    <row r="72" customFormat="false" ht="20.1" hidden="false" customHeight="true" outlineLevel="0" collapsed="false">
      <c r="A72" s="489"/>
      <c r="B72" s="490" t="s">
        <v>146</v>
      </c>
      <c r="C72" s="490"/>
      <c r="D72" s="482"/>
      <c r="E72" s="483"/>
      <c r="F72" s="484"/>
      <c r="G72" s="485"/>
      <c r="H72" s="486"/>
      <c r="I72" s="487" t="n">
        <v>0.26</v>
      </c>
      <c r="J72" s="488" t="n">
        <f aca="false">D72*(G72/12)*I72</f>
        <v>0</v>
      </c>
      <c r="K72" s="0"/>
      <c r="L72" s="0"/>
      <c r="M72" s="0"/>
      <c r="N72" s="426"/>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row>
    <row r="73" customFormat="false" ht="20.1" hidden="false" customHeight="true" outlineLevel="0" collapsed="false">
      <c r="A73" s="470" t="s">
        <v>1026</v>
      </c>
      <c r="B73" s="500"/>
      <c r="C73" s="500"/>
      <c r="D73" s="501"/>
      <c r="E73" s="502"/>
      <c r="F73" s="503"/>
      <c r="G73" s="504"/>
      <c r="H73" s="502"/>
      <c r="I73" s="505"/>
      <c r="J73" s="499" t="n">
        <f aca="false">SUM(J74:J87)</f>
        <v>60</v>
      </c>
      <c r="K73" s="0"/>
      <c r="L73" s="0"/>
      <c r="M73" s="0"/>
      <c r="N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row>
    <row r="74" customFormat="false" ht="20.1" hidden="false" customHeight="true" outlineLevel="0" collapsed="false">
      <c r="A74" s="489"/>
      <c r="B74" s="490" t="s">
        <v>148</v>
      </c>
      <c r="C74" s="490"/>
      <c r="D74" s="482"/>
      <c r="E74" s="483"/>
      <c r="F74" s="484"/>
      <c r="G74" s="485"/>
      <c r="H74" s="486"/>
      <c r="I74" s="487" t="n">
        <v>0.0096</v>
      </c>
      <c r="J74" s="488" t="n">
        <f aca="false">D74*(G74/12)*I74</f>
        <v>0</v>
      </c>
      <c r="K74" s="0"/>
      <c r="L74" s="0"/>
      <c r="M74" s="0"/>
      <c r="N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row>
    <row r="75" customFormat="false" ht="20.1" hidden="false" customHeight="true" outlineLevel="0" collapsed="false">
      <c r="A75" s="489"/>
      <c r="B75" s="490" t="s">
        <v>149</v>
      </c>
      <c r="C75" s="490"/>
      <c r="D75" s="482"/>
      <c r="E75" s="483"/>
      <c r="F75" s="484"/>
      <c r="G75" s="485"/>
      <c r="H75" s="486"/>
      <c r="I75" s="487" t="n">
        <v>0.009</v>
      </c>
      <c r="J75" s="488" t="n">
        <f aca="false">D75*(G75/12)*I75</f>
        <v>0</v>
      </c>
      <c r="K75" s="0"/>
      <c r="L75" s="0"/>
      <c r="M75" s="0"/>
      <c r="N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row>
    <row r="76" customFormat="false" ht="20.1" hidden="false" customHeight="true" outlineLevel="0" collapsed="false">
      <c r="A76" s="489"/>
      <c r="B76" s="490" t="s">
        <v>150</v>
      </c>
      <c r="C76" s="490"/>
      <c r="D76" s="482"/>
      <c r="E76" s="483"/>
      <c r="F76" s="484"/>
      <c r="G76" s="485"/>
      <c r="H76" s="486"/>
      <c r="I76" s="487" t="n">
        <v>0.008</v>
      </c>
      <c r="J76" s="488" t="n">
        <f aca="false">D76*(G76/12)*I76</f>
        <v>0</v>
      </c>
      <c r="K76" s="0"/>
      <c r="L76" s="0"/>
      <c r="M76" s="0"/>
      <c r="N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row>
    <row r="77" customFormat="false" ht="20.1" hidden="false" customHeight="true" outlineLevel="0" collapsed="false">
      <c r="A77" s="489"/>
      <c r="B77" s="490" t="s">
        <v>151</v>
      </c>
      <c r="C77" s="490"/>
      <c r="D77" s="482"/>
      <c r="E77" s="483"/>
      <c r="F77" s="484"/>
      <c r="G77" s="485"/>
      <c r="H77" s="486"/>
      <c r="I77" s="487" t="n">
        <v>0.008</v>
      </c>
      <c r="J77" s="488" t="n">
        <f aca="false">D77*(G77/12)*I77</f>
        <v>0</v>
      </c>
      <c r="K77" s="0"/>
      <c r="L77" s="0"/>
      <c r="M77" s="0"/>
      <c r="N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row>
    <row r="78" customFormat="false" ht="20.1" hidden="false" customHeight="true" outlineLevel="0" collapsed="false">
      <c r="A78" s="489"/>
      <c r="B78" s="490" t="s">
        <v>152</v>
      </c>
      <c r="C78" s="490"/>
      <c r="D78" s="482"/>
      <c r="E78" s="483"/>
      <c r="F78" s="484"/>
      <c r="G78" s="485"/>
      <c r="H78" s="486"/>
      <c r="I78" s="487" t="n">
        <v>0.01</v>
      </c>
      <c r="J78" s="488" t="n">
        <f aca="false">D78*(G78/12)*I78</f>
        <v>0</v>
      </c>
      <c r="K78" s="0"/>
      <c r="L78" s="0"/>
      <c r="M78" s="0"/>
      <c r="N78" s="426"/>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row>
    <row r="79" customFormat="false" ht="20.1" hidden="false" customHeight="true" outlineLevel="0" collapsed="false">
      <c r="A79" s="489"/>
      <c r="B79" s="490" t="s">
        <v>1027</v>
      </c>
      <c r="C79" s="490"/>
      <c r="D79" s="482"/>
      <c r="E79" s="483"/>
      <c r="F79" s="484"/>
      <c r="G79" s="485"/>
      <c r="H79" s="486"/>
      <c r="I79" s="487" t="n">
        <v>0.01</v>
      </c>
      <c r="J79" s="488" t="n">
        <f aca="false">D79*(G79/12)*I79</f>
        <v>0</v>
      </c>
      <c r="K79" s="0"/>
      <c r="L79" s="0"/>
      <c r="M79" s="0"/>
      <c r="N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row>
    <row r="80" customFormat="false" ht="20.1" hidden="false" customHeight="true" outlineLevel="0" collapsed="false">
      <c r="A80" s="489"/>
      <c r="B80" s="490" t="s">
        <v>154</v>
      </c>
      <c r="C80" s="490"/>
      <c r="D80" s="482"/>
      <c r="E80" s="483"/>
      <c r="F80" s="484"/>
      <c r="G80" s="485"/>
      <c r="H80" s="486"/>
      <c r="I80" s="487" t="n">
        <v>0.1</v>
      </c>
      <c r="J80" s="488" t="n">
        <f aca="false">D80*(G80/12)*I80</f>
        <v>0</v>
      </c>
      <c r="K80" s="0"/>
      <c r="L80" s="0"/>
      <c r="M80" s="0"/>
      <c r="N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row>
    <row r="81" customFormat="false" ht="20.1" hidden="false" customHeight="true" outlineLevel="0" collapsed="false">
      <c r="A81" s="489"/>
      <c r="B81" s="490" t="s">
        <v>155</v>
      </c>
      <c r="C81" s="490"/>
      <c r="D81" s="482"/>
      <c r="E81" s="483"/>
      <c r="F81" s="484"/>
      <c r="G81" s="485"/>
      <c r="H81" s="486"/>
      <c r="I81" s="487" t="n">
        <v>0.0131</v>
      </c>
      <c r="J81" s="488" t="n">
        <f aca="false">D81*(G81/12)*I81</f>
        <v>0</v>
      </c>
      <c r="K81" s="0"/>
      <c r="L81" s="0"/>
      <c r="M81" s="0"/>
      <c r="N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row>
    <row r="82" customFormat="false" ht="20.1" hidden="false" customHeight="true" outlineLevel="0" collapsed="false">
      <c r="A82" s="489"/>
      <c r="B82" s="490" t="s">
        <v>156</v>
      </c>
      <c r="C82" s="490"/>
      <c r="D82" s="482"/>
      <c r="E82" s="483"/>
      <c r="F82" s="484"/>
      <c r="G82" s="485"/>
      <c r="H82" s="486"/>
      <c r="I82" s="487" t="n">
        <v>0.0152</v>
      </c>
      <c r="J82" s="488" t="n">
        <f aca="false">D82*(G82/12)*I82</f>
        <v>0</v>
      </c>
      <c r="K82" s="0"/>
      <c r="L82" s="0"/>
      <c r="M82" s="0"/>
      <c r="N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row>
    <row r="83" customFormat="false" ht="20.1" hidden="false" customHeight="true" outlineLevel="0" collapsed="false">
      <c r="A83" s="489"/>
      <c r="B83" s="490" t="s">
        <v>157</v>
      </c>
      <c r="C83" s="490"/>
      <c r="D83" s="482"/>
      <c r="E83" s="483"/>
      <c r="F83" s="484"/>
      <c r="G83" s="485"/>
      <c r="H83" s="486"/>
      <c r="I83" s="487" t="n">
        <v>0.015</v>
      </c>
      <c r="J83" s="488" t="n">
        <f aca="false">D83*(G83/12)*I83</f>
        <v>0</v>
      </c>
      <c r="K83" s="0"/>
      <c r="L83" s="0"/>
      <c r="M83" s="0"/>
      <c r="N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row>
    <row r="84" customFormat="false" ht="20.1" hidden="false" customHeight="true" outlineLevel="0" collapsed="false">
      <c r="A84" s="489"/>
      <c r="B84" s="490" t="s">
        <v>158</v>
      </c>
      <c r="C84" s="490"/>
      <c r="D84" s="482"/>
      <c r="E84" s="483"/>
      <c r="F84" s="484"/>
      <c r="G84" s="485"/>
      <c r="H84" s="486"/>
      <c r="I84" s="487" t="n">
        <v>0.0055</v>
      </c>
      <c r="J84" s="488" t="n">
        <f aca="false">D84*(G84/12)*I84</f>
        <v>0</v>
      </c>
      <c r="K84" s="0"/>
      <c r="L84" s="0"/>
      <c r="M84" s="426"/>
      <c r="N84" s="426"/>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row>
    <row r="85" customFormat="false" ht="20.1" hidden="false" customHeight="true" outlineLevel="0" collapsed="false">
      <c r="A85" s="489"/>
      <c r="B85" s="490" t="s">
        <v>159</v>
      </c>
      <c r="C85" s="490"/>
      <c r="D85" s="482"/>
      <c r="E85" s="483"/>
      <c r="F85" s="484"/>
      <c r="G85" s="485"/>
      <c r="H85" s="486"/>
      <c r="I85" s="487" t="n">
        <v>0.02</v>
      </c>
      <c r="J85" s="488" t="n">
        <f aca="false">D85*(G85/12)*I85</f>
        <v>0</v>
      </c>
      <c r="K85" s="0"/>
      <c r="L85" s="0"/>
      <c r="M85" s="426"/>
      <c r="N85" s="426"/>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row>
    <row r="86" customFormat="false" ht="20.1" hidden="false" customHeight="true" outlineLevel="0" collapsed="false">
      <c r="A86" s="489"/>
      <c r="B86" s="490" t="s">
        <v>160</v>
      </c>
      <c r="C86" s="490"/>
      <c r="D86" s="482"/>
      <c r="E86" s="483"/>
      <c r="F86" s="484"/>
      <c r="G86" s="485"/>
      <c r="H86" s="486"/>
      <c r="I86" s="487" t="n">
        <v>0.02</v>
      </c>
      <c r="J86" s="488" t="n">
        <f aca="false">D86*(G86/12)*I86</f>
        <v>0</v>
      </c>
      <c r="K86" s="0"/>
      <c r="L86" s="0"/>
      <c r="M86" s="426"/>
      <c r="N86" s="426"/>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row>
    <row r="87" customFormat="false" ht="20.1" hidden="false" customHeight="true" outlineLevel="0" collapsed="false">
      <c r="A87" s="489"/>
      <c r="B87" s="490" t="s">
        <v>161</v>
      </c>
      <c r="C87" s="490"/>
      <c r="D87" s="482" t="n">
        <v>6000</v>
      </c>
      <c r="E87" s="483" t="n">
        <v>6000</v>
      </c>
      <c r="F87" s="484" t="n">
        <v>0</v>
      </c>
      <c r="G87" s="485" t="n">
        <v>6</v>
      </c>
      <c r="H87" s="486"/>
      <c r="I87" s="487" t="n">
        <v>0.02</v>
      </c>
      <c r="J87" s="488" t="n">
        <f aca="false">D87*(G87/12)*I87</f>
        <v>60</v>
      </c>
      <c r="K87" s="0"/>
      <c r="L87" s="0"/>
      <c r="M87" s="426"/>
      <c r="N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row>
    <row r="88" customFormat="false" ht="20.1" hidden="false" customHeight="true" outlineLevel="0" collapsed="false">
      <c r="A88" s="470" t="s">
        <v>1028</v>
      </c>
      <c r="B88" s="494"/>
      <c r="C88" s="494"/>
      <c r="D88" s="495"/>
      <c r="E88" s="496"/>
      <c r="F88" s="497"/>
      <c r="G88" s="498"/>
      <c r="H88" s="496"/>
      <c r="I88" s="496"/>
      <c r="J88" s="499" t="n">
        <f aca="false">SUM(J89:J92)</f>
        <v>0</v>
      </c>
      <c r="K88" s="0"/>
      <c r="L88" s="0"/>
      <c r="M88" s="426"/>
      <c r="N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row>
    <row r="89" customFormat="false" ht="20.1" hidden="false" customHeight="true" outlineLevel="0" collapsed="false">
      <c r="A89" s="506"/>
      <c r="B89" s="490" t="s">
        <v>163</v>
      </c>
      <c r="C89" s="490"/>
      <c r="D89" s="482"/>
      <c r="E89" s="483"/>
      <c r="F89" s="484"/>
      <c r="G89" s="485"/>
      <c r="H89" s="486"/>
      <c r="I89" s="493" t="n">
        <v>0.6</v>
      </c>
      <c r="J89" s="488" t="n">
        <f aca="false">D89*(G89/12)*I89</f>
        <v>0</v>
      </c>
      <c r="K89" s="0"/>
      <c r="L89" s="0"/>
      <c r="M89" s="426"/>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row>
    <row r="90" customFormat="false" ht="20.1" hidden="false" customHeight="true" outlineLevel="0" collapsed="false">
      <c r="A90" s="506"/>
      <c r="B90" s="490" t="s">
        <v>164</v>
      </c>
      <c r="C90" s="507"/>
      <c r="D90" s="482"/>
      <c r="E90" s="483"/>
      <c r="F90" s="484"/>
      <c r="G90" s="485"/>
      <c r="H90" s="486"/>
      <c r="I90" s="493" t="n">
        <v>0.6</v>
      </c>
      <c r="J90" s="488" t="n">
        <f aca="false">D90*(G90/12)*I90</f>
        <v>0</v>
      </c>
      <c r="K90" s="0"/>
      <c r="L90" s="0"/>
      <c r="M90" s="426"/>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row>
    <row r="91" customFormat="false" ht="20.1" hidden="false" customHeight="true" outlineLevel="0" collapsed="false">
      <c r="A91" s="506"/>
      <c r="B91" s="490" t="s">
        <v>1029</v>
      </c>
      <c r="C91" s="507"/>
      <c r="D91" s="482"/>
      <c r="E91" s="483"/>
      <c r="F91" s="484"/>
      <c r="G91" s="485"/>
      <c r="H91" s="486"/>
      <c r="I91" s="486"/>
      <c r="J91" s="488" t="n">
        <f aca="false">D91*(G91/12)*I91</f>
        <v>0</v>
      </c>
      <c r="K91" s="0"/>
      <c r="L91" s="0"/>
      <c r="M91" s="426"/>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row>
    <row r="92" customFormat="false" ht="20.1" hidden="false" customHeight="true" outlineLevel="0" collapsed="false">
      <c r="A92" s="506"/>
      <c r="B92" s="490" t="s">
        <v>166</v>
      </c>
      <c r="C92" s="507"/>
      <c r="D92" s="482"/>
      <c r="E92" s="483"/>
      <c r="F92" s="484"/>
      <c r="G92" s="485"/>
      <c r="H92" s="486"/>
      <c r="I92" s="486"/>
      <c r="J92" s="488" t="n">
        <f aca="false">D92*(G92/12)*I92</f>
        <v>0</v>
      </c>
      <c r="K92" s="0"/>
      <c r="L92" s="0"/>
      <c r="M92" s="0"/>
      <c r="N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row>
    <row r="93" customFormat="false" ht="20.1" hidden="false" customHeight="true" outlineLevel="0" collapsed="false">
      <c r="A93" s="470" t="s">
        <v>1030</v>
      </c>
      <c r="B93" s="508"/>
      <c r="C93" s="509"/>
      <c r="D93" s="501"/>
      <c r="E93" s="502"/>
      <c r="F93" s="503"/>
      <c r="G93" s="504"/>
      <c r="H93" s="502"/>
      <c r="I93" s="510"/>
      <c r="J93" s="499" t="n">
        <f aca="false">SUM(J94:J95)</f>
        <v>0</v>
      </c>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row>
    <row r="94" customFormat="false" ht="20.1" hidden="false" customHeight="true" outlineLevel="0" collapsed="false">
      <c r="A94" s="511" t="s">
        <v>1031</v>
      </c>
      <c r="B94" s="512" t="s">
        <v>1032</v>
      </c>
      <c r="C94" s="512"/>
      <c r="D94" s="482"/>
      <c r="E94" s="483"/>
      <c r="F94" s="484"/>
      <c r="G94" s="485"/>
      <c r="H94" s="486"/>
      <c r="I94" s="486"/>
      <c r="J94" s="513" t="n">
        <f aca="false">D94*(G94/12)*I94</f>
        <v>0</v>
      </c>
      <c r="K94" s="0"/>
      <c r="L94" s="0"/>
      <c r="M94" s="456"/>
      <c r="N94" s="411"/>
      <c r="O94" s="411"/>
      <c r="P94" s="411"/>
      <c r="Q94" s="411"/>
      <c r="R94" s="411"/>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row>
    <row r="95" s="55" customFormat="true" ht="20.1" hidden="false" customHeight="true" outlineLevel="0" collapsed="false">
      <c r="A95" s="514" t="s">
        <v>1031</v>
      </c>
      <c r="B95" s="515" t="s">
        <v>1032</v>
      </c>
      <c r="C95" s="515"/>
      <c r="D95" s="516"/>
      <c r="E95" s="517"/>
      <c r="F95" s="518"/>
      <c r="G95" s="519"/>
      <c r="H95" s="520"/>
      <c r="I95" s="520"/>
      <c r="J95" s="521" t="n">
        <f aca="false">D95*(G95/12)*I95</f>
        <v>0</v>
      </c>
      <c r="M95" s="456"/>
      <c r="N95" s="411"/>
      <c r="O95" s="411"/>
      <c r="P95" s="411"/>
      <c r="Q95" s="411"/>
      <c r="R95" s="411"/>
    </row>
    <row r="96" s="55" customFormat="true" ht="20.1" hidden="false" customHeight="true" outlineLevel="0" collapsed="false">
      <c r="A96" s="522"/>
      <c r="B96" s="523"/>
      <c r="C96" s="523"/>
      <c r="D96" s="523"/>
      <c r="E96" s="523"/>
      <c r="F96" s="524"/>
      <c r="G96" s="525"/>
      <c r="H96" s="526"/>
      <c r="I96" s="526"/>
      <c r="J96" s="526"/>
      <c r="K96" s="527"/>
      <c r="L96" s="528"/>
      <c r="M96" s="11"/>
      <c r="P96" s="456"/>
      <c r="Q96" s="411"/>
      <c r="R96" s="411"/>
      <c r="S96" s="411"/>
      <c r="T96" s="411"/>
      <c r="U96" s="411"/>
    </row>
    <row r="97" customFormat="false" ht="20.1" hidden="false" customHeight="true" outlineLevel="0" collapsed="false">
      <c r="A97" s="55"/>
      <c r="B97" s="529"/>
      <c r="C97" s="530"/>
      <c r="D97" s="531" t="s">
        <v>1033</v>
      </c>
      <c r="F97" s="532" t="s">
        <v>1034</v>
      </c>
      <c r="G97" s="0"/>
      <c r="H97" s="533" t="s">
        <v>1035</v>
      </c>
      <c r="I97" s="534" t="n">
        <f aca="false">J93+J73+J67+J61+J50+J88</f>
        <v>60</v>
      </c>
      <c r="J97" s="11"/>
      <c r="K97" s="459"/>
      <c r="L97" s="412"/>
      <c r="M97" s="535"/>
      <c r="N97" s="411"/>
      <c r="O97" s="411"/>
      <c r="P97" s="411"/>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row>
    <row r="98" customFormat="false" ht="20.1" hidden="false" customHeight="true" outlineLevel="0" collapsed="false">
      <c r="A98" s="536"/>
      <c r="B98" s="536"/>
      <c r="C98" s="54"/>
      <c r="D98" s="534" t="n">
        <f aca="false">SUM(D51:D95)</f>
        <v>6000</v>
      </c>
      <c r="E98" s="532"/>
      <c r="F98" s="534" t="n">
        <f aca="false">SUM(F51:F95)</f>
        <v>0</v>
      </c>
      <c r="G98" s="0"/>
      <c r="H98" s="537" t="s">
        <v>1036</v>
      </c>
      <c r="I98" s="534" t="n">
        <f aca="false">J50+J61+J88</f>
        <v>0</v>
      </c>
      <c r="J98" s="426"/>
      <c r="K98" s="538"/>
      <c r="L98" s="539"/>
      <c r="M98" s="539"/>
      <c r="N98" s="459"/>
      <c r="O98" s="459"/>
      <c r="P98" s="459"/>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row>
    <row r="99" customFormat="false" ht="20.1" hidden="false" customHeight="true" outlineLevel="0" collapsed="false">
      <c r="A99" s="536"/>
      <c r="B99" s="536"/>
      <c r="C99" s="54"/>
      <c r="D99" s="531" t="s">
        <v>1037</v>
      </c>
      <c r="E99" s="54"/>
      <c r="F99" s="532" t="s">
        <v>1038</v>
      </c>
      <c r="G99" s="0"/>
      <c r="H99" s="540" t="s">
        <v>1039</v>
      </c>
      <c r="I99" s="534" t="n">
        <f aca="false">J73+J67</f>
        <v>60</v>
      </c>
      <c r="J99" s="426"/>
      <c r="K99" s="457"/>
      <c r="L99" s="538"/>
      <c r="M99" s="539"/>
      <c r="N99" s="539"/>
      <c r="O99" s="410"/>
      <c r="P99" s="411"/>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row>
    <row r="100" customFormat="false" ht="20.1" hidden="false" customHeight="true" outlineLevel="0" collapsed="false">
      <c r="C100" s="456"/>
      <c r="D100" s="534" t="n">
        <f aca="false">SUM(D51:D52,D62:D63,D68,D74,D79,D90,D92)</f>
        <v>0</v>
      </c>
      <c r="E100" s="456"/>
      <c r="F100" s="534" t="n">
        <f aca="false">SUM(F51:F52,F62:F63,F68,F74,F79,F90,F92)</f>
        <v>0</v>
      </c>
      <c r="G100" s="456"/>
      <c r="H100" s="457"/>
      <c r="I100" s="0"/>
      <c r="J100" s="457"/>
      <c r="L100" s="0"/>
      <c r="M100" s="0"/>
      <c r="N100" s="457"/>
      <c r="O100" s="538"/>
      <c r="P100" s="539"/>
      <c r="Q100" s="539"/>
      <c r="R100" s="411"/>
      <c r="S100" s="411"/>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row>
    <row r="101" customFormat="false" ht="20.1" hidden="false" customHeight="true" outlineLevel="0" collapsed="false">
      <c r="C101" s="456"/>
      <c r="D101" s="456"/>
      <c r="E101" s="456"/>
      <c r="F101" s="456"/>
      <c r="G101" s="456"/>
      <c r="H101" s="457"/>
      <c r="J101" s="457"/>
      <c r="N101" s="457"/>
      <c r="O101" s="538"/>
      <c r="P101" s="539"/>
      <c r="Q101" s="539"/>
      <c r="R101" s="411"/>
      <c r="S101" s="411"/>
    </row>
    <row r="102" customFormat="false" ht="20.1" hidden="false" customHeight="true" outlineLevel="0" collapsed="false">
      <c r="A102" s="454" t="s">
        <v>1040</v>
      </c>
      <c r="B102" s="413"/>
      <c r="C102" s="456"/>
      <c r="D102" s="456"/>
      <c r="E102" s="456"/>
      <c r="F102" s="456"/>
      <c r="G102" s="456"/>
      <c r="H102" s="457"/>
      <c r="I102" s="457"/>
      <c r="J102" s="457"/>
      <c r="L102" s="0" t="s">
        <v>1041</v>
      </c>
      <c r="M102" s="0"/>
      <c r="N102" s="457"/>
      <c r="O102" s="538"/>
      <c r="P102" s="539"/>
      <c r="Q102" s="539"/>
      <c r="R102" s="411"/>
      <c r="S102" s="411"/>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row>
    <row r="103" s="457" customFormat="true" ht="20.1" hidden="false" customHeight="true" outlineLevel="0" collapsed="false">
      <c r="A103" s="456"/>
      <c r="B103" s="456"/>
      <c r="C103" s="456"/>
      <c r="D103" s="456"/>
      <c r="E103" s="456"/>
      <c r="F103" s="456"/>
      <c r="G103" s="456"/>
      <c r="H103" s="456"/>
      <c r="I103" s="411"/>
      <c r="J103" s="459"/>
      <c r="K103" s="541"/>
      <c r="L103" s="456"/>
      <c r="M103" s="456"/>
      <c r="O103" s="538"/>
      <c r="P103" s="539"/>
      <c r="Q103" s="539"/>
      <c r="R103" s="411"/>
      <c r="S103" s="411"/>
      <c r="T103" s="542"/>
      <c r="W103" s="538"/>
      <c r="X103" s="539"/>
      <c r="Y103" s="539"/>
    </row>
    <row r="104" customFormat="false" ht="20.1" hidden="false" customHeight="true" outlineLevel="0" collapsed="false">
      <c r="A104" s="543"/>
      <c r="B104" s="544"/>
      <c r="C104" s="545" t="s">
        <v>179</v>
      </c>
      <c r="D104" s="546"/>
      <c r="E104" s="546"/>
      <c r="F104" s="545" t="s">
        <v>180</v>
      </c>
      <c r="G104" s="547"/>
      <c r="H104" s="0"/>
      <c r="I104" s="0"/>
      <c r="J104" s="541"/>
      <c r="K104" s="456"/>
      <c r="L104" s="456"/>
      <c r="M104" s="539"/>
      <c r="N104" s="539"/>
      <c r="O104" s="411"/>
      <c r="P104" s="411"/>
      <c r="Q104" s="548"/>
      <c r="R104" s="0"/>
      <c r="S104" s="0"/>
      <c r="T104" s="538"/>
      <c r="U104" s="539"/>
      <c r="V104" s="539"/>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row>
    <row r="105" s="456" customFormat="true" ht="20.1" hidden="false" customHeight="true" outlineLevel="0" collapsed="false">
      <c r="A105" s="549" t="s">
        <v>1042</v>
      </c>
      <c r="B105" s="550" t="s">
        <v>182</v>
      </c>
      <c r="C105" s="551"/>
      <c r="D105" s="552" t="s">
        <v>1043</v>
      </c>
      <c r="E105" s="553" t="s">
        <v>1044</v>
      </c>
      <c r="F105" s="554"/>
      <c r="G105" s="555" t="s">
        <v>184</v>
      </c>
      <c r="J105" s="556"/>
      <c r="K105" s="459"/>
      <c r="L105" s="459"/>
      <c r="M105" s="539"/>
      <c r="N105" s="539"/>
      <c r="O105" s="411"/>
      <c r="P105" s="411"/>
      <c r="Q105" s="411"/>
      <c r="R105" s="411"/>
      <c r="S105" s="411"/>
      <c r="T105" s="457"/>
      <c r="U105" s="538"/>
      <c r="V105" s="539"/>
      <c r="W105" s="539"/>
    </row>
    <row r="106" s="459" customFormat="true" ht="20.1" hidden="false" customHeight="true" outlineLevel="0" collapsed="false">
      <c r="A106" s="549"/>
      <c r="B106" s="550" t="s">
        <v>185</v>
      </c>
      <c r="C106" s="551"/>
      <c r="D106" s="552" t="s">
        <v>1043</v>
      </c>
      <c r="E106" s="553" t="s">
        <v>1044</v>
      </c>
      <c r="F106" s="554"/>
      <c r="G106" s="555" t="s">
        <v>184</v>
      </c>
      <c r="J106" s="557"/>
      <c r="K106" s="412"/>
      <c r="L106" s="457"/>
      <c r="M106" s="558"/>
      <c r="N106" s="558"/>
      <c r="O106" s="411"/>
      <c r="P106" s="411"/>
    </row>
    <row r="107" s="456" customFormat="true" ht="20.1" hidden="false" customHeight="true" outlineLevel="0" collapsed="false">
      <c r="A107" s="549"/>
      <c r="B107" s="550" t="s">
        <v>186</v>
      </c>
      <c r="C107" s="551"/>
      <c r="D107" s="552" t="s">
        <v>1043</v>
      </c>
      <c r="E107" s="553" t="s">
        <v>1044</v>
      </c>
      <c r="F107" s="554"/>
      <c r="G107" s="555" t="s">
        <v>184</v>
      </c>
      <c r="J107" s="559"/>
      <c r="K107" s="548"/>
      <c r="L107" s="548"/>
      <c r="M107" s="558"/>
      <c r="N107" s="558"/>
      <c r="O107" s="411"/>
      <c r="P107" s="411"/>
      <c r="Q107" s="411"/>
      <c r="R107" s="411"/>
      <c r="S107" s="411"/>
      <c r="T107" s="411"/>
      <c r="U107" s="411"/>
      <c r="V107" s="411"/>
    </row>
    <row r="108" customFormat="false" ht="20.1" hidden="false" customHeight="true" outlineLevel="0" collapsed="false">
      <c r="A108" s="549"/>
      <c r="B108" s="560"/>
      <c r="C108" s="561"/>
      <c r="D108" s="562"/>
      <c r="E108" s="563"/>
      <c r="F108" s="564"/>
      <c r="G108" s="565"/>
      <c r="H108" s="0"/>
      <c r="I108" s="0"/>
      <c r="J108" s="559"/>
      <c r="K108" s="548"/>
      <c r="L108" s="548"/>
      <c r="M108" s="566"/>
      <c r="N108" s="566"/>
      <c r="O108" s="411"/>
      <c r="P108" s="411"/>
      <c r="Q108" s="411"/>
      <c r="R108" s="411"/>
      <c r="S108" s="411"/>
      <c r="T108" s="411"/>
      <c r="U108" s="411"/>
      <c r="V108" s="411"/>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row>
    <row r="109" customFormat="false" ht="20.1" hidden="false" customHeight="true" outlineLevel="0" collapsed="false">
      <c r="A109" s="567"/>
      <c r="B109" s="411"/>
      <c r="C109" s="411"/>
      <c r="D109" s="411"/>
      <c r="E109" s="411"/>
      <c r="F109" s="411"/>
      <c r="G109" s="411"/>
      <c r="H109" s="0"/>
      <c r="I109" s="0"/>
      <c r="J109" s="411"/>
      <c r="K109" s="568"/>
      <c r="L109" s="411"/>
      <c r="M109" s="548"/>
      <c r="N109" s="548"/>
      <c r="O109" s="411"/>
      <c r="P109" s="411"/>
      <c r="Q109" s="411"/>
      <c r="R109" s="569"/>
      <c r="S109" s="569"/>
      <c r="T109" s="569"/>
      <c r="U109" s="411"/>
      <c r="V109" s="411"/>
      <c r="W109" s="411"/>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row>
    <row r="110" customFormat="false" ht="48.75" hidden="false" customHeight="true" outlineLevel="0" collapsed="false">
      <c r="A110" s="570" t="s">
        <v>1045</v>
      </c>
      <c r="B110" s="571" t="s">
        <v>1046</v>
      </c>
      <c r="C110" s="571" t="s">
        <v>1047</v>
      </c>
      <c r="D110" s="572" t="s">
        <v>1048</v>
      </c>
      <c r="E110" s="573" t="s">
        <v>1049</v>
      </c>
      <c r="F110" s="0"/>
      <c r="G110" s="570" t="s">
        <v>1050</v>
      </c>
      <c r="H110" s="574" t="s">
        <v>1051</v>
      </c>
      <c r="I110" s="574" t="s">
        <v>1047</v>
      </c>
      <c r="J110" s="572" t="s">
        <v>1052</v>
      </c>
      <c r="K110" s="575" t="s">
        <v>307</v>
      </c>
      <c r="L110" s="575"/>
      <c r="M110" s="576"/>
      <c r="N110" s="576"/>
      <c r="O110" s="411"/>
      <c r="P110" s="411"/>
      <c r="Q110" s="411"/>
      <c r="R110" s="569"/>
      <c r="S110" s="569"/>
      <c r="T110" s="569"/>
      <c r="U110" s="411"/>
      <c r="V110" s="411"/>
      <c r="W110" s="411"/>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row>
    <row r="111" customFormat="false" ht="20.1" hidden="false" customHeight="true" outlineLevel="0" collapsed="false">
      <c r="A111" s="577"/>
      <c r="B111" s="578"/>
      <c r="C111" s="552" t="s">
        <v>551</v>
      </c>
      <c r="D111" s="552" t="s">
        <v>1053</v>
      </c>
      <c r="E111" s="579"/>
      <c r="F111" s="0"/>
      <c r="G111" s="577"/>
      <c r="H111" s="552"/>
      <c r="I111" s="552" t="s">
        <v>551</v>
      </c>
      <c r="J111" s="552" t="s">
        <v>1053</v>
      </c>
      <c r="K111" s="579"/>
      <c r="L111" s="579"/>
      <c r="M111" s="576"/>
      <c r="N111" s="576"/>
      <c r="O111" s="411"/>
      <c r="P111" s="411"/>
      <c r="Q111" s="411"/>
      <c r="R111" s="569"/>
      <c r="S111" s="569"/>
      <c r="T111" s="569"/>
      <c r="U111" s="411"/>
      <c r="V111" s="411"/>
      <c r="W111" s="411"/>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row>
    <row r="112" customFormat="false" ht="20.1" hidden="false" customHeight="true" outlineLevel="0" collapsed="false">
      <c r="A112" s="580" t="s">
        <v>1054</v>
      </c>
      <c r="B112" s="581"/>
      <c r="C112" s="581"/>
      <c r="D112" s="582"/>
      <c r="E112" s="583"/>
      <c r="F112" s="0"/>
      <c r="G112" s="580" t="s">
        <v>1054</v>
      </c>
      <c r="H112" s="581"/>
      <c r="I112" s="581"/>
      <c r="J112" s="581"/>
      <c r="K112" s="584"/>
      <c r="L112" s="584"/>
      <c r="M112" s="576"/>
      <c r="N112" s="576"/>
      <c r="O112" s="411"/>
      <c r="P112" s="411"/>
      <c r="Q112" s="411"/>
      <c r="R112" s="569"/>
      <c r="S112" s="569"/>
      <c r="T112" s="569"/>
      <c r="U112" s="411"/>
      <c r="V112" s="411"/>
      <c r="W112" s="411"/>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row>
    <row r="113" customFormat="false" ht="20.1" hidden="false" customHeight="true" outlineLevel="0" collapsed="false">
      <c r="A113" s="585" t="s">
        <v>1055</v>
      </c>
      <c r="B113" s="554"/>
      <c r="C113" s="554"/>
      <c r="D113" s="586" t="n">
        <f aca="false">C113*B113/1000</f>
        <v>0</v>
      </c>
      <c r="E113" s="587"/>
      <c r="F113" s="0"/>
      <c r="G113" s="585" t="s">
        <v>1055</v>
      </c>
      <c r="H113" s="483"/>
      <c r="I113" s="483"/>
      <c r="J113" s="586" t="n">
        <f aca="false">I113*H113/1000</f>
        <v>0</v>
      </c>
      <c r="K113" s="588"/>
      <c r="L113" s="588"/>
      <c r="M113" s="576"/>
      <c r="Q113" s="411"/>
      <c r="R113" s="569"/>
      <c r="S113" s="569"/>
      <c r="T113" s="569"/>
      <c r="U113" s="411"/>
      <c r="V113" s="411"/>
      <c r="W113" s="411"/>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row>
    <row r="114" customFormat="false" ht="20.1" hidden="false" customHeight="true" outlineLevel="0" collapsed="false">
      <c r="A114" s="585" t="s">
        <v>1056</v>
      </c>
      <c r="B114" s="554"/>
      <c r="C114" s="554"/>
      <c r="D114" s="586" t="n">
        <f aca="false">C114*B114/1000</f>
        <v>0</v>
      </c>
      <c r="E114" s="587"/>
      <c r="F114" s="0"/>
      <c r="G114" s="585" t="s">
        <v>1056</v>
      </c>
      <c r="H114" s="483"/>
      <c r="I114" s="483"/>
      <c r="J114" s="586" t="n">
        <f aca="false">I114*H114/1000</f>
        <v>0</v>
      </c>
      <c r="K114" s="588"/>
      <c r="L114" s="588"/>
      <c r="M114" s="576"/>
      <c r="N114" s="576"/>
      <c r="O114" s="411"/>
      <c r="P114" s="411"/>
      <c r="Q114" s="411"/>
      <c r="R114" s="569"/>
      <c r="S114" s="569"/>
      <c r="T114" s="569"/>
      <c r="U114" s="411"/>
      <c r="V114" s="411"/>
      <c r="W114" s="411"/>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row>
    <row r="115" customFormat="false" ht="20.1" hidden="false" customHeight="true" outlineLevel="0" collapsed="false">
      <c r="A115" s="585" t="s">
        <v>1057</v>
      </c>
      <c r="B115" s="554"/>
      <c r="C115" s="554"/>
      <c r="D115" s="586" t="n">
        <f aca="false">C115*B115/1000</f>
        <v>0</v>
      </c>
      <c r="E115" s="587"/>
      <c r="F115" s="0"/>
      <c r="G115" s="585" t="s">
        <v>1057</v>
      </c>
      <c r="H115" s="589"/>
      <c r="I115" s="483"/>
      <c r="J115" s="586" t="n">
        <f aca="false">I115*H115/1000</f>
        <v>0</v>
      </c>
      <c r="K115" s="588"/>
      <c r="L115" s="588"/>
      <c r="M115" s="576"/>
      <c r="N115" s="576"/>
      <c r="O115" s="411"/>
      <c r="P115" s="411"/>
      <c r="Q115" s="411"/>
      <c r="R115" s="569"/>
      <c r="S115" s="569"/>
      <c r="T115" s="569"/>
      <c r="U115" s="411"/>
      <c r="V115" s="411"/>
      <c r="W115" s="411"/>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row>
    <row r="116" customFormat="false" ht="20.1" hidden="false" customHeight="true" outlineLevel="0" collapsed="false">
      <c r="A116" s="585" t="s">
        <v>1058</v>
      </c>
      <c r="B116" s="554"/>
      <c r="C116" s="554"/>
      <c r="D116" s="586" t="n">
        <f aca="false">C116*B116/1000</f>
        <v>0</v>
      </c>
      <c r="E116" s="587"/>
      <c r="F116" s="0"/>
      <c r="G116" s="585" t="s">
        <v>1058</v>
      </c>
      <c r="H116" s="483"/>
      <c r="I116" s="483"/>
      <c r="J116" s="586" t="n">
        <f aca="false">I116*H116/1000</f>
        <v>0</v>
      </c>
      <c r="K116" s="588"/>
      <c r="L116" s="588"/>
      <c r="M116" s="576"/>
      <c r="N116" s="576"/>
      <c r="O116" s="411"/>
      <c r="P116" s="411"/>
      <c r="Q116" s="411"/>
      <c r="R116" s="569"/>
      <c r="S116" s="569"/>
      <c r="T116" s="569"/>
      <c r="U116" s="411"/>
      <c r="V116" s="411"/>
      <c r="W116" s="411"/>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row>
    <row r="117" customFormat="false" ht="20.1" hidden="false" customHeight="true" outlineLevel="0" collapsed="false">
      <c r="A117" s="585" t="s">
        <v>1059</v>
      </c>
      <c r="B117" s="554"/>
      <c r="C117" s="554"/>
      <c r="D117" s="586" t="n">
        <f aca="false">C117*B117/1000</f>
        <v>0</v>
      </c>
      <c r="E117" s="587"/>
      <c r="F117" s="0"/>
      <c r="G117" s="585" t="s">
        <v>1059</v>
      </c>
      <c r="H117" s="483"/>
      <c r="I117" s="483"/>
      <c r="J117" s="586" t="n">
        <f aca="false">I117*H117/1000</f>
        <v>0</v>
      </c>
      <c r="K117" s="588"/>
      <c r="L117" s="588"/>
      <c r="M117" s="576"/>
      <c r="N117" s="576"/>
      <c r="O117" s="411"/>
      <c r="P117" s="411"/>
      <c r="Q117" s="411"/>
      <c r="R117" s="569"/>
      <c r="S117" s="569"/>
      <c r="T117" s="569"/>
      <c r="U117" s="411"/>
      <c r="V117" s="411"/>
      <c r="W117" s="411"/>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row>
    <row r="118" customFormat="false" ht="20.1" hidden="false" customHeight="true" outlineLevel="0" collapsed="false">
      <c r="A118" s="585" t="s">
        <v>1060</v>
      </c>
      <c r="B118" s="554"/>
      <c r="C118" s="554"/>
      <c r="D118" s="586" t="n">
        <f aca="false">C118*B118/1000</f>
        <v>0</v>
      </c>
      <c r="E118" s="587"/>
      <c r="F118" s="0"/>
      <c r="G118" s="585" t="s">
        <v>1060</v>
      </c>
      <c r="H118" s="483"/>
      <c r="I118" s="483"/>
      <c r="J118" s="586" t="n">
        <f aca="false">I118*H118/1000</f>
        <v>0</v>
      </c>
      <c r="K118" s="588"/>
      <c r="L118" s="588"/>
      <c r="M118" s="576"/>
      <c r="N118" s="576"/>
      <c r="O118" s="590"/>
      <c r="P118" s="590"/>
      <c r="Q118" s="411"/>
      <c r="R118" s="569"/>
      <c r="S118" s="569"/>
      <c r="T118" s="569"/>
      <c r="U118" s="411"/>
      <c r="V118" s="411"/>
      <c r="W118" s="411"/>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row>
    <row r="119" customFormat="false" ht="20.1" hidden="false" customHeight="true" outlineLevel="0" collapsed="false">
      <c r="A119" s="585" t="s">
        <v>1061</v>
      </c>
      <c r="B119" s="554"/>
      <c r="C119" s="554"/>
      <c r="D119" s="586" t="n">
        <f aca="false">C119*B119/1000</f>
        <v>0</v>
      </c>
      <c r="E119" s="587"/>
      <c r="F119" s="0"/>
      <c r="G119" s="585" t="s">
        <v>1061</v>
      </c>
      <c r="H119" s="483"/>
      <c r="I119" s="483"/>
      <c r="J119" s="586" t="n">
        <f aca="false">I119*H119/1000</f>
        <v>0</v>
      </c>
      <c r="K119" s="588"/>
      <c r="L119" s="588"/>
      <c r="M119" s="576"/>
      <c r="N119" s="576"/>
      <c r="O119" s="590"/>
      <c r="P119" s="590"/>
      <c r="Q119" s="411"/>
      <c r="R119" s="569"/>
      <c r="S119" s="569"/>
      <c r="T119" s="569"/>
      <c r="U119" s="411"/>
      <c r="V119" s="411"/>
      <c r="W119" s="411"/>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row>
    <row r="120" customFormat="false" ht="20.1" hidden="false" customHeight="true" outlineLevel="0" collapsed="false">
      <c r="A120" s="585" t="s">
        <v>1062</v>
      </c>
      <c r="B120" s="554"/>
      <c r="C120" s="554"/>
      <c r="D120" s="586" t="n">
        <f aca="false">C120*B120/1000</f>
        <v>0</v>
      </c>
      <c r="E120" s="587"/>
      <c r="F120" s="0"/>
      <c r="G120" s="585" t="s">
        <v>1062</v>
      </c>
      <c r="H120" s="483"/>
      <c r="I120" s="483"/>
      <c r="J120" s="586" t="n">
        <f aca="false">I120*H120/1000</f>
        <v>0</v>
      </c>
      <c r="K120" s="588"/>
      <c r="L120" s="588"/>
      <c r="M120" s="576"/>
      <c r="N120" s="576"/>
      <c r="O120" s="590"/>
      <c r="P120" s="590"/>
      <c r="Q120" s="411"/>
      <c r="R120" s="569"/>
      <c r="S120" s="569"/>
      <c r="T120" s="569"/>
      <c r="U120" s="411"/>
      <c r="V120" s="411"/>
      <c r="W120" s="411"/>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row>
    <row r="121" s="456" customFormat="true" ht="20.1" hidden="false" customHeight="true" outlineLevel="0" collapsed="false">
      <c r="A121" s="580" t="s">
        <v>1063</v>
      </c>
      <c r="B121" s="581"/>
      <c r="C121" s="581"/>
      <c r="D121" s="582"/>
      <c r="E121" s="583"/>
      <c r="G121" s="580" t="s">
        <v>1063</v>
      </c>
      <c r="H121" s="581"/>
      <c r="I121" s="581"/>
      <c r="J121" s="591"/>
      <c r="K121" s="584"/>
      <c r="L121" s="584"/>
      <c r="M121" s="576"/>
      <c r="N121" s="576"/>
      <c r="O121" s="590"/>
      <c r="P121" s="590"/>
      <c r="Q121" s="411"/>
      <c r="R121" s="569"/>
      <c r="S121" s="569"/>
      <c r="T121" s="569"/>
      <c r="U121" s="411"/>
      <c r="V121" s="411"/>
      <c r="W121" s="411"/>
    </row>
    <row r="122" customFormat="false" ht="20.1" hidden="false" customHeight="true" outlineLevel="0" collapsed="false">
      <c r="A122" s="585" t="s">
        <v>1064</v>
      </c>
      <c r="B122" s="554"/>
      <c r="C122" s="554"/>
      <c r="D122" s="586" t="n">
        <f aca="false">C122*B122/1000</f>
        <v>0</v>
      </c>
      <c r="E122" s="587"/>
      <c r="F122" s="456"/>
      <c r="G122" s="585" t="s">
        <v>1064</v>
      </c>
      <c r="H122" s="483"/>
      <c r="I122" s="483"/>
      <c r="J122" s="586" t="n">
        <f aca="false">I122*H122/1000</f>
        <v>0</v>
      </c>
      <c r="K122" s="588"/>
      <c r="L122" s="588"/>
      <c r="M122" s="576"/>
      <c r="N122" s="576"/>
      <c r="O122" s="590"/>
      <c r="P122" s="590"/>
      <c r="Q122" s="411"/>
      <c r="R122" s="569"/>
      <c r="S122" s="569"/>
      <c r="T122" s="569"/>
      <c r="U122" s="411"/>
      <c r="V122" s="411"/>
      <c r="W122" s="411"/>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row>
    <row r="123" customFormat="false" ht="20.1" hidden="false" customHeight="true" outlineLevel="0" collapsed="false">
      <c r="A123" s="585" t="s">
        <v>1065</v>
      </c>
      <c r="B123" s="554"/>
      <c r="C123" s="554"/>
      <c r="D123" s="586" t="n">
        <f aca="false">C123*B123/1000</f>
        <v>0</v>
      </c>
      <c r="E123" s="587"/>
      <c r="F123" s="456"/>
      <c r="G123" s="585" t="s">
        <v>1065</v>
      </c>
      <c r="H123" s="483"/>
      <c r="I123" s="483"/>
      <c r="J123" s="586" t="n">
        <f aca="false">I123*H123/1000</f>
        <v>0</v>
      </c>
      <c r="K123" s="588"/>
      <c r="L123" s="588"/>
      <c r="M123" s="576"/>
      <c r="N123" s="576"/>
      <c r="O123" s="590"/>
      <c r="P123" s="590"/>
      <c r="Q123" s="411"/>
      <c r="R123" s="569"/>
      <c r="S123" s="569"/>
      <c r="T123" s="569"/>
      <c r="U123" s="411"/>
      <c r="V123" s="411"/>
      <c r="W123" s="411"/>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row>
    <row r="124" customFormat="false" ht="20.1" hidden="false" customHeight="true" outlineLevel="0" collapsed="false">
      <c r="A124" s="585" t="s">
        <v>1066</v>
      </c>
      <c r="B124" s="554"/>
      <c r="C124" s="554"/>
      <c r="D124" s="586" t="n">
        <f aca="false">C124*B124/1000</f>
        <v>0</v>
      </c>
      <c r="E124" s="587"/>
      <c r="F124" s="456"/>
      <c r="G124" s="585" t="s">
        <v>1066</v>
      </c>
      <c r="H124" s="483"/>
      <c r="I124" s="483"/>
      <c r="J124" s="586" t="n">
        <f aca="false">I124*H124/1000</f>
        <v>0</v>
      </c>
      <c r="K124" s="588"/>
      <c r="L124" s="588"/>
      <c r="M124" s="576"/>
      <c r="N124" s="576"/>
      <c r="O124" s="590"/>
      <c r="P124" s="590"/>
      <c r="Q124" s="411"/>
      <c r="R124" s="569"/>
      <c r="S124" s="569"/>
      <c r="T124" s="569"/>
      <c r="U124" s="411"/>
      <c r="V124" s="411"/>
      <c r="W124" s="411"/>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row>
    <row r="125" customFormat="false" ht="20.1" hidden="false" customHeight="true" outlineLevel="0" collapsed="false">
      <c r="A125" s="592" t="s">
        <v>1067</v>
      </c>
      <c r="B125" s="593"/>
      <c r="C125" s="554"/>
      <c r="D125" s="586" t="n">
        <f aca="false">C125*B125/1000</f>
        <v>0</v>
      </c>
      <c r="E125" s="587"/>
      <c r="F125" s="456"/>
      <c r="G125" s="592" t="s">
        <v>1067</v>
      </c>
      <c r="H125" s="483"/>
      <c r="I125" s="483"/>
      <c r="J125" s="586" t="n">
        <f aca="false">I125*H125/1000</f>
        <v>0</v>
      </c>
      <c r="K125" s="588"/>
      <c r="L125" s="588"/>
      <c r="M125" s="576"/>
      <c r="N125" s="576"/>
      <c r="O125" s="590"/>
      <c r="P125" s="590"/>
      <c r="Q125" s="590"/>
      <c r="R125" s="569"/>
      <c r="S125" s="569"/>
      <c r="T125" s="569"/>
      <c r="U125" s="411"/>
      <c r="V125" s="411"/>
      <c r="W125" s="411"/>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row>
    <row r="126" customFormat="false" ht="20.1" hidden="false" customHeight="true" outlineLevel="0" collapsed="false">
      <c r="A126" s="580" t="s">
        <v>1068</v>
      </c>
      <c r="B126" s="581"/>
      <c r="C126" s="581"/>
      <c r="D126" s="591"/>
      <c r="E126" s="583"/>
      <c r="F126" s="456"/>
      <c r="G126" s="580" t="s">
        <v>1068</v>
      </c>
      <c r="H126" s="581"/>
      <c r="I126" s="581"/>
      <c r="J126" s="591"/>
      <c r="K126" s="584"/>
      <c r="L126" s="584"/>
      <c r="M126" s="576"/>
      <c r="N126" s="576"/>
      <c r="O126" s="411"/>
      <c r="P126" s="411"/>
      <c r="Q126" s="590"/>
      <c r="R126" s="569"/>
      <c r="S126" s="569"/>
      <c r="T126" s="569"/>
      <c r="U126" s="411"/>
      <c r="V126" s="411"/>
      <c r="W126" s="411"/>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row>
    <row r="127" customFormat="false" ht="20.1" hidden="false" customHeight="true" outlineLevel="0" collapsed="false">
      <c r="A127" s="585" t="s">
        <v>142</v>
      </c>
      <c r="B127" s="554"/>
      <c r="C127" s="554"/>
      <c r="D127" s="586" t="n">
        <f aca="false">C127*B127/1000</f>
        <v>0</v>
      </c>
      <c r="E127" s="587"/>
      <c r="F127" s="456"/>
      <c r="G127" s="585" t="s">
        <v>142</v>
      </c>
      <c r="H127" s="483"/>
      <c r="I127" s="483"/>
      <c r="J127" s="586" t="n">
        <f aca="false">I127*H127/1000</f>
        <v>0</v>
      </c>
      <c r="K127" s="588"/>
      <c r="L127" s="588"/>
      <c r="M127" s="576"/>
      <c r="N127" s="576"/>
      <c r="O127" s="590"/>
      <c r="P127" s="590"/>
      <c r="Q127" s="590"/>
      <c r="R127" s="569"/>
      <c r="S127" s="569"/>
      <c r="T127" s="569"/>
      <c r="U127" s="411"/>
      <c r="V127" s="411"/>
      <c r="W127" s="411"/>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row>
    <row r="128" customFormat="false" ht="20.1" hidden="false" customHeight="true" outlineLevel="0" collapsed="false">
      <c r="A128" s="585" t="s">
        <v>1069</v>
      </c>
      <c r="B128" s="554"/>
      <c r="C128" s="554"/>
      <c r="D128" s="586" t="n">
        <f aca="false">C128*B128/1000</f>
        <v>0</v>
      </c>
      <c r="E128" s="587"/>
      <c r="F128" s="456"/>
      <c r="G128" s="585" t="s">
        <v>1069</v>
      </c>
      <c r="H128" s="483"/>
      <c r="I128" s="483"/>
      <c r="J128" s="586" t="n">
        <f aca="false">I128*H128/1000</f>
        <v>0</v>
      </c>
      <c r="K128" s="588"/>
      <c r="L128" s="588"/>
      <c r="M128" s="576"/>
      <c r="N128" s="576"/>
      <c r="O128" s="590"/>
      <c r="P128" s="590"/>
      <c r="Q128" s="590"/>
      <c r="R128" s="569"/>
      <c r="S128" s="569"/>
      <c r="T128" s="569"/>
      <c r="U128" s="411"/>
      <c r="V128" s="411"/>
      <c r="W128" s="411"/>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row>
    <row r="129" customFormat="false" ht="20.1" hidden="false" customHeight="true" outlineLevel="0" collapsed="false">
      <c r="A129" s="585" t="s">
        <v>144</v>
      </c>
      <c r="B129" s="554"/>
      <c r="C129" s="554"/>
      <c r="D129" s="586" t="n">
        <f aca="false">C129*B129/1000</f>
        <v>0</v>
      </c>
      <c r="E129" s="587"/>
      <c r="F129" s="456"/>
      <c r="G129" s="585" t="s">
        <v>144</v>
      </c>
      <c r="H129" s="483"/>
      <c r="I129" s="483"/>
      <c r="J129" s="586" t="n">
        <f aca="false">I129*H129/1000</f>
        <v>0</v>
      </c>
      <c r="K129" s="588"/>
      <c r="L129" s="588"/>
      <c r="M129" s="576"/>
      <c r="N129" s="576"/>
      <c r="O129" s="590"/>
      <c r="P129" s="590"/>
      <c r="Q129" s="590"/>
      <c r="R129" s="569"/>
      <c r="S129" s="569"/>
      <c r="T129" s="569"/>
      <c r="U129" s="411"/>
      <c r="V129" s="411"/>
      <c r="W129" s="411"/>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row>
    <row r="130" customFormat="false" ht="20.1" hidden="false" customHeight="true" outlineLevel="0" collapsed="false">
      <c r="A130" s="585" t="s">
        <v>1070</v>
      </c>
      <c r="B130" s="554"/>
      <c r="C130" s="554"/>
      <c r="D130" s="586" t="n">
        <f aca="false">C130*B130/1000</f>
        <v>0</v>
      </c>
      <c r="E130" s="587"/>
      <c r="F130" s="456"/>
      <c r="G130" s="585" t="s">
        <v>1070</v>
      </c>
      <c r="H130" s="483"/>
      <c r="I130" s="483"/>
      <c r="J130" s="586" t="n">
        <f aca="false">I130*H130/1000</f>
        <v>0</v>
      </c>
      <c r="K130" s="588"/>
      <c r="L130" s="588"/>
      <c r="M130" s="576"/>
      <c r="N130" s="576"/>
      <c r="O130" s="590"/>
      <c r="P130" s="590"/>
      <c r="Q130" s="590"/>
      <c r="R130" s="569"/>
      <c r="S130" s="569"/>
      <c r="T130" s="569"/>
      <c r="U130" s="411"/>
      <c r="V130" s="411"/>
      <c r="W130" s="411"/>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row>
    <row r="131" customFormat="false" ht="20.1" hidden="false" customHeight="true" outlineLevel="0" collapsed="false">
      <c r="A131" s="585" t="s">
        <v>1071</v>
      </c>
      <c r="B131" s="554"/>
      <c r="C131" s="554"/>
      <c r="D131" s="586" t="n">
        <f aca="false">C131*B131/1000</f>
        <v>0</v>
      </c>
      <c r="E131" s="587"/>
      <c r="F131" s="456"/>
      <c r="G131" s="585" t="s">
        <v>1071</v>
      </c>
      <c r="H131" s="483"/>
      <c r="I131" s="483"/>
      <c r="J131" s="586" t="n">
        <f aca="false">I131*H131/1000</f>
        <v>0</v>
      </c>
      <c r="K131" s="588"/>
      <c r="L131" s="588"/>
      <c r="M131" s="576"/>
      <c r="N131" s="576"/>
      <c r="O131" s="590"/>
      <c r="P131" s="590"/>
      <c r="Q131" s="590"/>
      <c r="R131" s="569"/>
      <c r="S131" s="569"/>
      <c r="T131" s="569"/>
      <c r="U131" s="411"/>
      <c r="V131" s="411"/>
      <c r="W131" s="411"/>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row>
    <row r="132" customFormat="false" ht="20.1" hidden="false" customHeight="true" outlineLevel="0" collapsed="false">
      <c r="A132" s="580" t="s">
        <v>1026</v>
      </c>
      <c r="B132" s="581"/>
      <c r="C132" s="581"/>
      <c r="D132" s="591"/>
      <c r="E132" s="583"/>
      <c r="F132" s="456"/>
      <c r="G132" s="580" t="s">
        <v>1026</v>
      </c>
      <c r="H132" s="581"/>
      <c r="I132" s="581"/>
      <c r="J132" s="591"/>
      <c r="K132" s="584"/>
      <c r="L132" s="584"/>
      <c r="M132" s="576"/>
      <c r="N132" s="576"/>
      <c r="O132" s="590"/>
      <c r="P132" s="590"/>
      <c r="Q132" s="590"/>
      <c r="R132" s="569"/>
      <c r="S132" s="569"/>
      <c r="T132" s="569"/>
      <c r="U132" s="411"/>
      <c r="V132" s="411"/>
      <c r="W132" s="411"/>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row>
    <row r="133" customFormat="false" ht="20.1" hidden="false" customHeight="true" outlineLevel="0" collapsed="false">
      <c r="A133" s="592" t="s">
        <v>938</v>
      </c>
      <c r="B133" s="593"/>
      <c r="C133" s="554"/>
      <c r="D133" s="586" t="n">
        <f aca="false">C133*B133/1000</f>
        <v>0</v>
      </c>
      <c r="E133" s="587"/>
      <c r="F133" s="456"/>
      <c r="G133" s="592" t="s">
        <v>938</v>
      </c>
      <c r="H133" s="483"/>
      <c r="I133" s="483"/>
      <c r="J133" s="586" t="n">
        <f aca="false">I133*H133/1000</f>
        <v>0</v>
      </c>
      <c r="K133" s="588"/>
      <c r="L133" s="588"/>
      <c r="M133" s="576"/>
      <c r="N133" s="576"/>
      <c r="O133" s="411"/>
      <c r="P133" s="411"/>
      <c r="Q133" s="590"/>
      <c r="R133" s="569"/>
      <c r="S133" s="569"/>
      <c r="T133" s="569"/>
      <c r="U133" s="411"/>
      <c r="V133" s="411"/>
      <c r="W133" s="411"/>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row>
    <row r="134" customFormat="false" ht="20.1" hidden="false" customHeight="true" outlineLevel="0" collapsed="false">
      <c r="A134" s="592" t="s">
        <v>1072</v>
      </c>
      <c r="B134" s="593"/>
      <c r="C134" s="554"/>
      <c r="D134" s="586" t="n">
        <f aca="false">C134*B134/1000</f>
        <v>0</v>
      </c>
      <c r="E134" s="587"/>
      <c r="F134" s="456"/>
      <c r="G134" s="592" t="s">
        <v>1072</v>
      </c>
      <c r="H134" s="483"/>
      <c r="I134" s="483"/>
      <c r="J134" s="586" t="n">
        <f aca="false">I134*H134/1000</f>
        <v>0</v>
      </c>
      <c r="K134" s="588"/>
      <c r="L134" s="588"/>
      <c r="M134" s="576"/>
      <c r="N134" s="576"/>
      <c r="O134" s="590"/>
      <c r="P134" s="590"/>
      <c r="Q134" s="411"/>
      <c r="R134" s="569"/>
      <c r="S134" s="569"/>
      <c r="T134" s="569"/>
      <c r="U134" s="411"/>
      <c r="V134" s="411"/>
      <c r="W134" s="411"/>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row>
    <row r="135" customFormat="false" ht="20.1" hidden="false" customHeight="true" outlineLevel="0" collapsed="false">
      <c r="A135" s="592" t="s">
        <v>1073</v>
      </c>
      <c r="B135" s="593"/>
      <c r="C135" s="554"/>
      <c r="D135" s="586" t="n">
        <f aca="false">C135*B135/1000</f>
        <v>0</v>
      </c>
      <c r="E135" s="587"/>
      <c r="F135" s="456"/>
      <c r="G135" s="592" t="s">
        <v>1073</v>
      </c>
      <c r="H135" s="483"/>
      <c r="I135" s="483"/>
      <c r="J135" s="586" t="n">
        <f aca="false">I135*H135/1000</f>
        <v>0</v>
      </c>
      <c r="K135" s="588"/>
      <c r="L135" s="588"/>
      <c r="M135" s="576"/>
      <c r="N135" s="576"/>
      <c r="O135" s="590"/>
      <c r="P135" s="590"/>
      <c r="Q135" s="590"/>
      <c r="R135" s="569"/>
      <c r="S135" s="569"/>
      <c r="T135" s="569"/>
      <c r="U135" s="411"/>
      <c r="V135" s="411"/>
      <c r="W135" s="411"/>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row>
    <row r="136" customFormat="false" ht="20.1" hidden="false" customHeight="true" outlineLevel="0" collapsed="false">
      <c r="A136" s="592" t="s">
        <v>1074</v>
      </c>
      <c r="B136" s="593"/>
      <c r="C136" s="554"/>
      <c r="D136" s="586" t="n">
        <f aca="false">C136*B136/1000</f>
        <v>0</v>
      </c>
      <c r="E136" s="587"/>
      <c r="F136" s="456"/>
      <c r="G136" s="592" t="s">
        <v>1074</v>
      </c>
      <c r="H136" s="483"/>
      <c r="I136" s="483"/>
      <c r="J136" s="586" t="n">
        <f aca="false">I136*H136/1000</f>
        <v>0</v>
      </c>
      <c r="K136" s="588"/>
      <c r="L136" s="588"/>
      <c r="M136" s="576"/>
      <c r="N136" s="576"/>
      <c r="O136" s="590"/>
      <c r="P136" s="590"/>
      <c r="Q136" s="590"/>
      <c r="R136" s="569"/>
      <c r="S136" s="569"/>
      <c r="T136" s="569"/>
      <c r="U136" s="411"/>
      <c r="V136" s="411"/>
      <c r="W136" s="411"/>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row>
    <row r="137" customFormat="false" ht="20.1" hidden="false" customHeight="true" outlineLevel="0" collapsed="false">
      <c r="A137" s="592" t="s">
        <v>1075</v>
      </c>
      <c r="B137" s="593"/>
      <c r="C137" s="554"/>
      <c r="D137" s="586" t="n">
        <f aca="false">C137*B137/1000</f>
        <v>0</v>
      </c>
      <c r="E137" s="587"/>
      <c r="F137" s="456"/>
      <c r="G137" s="592" t="s">
        <v>1075</v>
      </c>
      <c r="H137" s="483"/>
      <c r="I137" s="483"/>
      <c r="J137" s="586" t="n">
        <f aca="false">I137*H137/1000</f>
        <v>0</v>
      </c>
      <c r="K137" s="588"/>
      <c r="L137" s="588"/>
      <c r="M137" s="576"/>
      <c r="N137" s="576"/>
      <c r="O137" s="590"/>
      <c r="P137" s="590"/>
      <c r="Q137" s="590"/>
      <c r="R137" s="569"/>
      <c r="S137" s="569"/>
      <c r="T137" s="569"/>
      <c r="U137" s="411"/>
      <c r="V137" s="411"/>
      <c r="W137" s="411"/>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row>
    <row r="138" customFormat="false" ht="20.1" hidden="false" customHeight="true" outlineLevel="0" collapsed="false">
      <c r="A138" s="592" t="s">
        <v>1076</v>
      </c>
      <c r="B138" s="593"/>
      <c r="C138" s="554"/>
      <c r="D138" s="586" t="n">
        <f aca="false">C138*B138/1000</f>
        <v>0</v>
      </c>
      <c r="E138" s="587"/>
      <c r="F138" s="456"/>
      <c r="G138" s="592" t="s">
        <v>1076</v>
      </c>
      <c r="H138" s="483"/>
      <c r="I138" s="483"/>
      <c r="J138" s="586" t="n">
        <f aca="false">I138*H138/1000</f>
        <v>0</v>
      </c>
      <c r="K138" s="588"/>
      <c r="L138" s="588"/>
      <c r="M138" s="576"/>
      <c r="N138" s="576"/>
      <c r="O138" s="590"/>
      <c r="P138" s="590"/>
      <c r="Q138" s="590"/>
      <c r="R138" s="569"/>
      <c r="S138" s="569"/>
      <c r="T138" s="569"/>
      <c r="U138" s="411"/>
      <c r="V138" s="411"/>
      <c r="W138" s="411"/>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row>
    <row r="139" customFormat="false" ht="20.1" hidden="false" customHeight="true" outlineLevel="0" collapsed="false">
      <c r="A139" s="592" t="s">
        <v>1077</v>
      </c>
      <c r="B139" s="593"/>
      <c r="C139" s="554"/>
      <c r="D139" s="586" t="n">
        <f aca="false">C139*B139/1000</f>
        <v>0</v>
      </c>
      <c r="E139" s="587"/>
      <c r="F139" s="456"/>
      <c r="G139" s="592" t="s">
        <v>1077</v>
      </c>
      <c r="H139" s="483"/>
      <c r="I139" s="483"/>
      <c r="J139" s="586" t="n">
        <f aca="false">I139*H139/1000</f>
        <v>0</v>
      </c>
      <c r="K139" s="588"/>
      <c r="L139" s="588"/>
      <c r="M139" s="576"/>
      <c r="N139" s="576"/>
      <c r="O139" s="590"/>
      <c r="P139" s="590"/>
      <c r="Q139" s="590"/>
      <c r="R139" s="569"/>
      <c r="S139" s="569"/>
      <c r="T139" s="569"/>
      <c r="U139" s="411"/>
      <c r="V139" s="411"/>
      <c r="W139" s="411"/>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row>
    <row r="140" customFormat="false" ht="20.1" hidden="false" customHeight="true" outlineLevel="0" collapsed="false">
      <c r="A140" s="592" t="s">
        <v>1078</v>
      </c>
      <c r="B140" s="593"/>
      <c r="C140" s="554"/>
      <c r="D140" s="586" t="n">
        <f aca="false">C140*B140/1000</f>
        <v>0</v>
      </c>
      <c r="E140" s="587"/>
      <c r="F140" s="456"/>
      <c r="G140" s="592" t="s">
        <v>1078</v>
      </c>
      <c r="H140" s="483"/>
      <c r="I140" s="483"/>
      <c r="J140" s="586" t="n">
        <f aca="false">I140*H140/1000</f>
        <v>0</v>
      </c>
      <c r="K140" s="588"/>
      <c r="L140" s="588"/>
      <c r="M140" s="576"/>
      <c r="N140" s="576"/>
      <c r="O140" s="590"/>
      <c r="P140" s="590"/>
      <c r="Q140" s="590"/>
      <c r="R140" s="569"/>
      <c r="S140" s="569"/>
      <c r="T140" s="569"/>
      <c r="U140" s="411"/>
      <c r="V140" s="411"/>
      <c r="W140" s="411"/>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row>
    <row r="141" customFormat="false" ht="20.1" hidden="false" customHeight="true" outlineLevel="0" collapsed="false">
      <c r="A141" s="592" t="s">
        <v>1079</v>
      </c>
      <c r="B141" s="593"/>
      <c r="C141" s="554"/>
      <c r="D141" s="586" t="n">
        <f aca="false">C141*B141/1000</f>
        <v>0</v>
      </c>
      <c r="E141" s="587"/>
      <c r="F141" s="456"/>
      <c r="G141" s="592" t="s">
        <v>1079</v>
      </c>
      <c r="H141" s="483"/>
      <c r="I141" s="483"/>
      <c r="J141" s="586" t="n">
        <f aca="false">I141*H141/1000</f>
        <v>0</v>
      </c>
      <c r="K141" s="588"/>
      <c r="L141" s="588"/>
      <c r="M141" s="576"/>
      <c r="N141" s="576"/>
      <c r="O141" s="590"/>
      <c r="P141" s="590"/>
      <c r="Q141" s="411"/>
      <c r="R141" s="569"/>
      <c r="S141" s="569"/>
      <c r="T141" s="569"/>
      <c r="U141" s="411"/>
      <c r="V141" s="411"/>
      <c r="W141" s="411"/>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row>
    <row r="142" customFormat="false" ht="20.1" hidden="false" customHeight="true" outlineLevel="0" collapsed="false">
      <c r="A142" s="585" t="s">
        <v>1080</v>
      </c>
      <c r="B142" s="554" t="n">
        <v>6000</v>
      </c>
      <c r="C142" s="554" t="n">
        <v>6</v>
      </c>
      <c r="D142" s="586" t="n">
        <f aca="false">C142*B142/1000</f>
        <v>36</v>
      </c>
      <c r="E142" s="587" t="s">
        <v>1081</v>
      </c>
      <c r="F142" s="456"/>
      <c r="G142" s="585" t="s">
        <v>1080</v>
      </c>
      <c r="H142" s="483" t="n">
        <v>6000</v>
      </c>
      <c r="I142" s="483" t="n">
        <v>9.5</v>
      </c>
      <c r="J142" s="586" t="n">
        <f aca="false">I142*H142/1000</f>
        <v>57</v>
      </c>
      <c r="K142" s="588"/>
      <c r="L142" s="588"/>
      <c r="M142" s="576"/>
      <c r="N142" s="576"/>
      <c r="O142" s="590"/>
      <c r="P142" s="590"/>
      <c r="Q142" s="590"/>
      <c r="R142" s="569"/>
      <c r="S142" s="569"/>
      <c r="T142" s="569"/>
      <c r="U142" s="411"/>
      <c r="V142" s="411"/>
      <c r="W142" s="411"/>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row>
    <row r="143" customFormat="false" ht="20.1" hidden="false" customHeight="true" outlineLevel="0" collapsed="false">
      <c r="A143" s="580" t="s">
        <v>1082</v>
      </c>
      <c r="B143" s="581"/>
      <c r="C143" s="581"/>
      <c r="D143" s="591"/>
      <c r="E143" s="583"/>
      <c r="F143" s="0"/>
      <c r="G143" s="594" t="s">
        <v>1082</v>
      </c>
      <c r="H143" s="595"/>
      <c r="I143" s="595"/>
      <c r="J143" s="596"/>
      <c r="K143" s="597"/>
      <c r="L143" s="597"/>
      <c r="M143" s="576"/>
      <c r="N143" s="576"/>
      <c r="O143" s="590"/>
      <c r="P143" s="590"/>
      <c r="Q143" s="590"/>
      <c r="R143" s="569"/>
      <c r="S143" s="569"/>
      <c r="T143" s="569"/>
      <c r="U143" s="411"/>
      <c r="V143" s="411"/>
      <c r="W143" s="411"/>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row>
    <row r="144" customFormat="false" ht="20.1" hidden="false" customHeight="true" outlineLevel="0" collapsed="false">
      <c r="A144" s="158" t="s">
        <v>1083</v>
      </c>
      <c r="B144" s="593"/>
      <c r="C144" s="554"/>
      <c r="D144" s="586" t="n">
        <f aca="false">C144*B144/1000</f>
        <v>0</v>
      </c>
      <c r="E144" s="587"/>
      <c r="F144" s="0"/>
      <c r="G144" s="598" t="s">
        <v>1083</v>
      </c>
      <c r="H144" s="599"/>
      <c r="I144" s="599"/>
      <c r="J144" s="600" t="n">
        <f aca="false">I144*H144/1000</f>
        <v>0</v>
      </c>
      <c r="K144" s="601"/>
      <c r="L144" s="601"/>
      <c r="M144" s="576"/>
      <c r="N144" s="576"/>
      <c r="O144" s="590"/>
      <c r="P144" s="590"/>
      <c r="Q144" s="590"/>
      <c r="R144" s="569"/>
      <c r="S144" s="569"/>
      <c r="T144" s="569"/>
      <c r="U144" s="411"/>
      <c r="V144" s="411"/>
      <c r="W144" s="411"/>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row>
    <row r="145" customFormat="false" ht="20.1" hidden="false" customHeight="true" outlineLevel="0" collapsed="false">
      <c r="A145" s="119" t="s">
        <v>178</v>
      </c>
      <c r="B145" s="602"/>
      <c r="C145" s="603"/>
      <c r="D145" s="586" t="n">
        <f aca="false">C145*B145/1000</f>
        <v>0</v>
      </c>
      <c r="E145" s="604"/>
      <c r="F145" s="0"/>
      <c r="G145" s="605" t="s">
        <v>178</v>
      </c>
      <c r="H145" s="606"/>
      <c r="I145" s="606"/>
      <c r="J145" s="586" t="n">
        <f aca="false">I145*H145/1000</f>
        <v>0</v>
      </c>
      <c r="K145" s="588"/>
      <c r="L145" s="588"/>
      <c r="M145" s="576"/>
      <c r="N145" s="576"/>
      <c r="O145" s="590"/>
      <c r="P145" s="590"/>
      <c r="Q145" s="590"/>
      <c r="R145" s="569"/>
      <c r="S145" s="569"/>
      <c r="T145" s="569"/>
      <c r="U145" s="411"/>
      <c r="V145" s="411"/>
      <c r="W145" s="411"/>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row>
    <row r="146" customFormat="false" ht="20.1" hidden="false" customHeight="true" outlineLevel="0" collapsed="false">
      <c r="A146" s="119" t="s">
        <v>167</v>
      </c>
      <c r="B146" s="602"/>
      <c r="C146" s="603"/>
      <c r="D146" s="586" t="n">
        <f aca="false">C146*B146/1000</f>
        <v>0</v>
      </c>
      <c r="E146" s="604"/>
      <c r="F146" s="0"/>
      <c r="G146" s="605" t="s">
        <v>167</v>
      </c>
      <c r="H146" s="606"/>
      <c r="I146" s="606"/>
      <c r="J146" s="586" t="n">
        <f aca="false">I146*H146/1000</f>
        <v>0</v>
      </c>
      <c r="K146" s="588"/>
      <c r="L146" s="588"/>
      <c r="M146" s="576"/>
      <c r="N146" s="576"/>
      <c r="O146" s="590"/>
      <c r="P146" s="590"/>
      <c r="Q146" s="590"/>
      <c r="R146" s="569"/>
      <c r="S146" s="569"/>
      <c r="T146" s="569"/>
      <c r="U146" s="411"/>
      <c r="V146" s="411"/>
      <c r="W146" s="411"/>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row>
    <row r="147" customFormat="false" ht="20.1" hidden="false" customHeight="true" outlineLevel="0" collapsed="false">
      <c r="A147" s="607"/>
      <c r="B147" s="602"/>
      <c r="C147" s="603"/>
      <c r="D147" s="586" t="n">
        <f aca="false">C147*B147/1000</f>
        <v>0</v>
      </c>
      <c r="E147" s="604"/>
      <c r="F147" s="0"/>
      <c r="G147" s="607"/>
      <c r="H147" s="606"/>
      <c r="I147" s="606"/>
      <c r="J147" s="586" t="n">
        <f aca="false">I147*H147/1000</f>
        <v>0</v>
      </c>
      <c r="K147" s="588"/>
      <c r="L147" s="588"/>
      <c r="M147" s="576"/>
      <c r="N147" s="576"/>
      <c r="O147" s="590"/>
      <c r="P147" s="590"/>
      <c r="Q147" s="590"/>
      <c r="R147" s="569"/>
      <c r="S147" s="569"/>
      <c r="T147" s="569"/>
      <c r="U147" s="411"/>
      <c r="V147" s="411"/>
      <c r="W147" s="411"/>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row>
    <row r="148" customFormat="false" ht="20.1" hidden="false" customHeight="true" outlineLevel="0" collapsed="false">
      <c r="A148" s="608"/>
      <c r="B148" s="609"/>
      <c r="C148" s="609"/>
      <c r="D148" s="610" t="n">
        <f aca="false">C148*B148/1000</f>
        <v>0</v>
      </c>
      <c r="E148" s="611"/>
      <c r="F148" s="0"/>
      <c r="G148" s="608"/>
      <c r="H148" s="517"/>
      <c r="I148" s="517"/>
      <c r="J148" s="610" t="n">
        <f aca="false">I148*H148/1000</f>
        <v>0</v>
      </c>
      <c r="K148" s="612"/>
      <c r="L148" s="612"/>
      <c r="M148" s="576"/>
      <c r="N148" s="576"/>
      <c r="O148" s="590"/>
      <c r="P148" s="590"/>
      <c r="Q148" s="590"/>
      <c r="R148" s="569"/>
      <c r="S148" s="569"/>
      <c r="T148" s="569"/>
      <c r="U148" s="411"/>
      <c r="V148" s="411"/>
      <c r="W148" s="411"/>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row>
    <row r="149" customFormat="false" ht="20.1" hidden="false" customHeight="true" outlineLevel="0" collapsed="false">
      <c r="A149" s="613"/>
      <c r="B149" s="437"/>
      <c r="C149" s="437"/>
      <c r="D149" s="437"/>
      <c r="E149" s="614"/>
      <c r="F149" s="615"/>
      <c r="G149" s="616"/>
      <c r="H149" s="617"/>
      <c r="I149" s="0"/>
      <c r="J149" s="0"/>
      <c r="K149" s="411"/>
      <c r="L149" s="568"/>
      <c r="M149" s="411"/>
      <c r="N149" s="0"/>
      <c r="O149" s="0"/>
      <c r="P149" s="0"/>
      <c r="Q149" s="0"/>
      <c r="R149" s="590"/>
      <c r="S149" s="569"/>
      <c r="T149" s="569"/>
      <c r="U149" s="569"/>
      <c r="V149" s="411"/>
      <c r="W149" s="411"/>
      <c r="X149" s="411"/>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row>
    <row r="150" customFormat="false" ht="20.1" hidden="false" customHeight="true" outlineLevel="0" collapsed="false">
      <c r="A150" s="14" t="s">
        <v>1084</v>
      </c>
      <c r="B150" s="618"/>
      <c r="C150" s="619" t="n">
        <f aca="false">SUMIF(E113:E148,"Locale",B113:B148)</f>
        <v>6000</v>
      </c>
      <c r="D150" s="11" t="s">
        <v>1085</v>
      </c>
      <c r="E150" s="456"/>
      <c r="F150" s="456"/>
      <c r="G150" s="620"/>
      <c r="H150" s="621"/>
      <c r="I150" s="0"/>
      <c r="J150" s="0"/>
      <c r="K150" s="411"/>
      <c r="L150" s="568"/>
      <c r="M150" s="411"/>
      <c r="N150" s="0"/>
      <c r="O150" s="0"/>
      <c r="P150" s="0"/>
      <c r="Q150" s="0"/>
      <c r="R150" s="590"/>
      <c r="S150" s="569"/>
      <c r="T150" s="569"/>
      <c r="U150" s="569"/>
      <c r="V150" s="411"/>
      <c r="W150" s="411"/>
      <c r="X150" s="411"/>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row>
    <row r="151" s="456" customFormat="true" ht="20.1" hidden="false" customHeight="true" outlineLevel="0" collapsed="false">
      <c r="A151" s="622"/>
      <c r="B151" s="19"/>
      <c r="C151" s="19"/>
      <c r="D151" s="623"/>
      <c r="E151" s="19"/>
      <c r="F151" s="19"/>
      <c r="G151" s="18"/>
      <c r="H151" s="624"/>
      <c r="I151" s="19"/>
      <c r="J151" s="624"/>
      <c r="K151" s="411"/>
      <c r="L151" s="568"/>
      <c r="M151" s="411"/>
      <c r="N151" s="0"/>
      <c r="O151" s="0"/>
      <c r="P151" s="0"/>
      <c r="Q151" s="0"/>
      <c r="R151" s="0"/>
      <c r="S151" s="0"/>
      <c r="T151" s="590"/>
      <c r="U151" s="569"/>
      <c r="V151" s="569"/>
      <c r="W151" s="569"/>
      <c r="X151" s="411"/>
      <c r="Y151" s="411"/>
      <c r="Z151" s="411"/>
    </row>
    <row r="152" customFormat="false" ht="20.1" hidden="false" customHeight="true" outlineLevel="0" collapsed="false">
      <c r="A152" s="437"/>
      <c r="B152" s="437"/>
      <c r="C152" s="437"/>
      <c r="D152" s="623"/>
      <c r="E152" s="614"/>
      <c r="F152" s="614"/>
      <c r="G152" s="437"/>
      <c r="H152" s="437"/>
      <c r="I152" s="437"/>
      <c r="J152" s="624"/>
      <c r="K152" s="411"/>
      <c r="L152" s="568"/>
      <c r="M152" s="411"/>
      <c r="N152" s="0"/>
      <c r="O152" s="0"/>
      <c r="P152" s="0"/>
      <c r="Q152" s="0"/>
      <c r="R152" s="0"/>
      <c r="S152" s="0"/>
      <c r="T152" s="590"/>
      <c r="U152" s="569"/>
      <c r="V152" s="569"/>
      <c r="W152" s="569"/>
      <c r="X152" s="411"/>
      <c r="Y152" s="411"/>
      <c r="Z152" s="411"/>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row>
    <row r="153" customFormat="false" ht="20.1" hidden="false" customHeight="true" outlineLevel="0" collapsed="false">
      <c r="A153" s="0"/>
      <c r="B153" s="0"/>
      <c r="C153" s="0"/>
      <c r="D153" s="0"/>
      <c r="E153" s="0"/>
      <c r="F153" s="0"/>
      <c r="G153" s="616"/>
      <c r="H153" s="617"/>
      <c r="I153" s="616"/>
      <c r="J153" s="625"/>
      <c r="K153" s="411"/>
      <c r="L153" s="568"/>
      <c r="M153" s="411"/>
      <c r="N153" s="0"/>
      <c r="O153" s="0"/>
      <c r="P153" s="0"/>
      <c r="Q153" s="0"/>
      <c r="R153" s="0"/>
      <c r="S153" s="0"/>
      <c r="T153" s="590"/>
      <c r="U153" s="569"/>
      <c r="V153" s="569"/>
      <c r="W153" s="569"/>
      <c r="X153" s="411"/>
      <c r="Y153" s="411"/>
      <c r="Z153" s="411"/>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row>
    <row r="154" customFormat="false" ht="20.1" hidden="false" customHeight="true" outlineLevel="0" collapsed="false">
      <c r="A154" s="454" t="s">
        <v>1086</v>
      </c>
      <c r="B154" s="437"/>
      <c r="C154" s="437"/>
      <c r="D154" s="54"/>
      <c r="E154" s="614"/>
      <c r="F154" s="626"/>
      <c r="G154" s="616"/>
      <c r="H154" s="617"/>
      <c r="I154" s="616"/>
      <c r="J154" s="625"/>
      <c r="K154" s="411"/>
      <c r="L154" s="568" t="s">
        <v>1087</v>
      </c>
      <c r="M154" s="411"/>
      <c r="N154" s="0"/>
      <c r="O154" s="0"/>
      <c r="P154" s="0"/>
      <c r="Q154" s="0"/>
      <c r="R154" s="0"/>
      <c r="S154" s="0"/>
      <c r="T154" s="590"/>
      <c r="U154" s="569"/>
      <c r="V154" s="569"/>
      <c r="W154" s="569"/>
      <c r="X154" s="411"/>
      <c r="Y154" s="411"/>
      <c r="Z154" s="411"/>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row>
    <row r="155" customFormat="false" ht="20.1" hidden="false" customHeight="true" outlineLevel="0" collapsed="false">
      <c r="A155" s="437"/>
      <c r="B155" s="437"/>
      <c r="C155" s="437"/>
      <c r="D155" s="54"/>
      <c r="E155" s="627"/>
      <c r="F155" s="615"/>
      <c r="G155" s="628"/>
      <c r="H155" s="617"/>
      <c r="I155" s="616"/>
      <c r="J155" s="625"/>
      <c r="K155" s="411"/>
      <c r="L155" s="568"/>
      <c r="M155" s="411"/>
      <c r="N155" s="0"/>
      <c r="O155" s="0"/>
      <c r="P155" s="0"/>
      <c r="Q155" s="0"/>
      <c r="R155" s="0"/>
      <c r="S155" s="0"/>
      <c r="T155" s="590"/>
      <c r="U155" s="569"/>
      <c r="V155" s="569"/>
      <c r="W155" s="569"/>
      <c r="X155" s="411"/>
      <c r="Y155" s="411"/>
      <c r="Z155" s="411"/>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row>
    <row r="156" customFormat="false" ht="49.5" hidden="false" customHeight="true" outlineLevel="0" collapsed="false">
      <c r="A156" s="629" t="s">
        <v>1088</v>
      </c>
      <c r="B156" s="629"/>
      <c r="C156" s="630" t="s">
        <v>1089</v>
      </c>
      <c r="D156" s="575" t="s">
        <v>1049</v>
      </c>
      <c r="E156" s="0"/>
      <c r="F156" s="0"/>
      <c r="G156" s="0"/>
      <c r="H156" s="631" t="s">
        <v>1090</v>
      </c>
      <c r="I156" s="630" t="s">
        <v>1091</v>
      </c>
      <c r="J156" s="575" t="s">
        <v>1049</v>
      </c>
      <c r="K156" s="456"/>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row>
    <row r="157" customFormat="false" ht="15" hidden="false" customHeight="true" outlineLevel="0" collapsed="false">
      <c r="A157" s="632"/>
      <c r="B157" s="632"/>
      <c r="C157" s="552" t="s">
        <v>1092</v>
      </c>
      <c r="D157" s="579"/>
      <c r="E157" s="0"/>
      <c r="F157" s="0"/>
      <c r="G157" s="0"/>
      <c r="H157" s="632"/>
      <c r="I157" s="552" t="s">
        <v>1093</v>
      </c>
      <c r="J157" s="579"/>
      <c r="K157" s="456"/>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row>
    <row r="158" customFormat="false" ht="20.1" hidden="false" customHeight="true" outlineLevel="0" collapsed="false">
      <c r="A158" s="633" t="s">
        <v>1094</v>
      </c>
      <c r="B158" s="634" t="n">
        <f aca="false">SUM(C159:C161)</f>
        <v>0</v>
      </c>
      <c r="C158" s="635"/>
      <c r="D158" s="636"/>
      <c r="E158" s="0"/>
      <c r="F158" s="0"/>
      <c r="G158" s="0"/>
      <c r="H158" s="592" t="s">
        <v>192</v>
      </c>
      <c r="I158" s="637"/>
      <c r="J158" s="587"/>
      <c r="K158" s="456"/>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row>
    <row r="159" customFormat="false" ht="20.1" hidden="false" customHeight="true" outlineLevel="0" collapsed="false">
      <c r="A159" s="638" t="s">
        <v>95</v>
      </c>
      <c r="B159" s="639" t="s">
        <v>193</v>
      </c>
      <c r="C159" s="640"/>
      <c r="D159" s="587"/>
      <c r="E159" s="0"/>
      <c r="F159" s="0"/>
      <c r="G159" s="0"/>
      <c r="H159" s="592" t="s">
        <v>194</v>
      </c>
      <c r="I159" s="637"/>
      <c r="J159" s="587"/>
      <c r="K159" s="456"/>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row>
    <row r="160" customFormat="false" ht="20.1" hidden="false" customHeight="true" outlineLevel="0" collapsed="false">
      <c r="A160" s="638"/>
      <c r="B160" s="639" t="s">
        <v>195</v>
      </c>
      <c r="C160" s="640"/>
      <c r="D160" s="587"/>
      <c r="E160" s="0"/>
      <c r="F160" s="0"/>
      <c r="G160" s="0"/>
      <c r="H160" s="592" t="s">
        <v>196</v>
      </c>
      <c r="I160" s="637"/>
      <c r="J160" s="587"/>
      <c r="K160" s="456"/>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row>
    <row r="161" customFormat="false" ht="20.1" hidden="false" customHeight="true" outlineLevel="0" collapsed="false">
      <c r="A161" s="638"/>
      <c r="B161" s="639" t="s">
        <v>197</v>
      </c>
      <c r="C161" s="640"/>
      <c r="D161" s="587"/>
      <c r="E161" s="0"/>
      <c r="F161" s="0"/>
      <c r="G161" s="0"/>
      <c r="H161" s="592" t="s">
        <v>198</v>
      </c>
      <c r="I161" s="637"/>
      <c r="J161" s="587"/>
      <c r="K161" s="456"/>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row>
    <row r="162" customFormat="false" ht="20.1" hidden="false" customHeight="true" outlineLevel="0" collapsed="false">
      <c r="A162" s="633" t="s">
        <v>1095</v>
      </c>
      <c r="B162" s="639"/>
      <c r="C162" s="640"/>
      <c r="D162" s="587"/>
      <c r="E162" s="0"/>
      <c r="F162" s="0"/>
      <c r="G162" s="0"/>
      <c r="H162" s="592" t="s">
        <v>200</v>
      </c>
      <c r="I162" s="637"/>
      <c r="J162" s="587"/>
      <c r="K162" s="456"/>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row>
    <row r="163" customFormat="false" ht="20.1" hidden="false" customHeight="true" outlineLevel="0" collapsed="false">
      <c r="A163" s="633" t="s">
        <v>1096</v>
      </c>
      <c r="B163" s="634" t="n">
        <f aca="false">SUM(C164:C170)</f>
        <v>72</v>
      </c>
      <c r="C163" s="635"/>
      <c r="D163" s="636"/>
      <c r="E163" s="0"/>
      <c r="F163" s="0"/>
      <c r="G163" s="0"/>
      <c r="H163" s="592" t="s">
        <v>202</v>
      </c>
      <c r="I163" s="637"/>
      <c r="J163" s="587"/>
      <c r="K163" s="456"/>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row>
    <row r="164" customFormat="false" ht="20.1" hidden="false" customHeight="true" outlineLevel="0" collapsed="false">
      <c r="A164" s="638" t="s">
        <v>95</v>
      </c>
      <c r="B164" s="639" t="s">
        <v>203</v>
      </c>
      <c r="C164" s="641"/>
      <c r="D164" s="587"/>
      <c r="E164" s="0"/>
      <c r="F164" s="0"/>
      <c r="G164" s="0"/>
      <c r="H164" s="592" t="s">
        <v>204</v>
      </c>
      <c r="I164" s="637"/>
      <c r="J164" s="587"/>
      <c r="K164" s="456"/>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row>
    <row r="165" customFormat="false" ht="20.1" hidden="false" customHeight="true" outlineLevel="0" collapsed="false">
      <c r="A165" s="633"/>
      <c r="B165" s="639" t="s">
        <v>205</v>
      </c>
      <c r="C165" s="641"/>
      <c r="D165" s="587"/>
      <c r="E165" s="0"/>
      <c r="F165" s="0"/>
      <c r="G165" s="0"/>
      <c r="H165" s="592" t="s">
        <v>206</v>
      </c>
      <c r="I165" s="637"/>
      <c r="J165" s="587"/>
      <c r="K165" s="456"/>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row>
    <row r="166" customFormat="false" ht="20.1" hidden="false" customHeight="true" outlineLevel="0" collapsed="false">
      <c r="A166" s="633"/>
      <c r="B166" s="639" t="s">
        <v>207</v>
      </c>
      <c r="C166" s="641" t="n">
        <v>14.4</v>
      </c>
      <c r="D166" s="587" t="s">
        <v>1081</v>
      </c>
      <c r="E166" s="0"/>
      <c r="F166" s="0"/>
      <c r="G166" s="0"/>
      <c r="H166" s="592" t="s">
        <v>208</v>
      </c>
      <c r="I166" s="637"/>
      <c r="J166" s="587"/>
      <c r="K166" s="456"/>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row>
    <row r="167" customFormat="false" ht="20.1" hidden="false" customHeight="true" outlineLevel="0" collapsed="false">
      <c r="A167" s="633"/>
      <c r="B167" s="639" t="s">
        <v>209</v>
      </c>
      <c r="C167" s="641"/>
      <c r="D167" s="587"/>
      <c r="E167" s="0"/>
      <c r="F167" s="0"/>
      <c r="G167" s="0"/>
      <c r="H167" s="592" t="s">
        <v>210</v>
      </c>
      <c r="I167" s="637"/>
      <c r="J167" s="587"/>
      <c r="K167" s="456"/>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row>
    <row r="168" customFormat="false" ht="20.1" hidden="false" customHeight="true" outlineLevel="0" collapsed="false">
      <c r="A168" s="633"/>
      <c r="B168" s="639" t="s">
        <v>211</v>
      </c>
      <c r="C168" s="641"/>
      <c r="D168" s="587"/>
      <c r="E168" s="0"/>
      <c r="F168" s="0"/>
      <c r="G168" s="0"/>
      <c r="H168" s="592" t="s">
        <v>212</v>
      </c>
      <c r="I168" s="637"/>
      <c r="J168" s="587"/>
      <c r="K168" s="456"/>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row>
    <row r="169" customFormat="false" ht="20.1" hidden="false" customHeight="true" outlineLevel="0" collapsed="false">
      <c r="A169" s="633" t="s">
        <v>1097</v>
      </c>
      <c r="B169" s="639" t="s">
        <v>213</v>
      </c>
      <c r="C169" s="641" t="n">
        <v>57.6</v>
      </c>
      <c r="D169" s="587" t="s">
        <v>1081</v>
      </c>
      <c r="E169" s="0"/>
      <c r="F169" s="0"/>
      <c r="G169" s="0"/>
      <c r="H169" s="592" t="s">
        <v>214</v>
      </c>
      <c r="I169" s="637"/>
      <c r="J169" s="587"/>
      <c r="K169" s="456"/>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row>
    <row r="170" customFormat="false" ht="20.1" hidden="false" customHeight="true" outlineLevel="0" collapsed="false">
      <c r="A170" s="633"/>
      <c r="B170" s="550" t="s">
        <v>215</v>
      </c>
      <c r="C170" s="641"/>
      <c r="D170" s="587"/>
      <c r="E170" s="0"/>
      <c r="F170" s="0"/>
      <c r="G170" s="0"/>
      <c r="H170" s="592" t="s">
        <v>216</v>
      </c>
      <c r="I170" s="637"/>
      <c r="J170" s="587"/>
      <c r="K170" s="456"/>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row>
    <row r="171" customFormat="false" ht="20.1" hidden="false" customHeight="true" outlineLevel="0" collapsed="false">
      <c r="A171" s="633" t="s">
        <v>217</v>
      </c>
      <c r="B171" s="639"/>
      <c r="C171" s="641"/>
      <c r="D171" s="587"/>
      <c r="E171" s="0"/>
      <c r="F171" s="0"/>
      <c r="G171" s="0"/>
      <c r="H171" s="592" t="s">
        <v>218</v>
      </c>
      <c r="I171" s="637"/>
      <c r="J171" s="587"/>
      <c r="K171" s="456"/>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row>
    <row r="172" customFormat="false" ht="20.1" hidden="false" customHeight="true" outlineLevel="0" collapsed="false">
      <c r="A172" s="633" t="s">
        <v>219</v>
      </c>
      <c r="B172" s="634" t="n">
        <f aca="false">SUM(C173:C182)</f>
        <v>0</v>
      </c>
      <c r="C172" s="635"/>
      <c r="D172" s="636"/>
      <c r="E172" s="0"/>
      <c r="F172" s="0"/>
      <c r="G172" s="0"/>
      <c r="H172" s="642"/>
      <c r="I172" s="643"/>
      <c r="J172" s="611"/>
      <c r="K172" s="456"/>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row>
    <row r="173" customFormat="false" ht="20.1" hidden="false" customHeight="true" outlineLevel="0" collapsed="false">
      <c r="A173" s="638" t="s">
        <v>95</v>
      </c>
      <c r="B173" s="550" t="s">
        <v>220</v>
      </c>
      <c r="C173" s="641"/>
      <c r="D173" s="587"/>
      <c r="E173" s="0"/>
      <c r="F173" s="0"/>
      <c r="G173" s="0"/>
      <c r="H173" s="456"/>
      <c r="I173" s="456"/>
      <c r="J173" s="456"/>
      <c r="K173" s="456"/>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row>
    <row r="174" customFormat="false" ht="20.1" hidden="false" customHeight="true" outlineLevel="0" collapsed="false">
      <c r="A174" s="633"/>
      <c r="B174" s="550" t="s">
        <v>221</v>
      </c>
      <c r="C174" s="641"/>
      <c r="D174" s="587"/>
      <c r="E174" s="0"/>
      <c r="F174" s="0"/>
      <c r="G174" s="0"/>
      <c r="H174" s="644" t="s">
        <v>1098</v>
      </c>
      <c r="I174" s="645" t="s">
        <v>1099</v>
      </c>
      <c r="J174" s="456"/>
      <c r="K174" s="456"/>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row>
    <row r="175" customFormat="false" ht="20.1" hidden="false" customHeight="true" outlineLevel="0" collapsed="false">
      <c r="A175" s="633"/>
      <c r="B175" s="550" t="s">
        <v>222</v>
      </c>
      <c r="C175" s="641"/>
      <c r="D175" s="587"/>
      <c r="E175" s="0"/>
      <c r="F175" s="0"/>
      <c r="G175" s="0"/>
      <c r="H175" s="578" t="s">
        <v>1093</v>
      </c>
      <c r="I175" s="646" t="n">
        <f aca="false">SUM(I158:I168,I170:I172)</f>
        <v>0</v>
      </c>
      <c r="J175" s="647"/>
      <c r="K175" s="456"/>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row>
    <row r="176" customFormat="false" ht="20.1" hidden="false" customHeight="true" outlineLevel="0" collapsed="false">
      <c r="A176" s="633"/>
      <c r="B176" s="550" t="s">
        <v>223</v>
      </c>
      <c r="C176" s="641"/>
      <c r="D176" s="587"/>
      <c r="E176" s="0"/>
      <c r="F176" s="618" t="s">
        <v>1100</v>
      </c>
      <c r="G176" s="0"/>
      <c r="H176" s="456"/>
      <c r="I176" s="456"/>
      <c r="J176" s="456"/>
      <c r="K176" s="456"/>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row>
    <row r="177" customFormat="false" ht="20.1" hidden="false" customHeight="true" outlineLevel="0" collapsed="false">
      <c r="A177" s="633"/>
      <c r="B177" s="550" t="s">
        <v>224</v>
      </c>
      <c r="C177" s="641"/>
      <c r="D177" s="587"/>
      <c r="E177" s="0"/>
      <c r="F177" s="14" t="s">
        <v>1101</v>
      </c>
      <c r="I177" s="619" t="n">
        <f aca="false">SUMIF(J158:J172,"Locale",I158:I172)</f>
        <v>0</v>
      </c>
      <c r="J177" s="621" t="s">
        <v>383</v>
      </c>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row>
    <row r="178" customFormat="false" ht="20.1" hidden="false" customHeight="true" outlineLevel="0" collapsed="false">
      <c r="A178" s="633"/>
      <c r="B178" s="550" t="s">
        <v>225</v>
      </c>
      <c r="C178" s="641"/>
      <c r="D178" s="587"/>
      <c r="E178" s="456"/>
      <c r="F178" s="648" t="s">
        <v>1102</v>
      </c>
      <c r="G178" s="648"/>
      <c r="H178" s="648"/>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row>
    <row r="179" customFormat="false" ht="20.1" hidden="false" customHeight="true" outlineLevel="0" collapsed="false">
      <c r="A179" s="633"/>
      <c r="B179" s="550" t="s">
        <v>228</v>
      </c>
      <c r="C179" s="641"/>
      <c r="D179" s="587"/>
      <c r="E179" s="456"/>
      <c r="F179" s="649"/>
      <c r="G179" s="650" t="s">
        <v>1103</v>
      </c>
      <c r="H179" s="650"/>
      <c r="I179" s="651"/>
      <c r="J179" s="652" t="s">
        <v>383</v>
      </c>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row>
    <row r="180" customFormat="false" ht="20.1" hidden="false" customHeight="true" outlineLevel="0" collapsed="false">
      <c r="A180" s="633"/>
      <c r="B180" s="550" t="s">
        <v>231</v>
      </c>
      <c r="C180" s="641"/>
      <c r="D180" s="587"/>
      <c r="E180" s="456"/>
      <c r="F180" s="456"/>
      <c r="G180" s="650" t="s">
        <v>1104</v>
      </c>
      <c r="H180" s="650"/>
      <c r="I180" s="651"/>
      <c r="J180" s="652" t="s">
        <v>383</v>
      </c>
      <c r="K180" s="456"/>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row>
    <row r="181" customFormat="false" ht="20.1" hidden="false" customHeight="true" outlineLevel="0" collapsed="false">
      <c r="A181" s="633"/>
      <c r="B181" s="550" t="s">
        <v>232</v>
      </c>
      <c r="C181" s="641"/>
      <c r="D181" s="587"/>
      <c r="E181" s="456"/>
      <c r="F181" s="456"/>
      <c r="G181" s="456"/>
      <c r="H181" s="456"/>
      <c r="I181" s="456"/>
      <c r="J181" s="456"/>
      <c r="K181" s="456"/>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row>
    <row r="182" customFormat="false" ht="20.1" hidden="false" customHeight="true" outlineLevel="0" collapsed="false">
      <c r="A182" s="633"/>
      <c r="B182" s="550" t="s">
        <v>233</v>
      </c>
      <c r="C182" s="641"/>
      <c r="D182" s="587"/>
      <c r="E182" s="456"/>
      <c r="F182" s="456"/>
      <c r="G182" s="456"/>
      <c r="H182" s="456"/>
      <c r="I182" s="456"/>
      <c r="J182" s="456"/>
      <c r="K182" s="456"/>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row>
    <row r="183" customFormat="false" ht="20.1" hidden="false" customHeight="true" outlineLevel="0" collapsed="false">
      <c r="A183" s="633" t="s">
        <v>1105</v>
      </c>
      <c r="B183" s="639"/>
      <c r="C183" s="641"/>
      <c r="D183" s="587"/>
      <c r="E183" s="456"/>
      <c r="F183" s="456"/>
      <c r="G183" s="456"/>
      <c r="H183" s="456"/>
      <c r="I183" s="456"/>
      <c r="J183" s="456"/>
      <c r="K183" s="456"/>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row>
    <row r="184" customFormat="false" ht="20.1" hidden="false" customHeight="true" outlineLevel="0" collapsed="false">
      <c r="A184" s="633" t="s">
        <v>235</v>
      </c>
      <c r="B184" s="639"/>
      <c r="C184" s="641"/>
      <c r="D184" s="587"/>
      <c r="E184" s="456"/>
      <c r="F184" s="456"/>
      <c r="G184" s="456"/>
      <c r="H184" s="456"/>
      <c r="I184" s="456"/>
      <c r="J184" s="456"/>
      <c r="K184" s="456"/>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row>
    <row r="185" customFormat="false" ht="20.1" hidden="false" customHeight="true" outlineLevel="0" collapsed="false">
      <c r="A185" s="633" t="s">
        <v>236</v>
      </c>
      <c r="B185" s="639"/>
      <c r="C185" s="641"/>
      <c r="D185" s="587"/>
      <c r="E185" s="456"/>
      <c r="F185" s="456"/>
      <c r="G185" s="456"/>
      <c r="H185" s="456"/>
      <c r="I185" s="456"/>
      <c r="J185" s="456"/>
      <c r="K185" s="456"/>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row>
    <row r="186" customFormat="false" ht="20.1" hidden="false" customHeight="true" outlineLevel="0" collapsed="false">
      <c r="A186" s="633" t="s">
        <v>237</v>
      </c>
      <c r="B186" s="639"/>
      <c r="C186" s="641"/>
      <c r="D186" s="587"/>
      <c r="E186" s="456"/>
      <c r="F186" s="456"/>
      <c r="G186" s="456"/>
      <c r="H186" s="456"/>
      <c r="I186" s="456"/>
      <c r="J186" s="456"/>
      <c r="K186" s="456"/>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row>
    <row r="187" customFormat="false" ht="20.1" hidden="false" customHeight="true" outlineLevel="0" collapsed="false">
      <c r="A187" s="633" t="s">
        <v>238</v>
      </c>
      <c r="B187" s="639"/>
      <c r="C187" s="641"/>
      <c r="D187" s="587"/>
      <c r="E187" s="456"/>
      <c r="F187" s="456"/>
      <c r="G187" s="456"/>
      <c r="H187" s="456"/>
      <c r="I187" s="456"/>
      <c r="J187" s="456"/>
      <c r="K187" s="456"/>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row>
    <row r="188" customFormat="false" ht="20.1" hidden="false" customHeight="true" outlineLevel="0" collapsed="false">
      <c r="A188" s="633" t="s">
        <v>1106</v>
      </c>
      <c r="B188" s="634" t="n">
        <f aca="false">SUM(C189:C192)</f>
        <v>0</v>
      </c>
      <c r="C188" s="635"/>
      <c r="D188" s="636"/>
      <c r="E188" s="456"/>
      <c r="F188" s="456"/>
      <c r="G188" s="456"/>
      <c r="H188" s="456"/>
      <c r="I188" s="456"/>
      <c r="J188" s="456"/>
      <c r="K188" s="456"/>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row>
    <row r="189" customFormat="false" ht="20.1" hidden="false" customHeight="true" outlineLevel="0" collapsed="false">
      <c r="A189" s="638" t="s">
        <v>95</v>
      </c>
      <c r="B189" s="639" t="s">
        <v>240</v>
      </c>
      <c r="C189" s="653"/>
      <c r="D189" s="587"/>
      <c r="E189" s="456"/>
      <c r="F189" s="456"/>
      <c r="G189" s="456"/>
      <c r="H189" s="456"/>
      <c r="I189" s="456"/>
      <c r="J189" s="456"/>
      <c r="K189" s="456"/>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row>
    <row r="190" customFormat="false" ht="20.1" hidden="false" customHeight="true" outlineLevel="0" collapsed="false">
      <c r="A190" s="633"/>
      <c r="B190" s="639" t="s">
        <v>241</v>
      </c>
      <c r="C190" s="641"/>
      <c r="D190" s="587"/>
      <c r="E190" s="456"/>
      <c r="F190" s="456"/>
      <c r="G190" s="456"/>
      <c r="H190" s="456"/>
      <c r="I190" s="456"/>
      <c r="J190" s="456"/>
      <c r="K190" s="456"/>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row>
    <row r="191" customFormat="false" ht="20.1" hidden="false" customHeight="true" outlineLevel="0" collapsed="false">
      <c r="A191" s="633"/>
      <c r="B191" s="639" t="s">
        <v>242</v>
      </c>
      <c r="C191" s="641"/>
      <c r="D191" s="587"/>
      <c r="E191" s="456"/>
      <c r="F191" s="456"/>
      <c r="G191" s="456"/>
      <c r="H191" s="411"/>
      <c r="I191" s="654"/>
      <c r="J191" s="576"/>
      <c r="K191" s="576"/>
      <c r="L191" s="590"/>
      <c r="M191" s="59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row>
    <row r="192" customFormat="false" ht="20.1" hidden="false" customHeight="true" outlineLevel="0" collapsed="false">
      <c r="A192" s="633"/>
      <c r="B192" s="639" t="s">
        <v>243</v>
      </c>
      <c r="C192" s="641"/>
      <c r="D192" s="587"/>
      <c r="E192" s="456"/>
      <c r="F192" s="456"/>
      <c r="G192" s="456"/>
      <c r="H192" s="411"/>
      <c r="I192" s="654"/>
      <c r="J192" s="576"/>
      <c r="K192" s="576"/>
      <c r="L192" s="590"/>
      <c r="M192" s="59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row>
    <row r="193" customFormat="false" ht="20.1" hidden="false" customHeight="true" outlineLevel="0" collapsed="false">
      <c r="A193" s="633" t="s">
        <v>1107</v>
      </c>
      <c r="B193" s="639"/>
      <c r="C193" s="641"/>
      <c r="D193" s="587"/>
      <c r="E193" s="456"/>
      <c r="F193" s="456"/>
      <c r="G193" s="456"/>
      <c r="H193" s="411"/>
      <c r="I193" s="654"/>
      <c r="J193" s="576"/>
      <c r="K193" s="576"/>
      <c r="L193" s="590"/>
      <c r="M193" s="59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row>
    <row r="194" customFormat="false" ht="20.1" hidden="false" customHeight="true" outlineLevel="0" collapsed="false">
      <c r="A194" s="633" t="s">
        <v>1108</v>
      </c>
      <c r="B194" s="639"/>
      <c r="C194" s="641"/>
      <c r="D194" s="587"/>
      <c r="E194" s="456"/>
      <c r="F194" s="456"/>
      <c r="G194" s="456"/>
      <c r="H194" s="411"/>
      <c r="I194" s="654"/>
      <c r="J194" s="576"/>
      <c r="K194" s="576"/>
      <c r="L194" s="590"/>
      <c r="M194" s="59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row>
    <row r="195" customFormat="false" ht="20.1" hidden="false" customHeight="true" outlineLevel="0" collapsed="false">
      <c r="A195" s="633" t="s">
        <v>1109</v>
      </c>
      <c r="B195" s="639"/>
      <c r="C195" s="641"/>
      <c r="D195" s="587"/>
      <c r="E195" s="456"/>
      <c r="F195" s="456"/>
      <c r="G195" s="456"/>
      <c r="H195" s="411"/>
      <c r="I195" s="654"/>
      <c r="J195" s="576"/>
      <c r="K195" s="576"/>
      <c r="L195" s="590"/>
      <c r="M195" s="59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row>
    <row r="196" customFormat="false" ht="20.1" hidden="false" customHeight="true" outlineLevel="0" collapsed="false">
      <c r="A196" s="633" t="s">
        <v>1110</v>
      </c>
      <c r="B196" s="639"/>
      <c r="C196" s="641"/>
      <c r="D196" s="587"/>
      <c r="E196" s="456"/>
      <c r="F196" s="456"/>
      <c r="G196" s="456"/>
      <c r="H196" s="411"/>
      <c r="I196" s="654"/>
      <c r="J196" s="576"/>
      <c r="K196" s="576"/>
      <c r="L196" s="590"/>
      <c r="M196" s="59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row>
    <row r="197" customFormat="false" ht="20.1" hidden="false" customHeight="true" outlineLevel="0" collapsed="false">
      <c r="A197" s="655" t="s">
        <v>244</v>
      </c>
      <c r="B197" s="656"/>
      <c r="C197" s="657"/>
      <c r="D197" s="611"/>
      <c r="E197" s="456"/>
      <c r="F197" s="456"/>
      <c r="G197" s="456"/>
      <c r="H197" s="411"/>
      <c r="I197" s="654"/>
      <c r="J197" s="576"/>
      <c r="K197" s="576"/>
      <c r="L197" s="590"/>
      <c r="M197" s="59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row>
    <row r="198" customFormat="false" ht="20.1" hidden="false" customHeight="true" outlineLevel="0" collapsed="false">
      <c r="A198" s="658"/>
      <c r="B198" s="659"/>
      <c r="C198" s="660"/>
      <c r="D198" s="459"/>
      <c r="E198" s="456"/>
      <c r="F198" s="456"/>
      <c r="G198" s="456"/>
      <c r="H198" s="411"/>
      <c r="I198" s="654"/>
      <c r="J198" s="576"/>
      <c r="K198" s="576"/>
      <c r="L198" s="590"/>
      <c r="M198" s="59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row>
    <row r="199" customFormat="false" ht="20.1" hidden="false" customHeight="true" outlineLevel="0" collapsed="false">
      <c r="A199" s="658"/>
      <c r="B199" s="661" t="s">
        <v>1111</v>
      </c>
      <c r="C199" s="662" t="s">
        <v>1112</v>
      </c>
      <c r="D199" s="459"/>
      <c r="E199" s="456"/>
      <c r="F199" s="456"/>
      <c r="G199" s="456"/>
      <c r="H199" s="663"/>
      <c r="I199" s="664"/>
      <c r="J199" s="576"/>
      <c r="K199" s="576"/>
      <c r="L199" s="456"/>
      <c r="M199" s="456"/>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row>
    <row r="200" s="456" customFormat="true" ht="20.1" hidden="false" customHeight="true" outlineLevel="0" collapsed="false">
      <c r="A200" s="437"/>
      <c r="B200" s="578" t="s">
        <v>383</v>
      </c>
      <c r="C200" s="646" t="n">
        <f aca="false">SUM(B158+C162+B163+C171+B172+C183+C184+C185+C186+C187+B188+C193+C194+C195+C196)</f>
        <v>72</v>
      </c>
      <c r="D200" s="625"/>
      <c r="G200" s="411"/>
      <c r="J200" s="665"/>
      <c r="K200" s="411"/>
      <c r="L200" s="411"/>
      <c r="M200" s="411"/>
      <c r="N200" s="590"/>
      <c r="O200" s="569"/>
      <c r="P200" s="569"/>
      <c r="Q200" s="569"/>
      <c r="R200" s="411"/>
      <c r="S200" s="411"/>
      <c r="T200" s="411"/>
    </row>
    <row r="201" customFormat="false" ht="20.1" hidden="false" customHeight="true" outlineLevel="0" collapsed="false">
      <c r="A201" s="437"/>
      <c r="B201" s="0"/>
      <c r="C201" s="0"/>
      <c r="D201" s="0"/>
      <c r="E201" s="615"/>
      <c r="F201" s="456"/>
      <c r="G201" s="666"/>
      <c r="H201" s="625"/>
      <c r="I201" s="0"/>
      <c r="J201" s="0"/>
      <c r="K201" s="411"/>
      <c r="R201" s="590"/>
      <c r="S201" s="569"/>
      <c r="T201" s="569"/>
      <c r="U201" s="569"/>
      <c r="V201" s="411"/>
      <c r="W201" s="411"/>
      <c r="X201" s="411"/>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row>
    <row r="202" customFormat="false" ht="20.1" hidden="false" customHeight="true" outlineLevel="0" collapsed="false">
      <c r="A202" s="0"/>
      <c r="B202" s="433" t="s">
        <v>1113</v>
      </c>
      <c r="C202" s="433"/>
      <c r="D202" s="433"/>
      <c r="E202" s="619" t="n">
        <f aca="false">SUMIF(D159:D197,"Locale",C159:C197)</f>
        <v>72</v>
      </c>
      <c r="F202" s="621" t="s">
        <v>383</v>
      </c>
      <c r="H202" s="0"/>
      <c r="I202" s="0"/>
      <c r="J202" s="0"/>
      <c r="K202" s="411"/>
      <c r="N202" s="576"/>
      <c r="O202" s="576"/>
      <c r="P202" s="590"/>
      <c r="Q202" s="590"/>
      <c r="R202" s="590"/>
      <c r="S202" s="569"/>
      <c r="T202" s="569"/>
      <c r="U202" s="569"/>
      <c r="V202" s="411"/>
      <c r="W202" s="411"/>
      <c r="X202" s="411"/>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row>
    <row r="203" customFormat="false" ht="20.1" hidden="false" customHeight="true" outlineLevel="0" collapsed="false">
      <c r="A203" s="0"/>
      <c r="B203" s="648" t="s">
        <v>1114</v>
      </c>
      <c r="C203" s="648"/>
      <c r="D203" s="648"/>
      <c r="H203" s="617"/>
      <c r="I203" s="616"/>
      <c r="J203" s="625"/>
      <c r="K203" s="0"/>
      <c r="L203" s="0"/>
      <c r="M203" s="411"/>
      <c r="P203" s="576"/>
      <c r="Q203" s="576"/>
      <c r="R203" s="411"/>
      <c r="S203" s="411"/>
      <c r="T203" s="590"/>
      <c r="U203" s="569"/>
      <c r="V203" s="569"/>
      <c r="W203" s="569"/>
      <c r="X203" s="411"/>
      <c r="Y203" s="411"/>
      <c r="Z203" s="411"/>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row>
    <row r="204" customFormat="false" ht="20.1" hidden="false" customHeight="true" outlineLevel="0" collapsed="false">
      <c r="A204" s="0"/>
      <c r="B204" s="649"/>
      <c r="C204" s="650" t="s">
        <v>1115</v>
      </c>
      <c r="D204" s="650"/>
      <c r="E204" s="651"/>
      <c r="F204" s="652" t="s">
        <v>383</v>
      </c>
      <c r="H204" s="617"/>
      <c r="I204" s="616"/>
      <c r="J204" s="625"/>
      <c r="K204" s="0"/>
      <c r="L204" s="0"/>
      <c r="M204" s="411"/>
      <c r="P204" s="576"/>
      <c r="Q204" s="576"/>
      <c r="R204" s="411"/>
      <c r="S204" s="411"/>
      <c r="T204" s="590"/>
      <c r="U204" s="569"/>
      <c r="V204" s="569"/>
      <c r="W204" s="569"/>
      <c r="X204" s="411"/>
      <c r="Y204" s="411"/>
      <c r="Z204" s="411"/>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row>
    <row r="205" customFormat="false" ht="20.1" hidden="false" customHeight="true" outlineLevel="0" collapsed="false">
      <c r="A205" s="0"/>
      <c r="B205" s="0"/>
      <c r="C205" s="650" t="s">
        <v>1116</v>
      </c>
      <c r="D205" s="650"/>
      <c r="E205" s="651"/>
      <c r="F205" s="652" t="s">
        <v>383</v>
      </c>
      <c r="G205" s="616"/>
      <c r="H205" s="617"/>
      <c r="I205" s="616"/>
      <c r="J205" s="625"/>
      <c r="K205" s="0"/>
      <c r="L205" s="0"/>
      <c r="M205" s="411"/>
      <c r="P205" s="576"/>
      <c r="Q205" s="576"/>
      <c r="R205" s="411"/>
      <c r="S205" s="411"/>
      <c r="T205" s="590"/>
      <c r="U205" s="569"/>
      <c r="V205" s="569"/>
      <c r="W205" s="569"/>
      <c r="X205" s="411"/>
      <c r="Y205" s="411"/>
      <c r="Z205" s="411"/>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row>
    <row r="206" customFormat="false" ht="20.1" hidden="false" customHeight="true" outlineLevel="0" collapsed="false">
      <c r="A206" s="0"/>
      <c r="B206" s="0"/>
      <c r="C206" s="0"/>
      <c r="D206" s="0"/>
      <c r="E206" s="0"/>
      <c r="F206" s="615"/>
      <c r="G206" s="616"/>
      <c r="H206" s="617"/>
      <c r="I206" s="616"/>
      <c r="J206" s="625"/>
      <c r="K206" s="0"/>
      <c r="L206" s="0"/>
      <c r="M206" s="411"/>
      <c r="P206" s="576"/>
      <c r="Q206" s="576"/>
      <c r="R206" s="411"/>
      <c r="S206" s="411"/>
      <c r="T206" s="590"/>
      <c r="U206" s="569"/>
      <c r="V206" s="569"/>
      <c r="W206" s="569"/>
      <c r="X206" s="411"/>
      <c r="Y206" s="411"/>
      <c r="Z206" s="411"/>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row>
    <row r="207" customFormat="false" ht="20.1" hidden="false" customHeight="true" outlineLevel="0" collapsed="false">
      <c r="A207" s="0"/>
      <c r="B207" s="0"/>
      <c r="C207" s="0"/>
      <c r="D207" s="0"/>
      <c r="E207" s="0"/>
      <c r="F207" s="615"/>
      <c r="G207" s="616"/>
      <c r="H207" s="617"/>
      <c r="I207" s="616"/>
      <c r="J207" s="625"/>
      <c r="K207" s="0"/>
      <c r="L207" s="0"/>
      <c r="M207" s="411"/>
      <c r="P207" s="576"/>
      <c r="Q207" s="576"/>
      <c r="R207" s="411"/>
      <c r="S207" s="411"/>
      <c r="T207" s="590"/>
      <c r="U207" s="569"/>
      <c r="V207" s="569"/>
      <c r="W207" s="569"/>
      <c r="X207" s="411"/>
      <c r="Y207" s="411"/>
      <c r="Z207" s="411"/>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row>
    <row r="208" s="456" customFormat="true" ht="20.1" hidden="false" customHeight="true" outlineLevel="0" collapsed="false">
      <c r="A208" s="11"/>
      <c r="B208" s="413" t="s">
        <v>1117</v>
      </c>
      <c r="C208" s="437"/>
      <c r="D208" s="421"/>
      <c r="E208" s="421"/>
      <c r="F208" s="421"/>
      <c r="G208" s="421"/>
      <c r="H208" s="11"/>
      <c r="I208" s="11"/>
      <c r="J208" s="667"/>
      <c r="M208" s="411"/>
      <c r="N208" s="11"/>
      <c r="O208" s="11"/>
      <c r="P208" s="576"/>
      <c r="Q208" s="576"/>
      <c r="R208" s="411"/>
      <c r="S208" s="411"/>
      <c r="T208" s="590"/>
      <c r="U208" s="569"/>
      <c r="V208" s="569"/>
      <c r="W208" s="569"/>
      <c r="X208" s="411"/>
      <c r="Y208" s="411"/>
      <c r="Z208" s="411"/>
    </row>
    <row r="209" s="456" customFormat="true" ht="20.1" hidden="false" customHeight="true" outlineLevel="0" collapsed="false">
      <c r="A209" s="411"/>
      <c r="B209" s="411"/>
      <c r="C209" s="569"/>
      <c r="D209" s="665"/>
      <c r="E209" s="411"/>
      <c r="F209" s="411"/>
      <c r="G209" s="409"/>
      <c r="H209" s="409"/>
      <c r="I209" s="409"/>
      <c r="J209" s="668"/>
      <c r="L209" s="411"/>
      <c r="M209" s="411"/>
      <c r="N209" s="11"/>
      <c r="O209" s="11"/>
      <c r="P209" s="576"/>
      <c r="Q209" s="576"/>
      <c r="R209" s="411"/>
      <c r="S209" s="411"/>
    </row>
    <row r="210" s="456" customFormat="true" ht="20.1" hidden="false" customHeight="true" outlineLevel="0" collapsed="false">
      <c r="A210" s="454" t="s">
        <v>1118</v>
      </c>
      <c r="B210" s="455"/>
      <c r="F210" s="627"/>
      <c r="H210" s="457"/>
      <c r="I210" s="457"/>
      <c r="J210" s="457"/>
      <c r="L210" s="456" t="s">
        <v>1119</v>
      </c>
      <c r="N210" s="11"/>
      <c r="O210" s="11"/>
      <c r="P210" s="576"/>
      <c r="T210" s="669"/>
      <c r="U210" s="411"/>
      <c r="V210" s="411"/>
      <c r="W210" s="411"/>
      <c r="X210" s="663"/>
      <c r="Y210" s="670"/>
      <c r="Z210" s="576"/>
      <c r="AA210" s="576"/>
    </row>
    <row r="211" customFormat="false" ht="20.1" hidden="false" customHeight="true" outlineLevel="0" collapsed="false">
      <c r="A211" s="455"/>
      <c r="B211" s="455"/>
      <c r="C211" s="456"/>
      <c r="D211" s="456"/>
      <c r="E211" s="456"/>
      <c r="F211" s="456"/>
      <c r="G211" s="456"/>
      <c r="J211" s="457"/>
      <c r="L211" s="457"/>
      <c r="M211" s="0"/>
      <c r="N211" s="0"/>
      <c r="O211" s="0"/>
      <c r="P211" s="576"/>
      <c r="Q211" s="456"/>
      <c r="R211" s="456"/>
      <c r="S211" s="456"/>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row>
    <row r="212" customFormat="false" ht="20.1" hidden="false" customHeight="true" outlineLevel="0" collapsed="false">
      <c r="A212" s="411"/>
      <c r="B212" s="671" t="s">
        <v>1120</v>
      </c>
      <c r="C212" s="671"/>
      <c r="D212" s="671"/>
      <c r="E212" s="671"/>
      <c r="F212" s="671"/>
      <c r="G212" s="671" t="s">
        <v>1121</v>
      </c>
      <c r="H212" s="671"/>
      <c r="I212" s="671"/>
      <c r="J212" s="671" t="s">
        <v>1122</v>
      </c>
      <c r="K212" s="671"/>
      <c r="L212" s="671"/>
      <c r="M212" s="0"/>
      <c r="N212" s="0"/>
      <c r="O212" s="669"/>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row>
    <row r="213" customFormat="false" ht="69" hidden="false" customHeight="true" outlineLevel="0" collapsed="false">
      <c r="A213" s="672"/>
      <c r="B213" s="673" t="s">
        <v>1123</v>
      </c>
      <c r="C213" s="674" t="s">
        <v>298</v>
      </c>
      <c r="D213" s="675" t="s">
        <v>1124</v>
      </c>
      <c r="E213" s="675" t="s">
        <v>1125</v>
      </c>
      <c r="F213" s="674" t="s">
        <v>413</v>
      </c>
      <c r="G213" s="676" t="s">
        <v>1126</v>
      </c>
      <c r="H213" s="677" t="s">
        <v>190</v>
      </c>
      <c r="I213" s="677"/>
      <c r="J213" s="676" t="s">
        <v>1127</v>
      </c>
      <c r="K213" s="677" t="s">
        <v>307</v>
      </c>
      <c r="L213" s="677"/>
      <c r="M213" s="0"/>
      <c r="N213" s="0"/>
      <c r="O213" s="576"/>
      <c r="P213" s="59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row>
    <row r="214" customFormat="false" ht="30" hidden="false" customHeight="true" outlineLevel="0" collapsed="false">
      <c r="A214" s="678"/>
      <c r="B214" s="679" t="s">
        <v>1128</v>
      </c>
      <c r="C214" s="552" t="s">
        <v>94</v>
      </c>
      <c r="D214" s="552" t="s">
        <v>1129</v>
      </c>
      <c r="E214" s="680" t="s">
        <v>1130</v>
      </c>
      <c r="F214" s="681"/>
      <c r="G214" s="682" t="s">
        <v>1093</v>
      </c>
      <c r="H214" s="555"/>
      <c r="I214" s="555"/>
      <c r="J214" s="682" t="s">
        <v>1093</v>
      </c>
      <c r="K214" s="555"/>
      <c r="L214" s="555"/>
      <c r="O214" s="576"/>
      <c r="P214" s="590"/>
    </row>
    <row r="215" customFormat="false" ht="30.75" hidden="false" customHeight="true" outlineLevel="0" collapsed="false">
      <c r="A215" s="683" t="s">
        <v>1131</v>
      </c>
      <c r="B215" s="684"/>
      <c r="C215" s="685"/>
      <c r="D215" s="685"/>
      <c r="E215" s="685"/>
      <c r="F215" s="686"/>
      <c r="G215" s="687"/>
      <c r="H215" s="688"/>
      <c r="I215" s="688"/>
      <c r="J215" s="687"/>
      <c r="K215" s="688"/>
      <c r="L215" s="688"/>
      <c r="M215" s="0"/>
      <c r="N215" s="0"/>
      <c r="O215" s="576"/>
      <c r="P215" s="59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row>
    <row r="216" customFormat="false" ht="20.1" hidden="false" customHeight="true" outlineLevel="0" collapsed="false">
      <c r="A216" s="689" t="s">
        <v>309</v>
      </c>
      <c r="B216" s="690"/>
      <c r="C216" s="483"/>
      <c r="D216" s="483"/>
      <c r="E216" s="691"/>
      <c r="F216" s="692" t="n">
        <f aca="false">C216*D216</f>
        <v>0</v>
      </c>
      <c r="G216" s="693" t="n">
        <f aca="false">I158</f>
        <v>0</v>
      </c>
      <c r="H216" s="694"/>
      <c r="I216" s="694"/>
      <c r="J216" s="695"/>
      <c r="K216" s="694"/>
      <c r="L216" s="694"/>
      <c r="M216" s="0"/>
      <c r="N216" s="0"/>
      <c r="O216" s="576"/>
      <c r="P216" s="59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row>
    <row r="217" customFormat="false" ht="20.1" hidden="false" customHeight="true" outlineLevel="0" collapsed="false">
      <c r="A217" s="689" t="s">
        <v>202</v>
      </c>
      <c r="B217" s="690"/>
      <c r="C217" s="483"/>
      <c r="D217" s="483"/>
      <c r="E217" s="691"/>
      <c r="F217" s="692" t="n">
        <f aca="false">C217*D217</f>
        <v>0</v>
      </c>
      <c r="G217" s="693" t="n">
        <f aca="false">I163</f>
        <v>0</v>
      </c>
      <c r="H217" s="694"/>
      <c r="I217" s="694"/>
      <c r="J217" s="695"/>
      <c r="K217" s="694"/>
      <c r="L217" s="694"/>
      <c r="M217" s="0"/>
      <c r="N217" s="0"/>
      <c r="O217" s="576"/>
      <c r="P217" s="59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row>
    <row r="218" customFormat="false" ht="20.1" hidden="false" customHeight="true" outlineLevel="0" collapsed="false">
      <c r="A218" s="689" t="s">
        <v>206</v>
      </c>
      <c r="B218" s="690"/>
      <c r="C218" s="483"/>
      <c r="D218" s="483"/>
      <c r="E218" s="691"/>
      <c r="F218" s="692" t="n">
        <f aca="false">C218*D218</f>
        <v>0</v>
      </c>
      <c r="G218" s="696" t="n">
        <f aca="false">I165+I166+I167</f>
        <v>0</v>
      </c>
      <c r="H218" s="694"/>
      <c r="I218" s="694"/>
      <c r="J218" s="695"/>
      <c r="K218" s="694"/>
      <c r="L218" s="694"/>
      <c r="M218" s="0"/>
      <c r="N218" s="0"/>
      <c r="O218" s="576"/>
      <c r="P218" s="59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row>
    <row r="219" customFormat="false" ht="20.1" hidden="false" customHeight="true" outlineLevel="0" collapsed="false">
      <c r="A219" s="689" t="s">
        <v>310</v>
      </c>
      <c r="B219" s="690"/>
      <c r="C219" s="483"/>
      <c r="D219" s="483"/>
      <c r="E219" s="691"/>
      <c r="F219" s="692" t="n">
        <f aca="false">C219*D219</f>
        <v>0</v>
      </c>
      <c r="G219" s="693" t="n">
        <f aca="false">I162</f>
        <v>0</v>
      </c>
      <c r="H219" s="694"/>
      <c r="I219" s="694"/>
      <c r="J219" s="695"/>
      <c r="K219" s="694"/>
      <c r="L219" s="694"/>
      <c r="O219" s="576"/>
      <c r="P219" s="590"/>
    </row>
    <row r="220" customFormat="false" ht="20.1" hidden="false" customHeight="true" outlineLevel="0" collapsed="false">
      <c r="A220" s="689" t="s">
        <v>204</v>
      </c>
      <c r="B220" s="690"/>
      <c r="C220" s="483"/>
      <c r="D220" s="483"/>
      <c r="E220" s="691"/>
      <c r="F220" s="692" t="n">
        <f aca="false">C220*D220</f>
        <v>0</v>
      </c>
      <c r="G220" s="693" t="n">
        <f aca="false">I164</f>
        <v>0</v>
      </c>
      <c r="H220" s="694"/>
      <c r="I220" s="694"/>
      <c r="J220" s="695"/>
      <c r="K220" s="694"/>
      <c r="L220" s="694"/>
      <c r="O220" s="576"/>
      <c r="P220" s="590"/>
    </row>
    <row r="221" customFormat="false" ht="20.1" hidden="false" customHeight="true" outlineLevel="0" collapsed="false">
      <c r="A221" s="689" t="s">
        <v>1132</v>
      </c>
      <c r="B221" s="690"/>
      <c r="C221" s="483"/>
      <c r="D221" s="483"/>
      <c r="E221" s="691"/>
      <c r="F221" s="692" t="n">
        <f aca="false">C221*D221</f>
        <v>0</v>
      </c>
      <c r="G221" s="697"/>
      <c r="H221" s="694"/>
      <c r="I221" s="694"/>
      <c r="J221" s="695"/>
      <c r="K221" s="694"/>
      <c r="L221" s="694"/>
      <c r="M221" s="0"/>
      <c r="N221" s="0"/>
      <c r="O221" s="576"/>
      <c r="P221" s="59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row>
    <row r="222" customFormat="false" ht="20.1" hidden="false" customHeight="true" outlineLevel="0" collapsed="false">
      <c r="A222" s="698" t="s">
        <v>1133</v>
      </c>
      <c r="B222" s="690"/>
      <c r="C222" s="483"/>
      <c r="D222" s="483"/>
      <c r="E222" s="699"/>
      <c r="F222" s="692" t="n">
        <f aca="false">C222*D222</f>
        <v>0</v>
      </c>
      <c r="G222" s="700"/>
      <c r="H222" s="694"/>
      <c r="I222" s="694"/>
      <c r="J222" s="695"/>
      <c r="K222" s="694"/>
      <c r="L222" s="694"/>
      <c r="M222" s="0"/>
      <c r="N222" s="0"/>
      <c r="O222" s="669"/>
      <c r="P222" s="669"/>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row>
    <row r="223" customFormat="false" ht="20.1" hidden="false" customHeight="true" outlineLevel="0" collapsed="false">
      <c r="A223" s="689" t="s">
        <v>1134</v>
      </c>
      <c r="B223" s="690"/>
      <c r="C223" s="483"/>
      <c r="D223" s="483"/>
      <c r="E223" s="699"/>
      <c r="F223" s="692" t="n">
        <f aca="false">C223*D223</f>
        <v>0</v>
      </c>
      <c r="G223" s="700"/>
      <c r="H223" s="694"/>
      <c r="I223" s="694"/>
      <c r="J223" s="695"/>
      <c r="K223" s="694"/>
      <c r="L223" s="694"/>
      <c r="M223" s="0"/>
      <c r="N223" s="0"/>
      <c r="O223" s="669"/>
      <c r="P223" s="669"/>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row>
    <row r="224" customFormat="false" ht="20.1" hidden="false" customHeight="true" outlineLevel="0" collapsed="false">
      <c r="A224" s="689" t="s">
        <v>313</v>
      </c>
      <c r="B224" s="690"/>
      <c r="C224" s="483"/>
      <c r="D224" s="483"/>
      <c r="E224" s="699"/>
      <c r="F224" s="692" t="n">
        <f aca="false">C224*D224</f>
        <v>0</v>
      </c>
      <c r="G224" s="700"/>
      <c r="H224" s="694"/>
      <c r="I224" s="694"/>
      <c r="J224" s="695"/>
      <c r="K224" s="694"/>
      <c r="L224" s="694"/>
      <c r="O224" s="456"/>
      <c r="P224" s="456"/>
    </row>
    <row r="225" customFormat="false" ht="20.1" hidden="false" customHeight="true" outlineLevel="0" collapsed="false">
      <c r="A225" s="689" t="s">
        <v>314</v>
      </c>
      <c r="B225" s="690"/>
      <c r="C225" s="483"/>
      <c r="D225" s="483"/>
      <c r="E225" s="699"/>
      <c r="F225" s="692" t="n">
        <f aca="false">C225*D225</f>
        <v>0</v>
      </c>
      <c r="G225" s="693" t="s">
        <v>1135</v>
      </c>
      <c r="H225" s="694"/>
      <c r="I225" s="694"/>
      <c r="J225" s="695"/>
      <c r="K225" s="694"/>
      <c r="L225" s="694"/>
      <c r="O225" s="669"/>
      <c r="P225" s="669"/>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row>
    <row r="226" customFormat="false" ht="20.1" hidden="false" customHeight="true" outlineLevel="0" collapsed="false">
      <c r="A226" s="689" t="s">
        <v>1136</v>
      </c>
      <c r="B226" s="690"/>
      <c r="C226" s="483"/>
      <c r="D226" s="483"/>
      <c r="E226" s="699"/>
      <c r="F226" s="692" t="n">
        <f aca="false">C226*D226</f>
        <v>0</v>
      </c>
      <c r="G226" s="696" t="n">
        <f aca="false">I168</f>
        <v>0</v>
      </c>
      <c r="H226" s="694"/>
      <c r="I226" s="694"/>
      <c r="J226" s="695"/>
      <c r="K226" s="694"/>
      <c r="L226" s="694"/>
      <c r="M226" s="0"/>
      <c r="N226" s="0"/>
      <c r="O226" s="669"/>
      <c r="P226" s="669"/>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row>
    <row r="227" customFormat="false" ht="20.1" hidden="false" customHeight="true" outlineLevel="0" collapsed="false">
      <c r="A227" s="701" t="s">
        <v>1137</v>
      </c>
      <c r="B227" s="702"/>
      <c r="C227" s="685"/>
      <c r="D227" s="685"/>
      <c r="E227" s="685"/>
      <c r="F227" s="686"/>
      <c r="G227" s="703" t="s">
        <v>1138</v>
      </c>
      <c r="H227" s="688"/>
      <c r="I227" s="688"/>
      <c r="J227" s="687"/>
      <c r="K227" s="688"/>
      <c r="L227" s="688"/>
      <c r="M227" s="0"/>
      <c r="N227" s="0"/>
      <c r="O227" s="457"/>
      <c r="P227" s="457"/>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row>
    <row r="228" customFormat="false" ht="20.1" hidden="false" customHeight="true" outlineLevel="0" collapsed="false">
      <c r="A228" s="704" t="s">
        <v>315</v>
      </c>
      <c r="B228" s="705"/>
      <c r="C228" s="706"/>
      <c r="D228" s="483"/>
      <c r="E228" s="691"/>
      <c r="F228" s="692" t="n">
        <f aca="false">C228*D228</f>
        <v>0</v>
      </c>
      <c r="G228" s="696" t="n">
        <f aca="false">I170</f>
        <v>0</v>
      </c>
      <c r="H228" s="694"/>
      <c r="I228" s="694"/>
      <c r="J228" s="695"/>
      <c r="K228" s="694"/>
      <c r="L228" s="694"/>
      <c r="M228" s="0"/>
      <c r="N228" s="0"/>
      <c r="O228" s="558"/>
      <c r="P228" s="456"/>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row>
    <row r="229" customFormat="false" ht="20.1" hidden="false" customHeight="true" outlineLevel="0" collapsed="false">
      <c r="A229" s="698" t="s">
        <v>316</v>
      </c>
      <c r="B229" s="705"/>
      <c r="C229" s="706"/>
      <c r="D229" s="483"/>
      <c r="E229" s="691"/>
      <c r="F229" s="692" t="n">
        <f aca="false">C229*D229</f>
        <v>0</v>
      </c>
      <c r="G229" s="696" t="n">
        <f aca="false">I169</f>
        <v>0</v>
      </c>
      <c r="H229" s="694"/>
      <c r="I229" s="694"/>
      <c r="J229" s="695"/>
      <c r="K229" s="694"/>
      <c r="L229" s="694"/>
      <c r="M229" s="0"/>
      <c r="N229" s="0"/>
      <c r="O229" s="558"/>
      <c r="P229" s="456"/>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row>
    <row r="230" customFormat="false" ht="30" hidden="false" customHeight="true" outlineLevel="0" collapsed="false">
      <c r="A230" s="683" t="s">
        <v>1139</v>
      </c>
      <c r="B230" s="707"/>
      <c r="C230" s="685"/>
      <c r="D230" s="685"/>
      <c r="E230" s="708" t="s">
        <v>1140</v>
      </c>
      <c r="F230" s="686"/>
      <c r="G230" s="703" t="s">
        <v>1138</v>
      </c>
      <c r="H230" s="688"/>
      <c r="I230" s="688"/>
      <c r="J230" s="687"/>
      <c r="K230" s="688"/>
      <c r="L230" s="688"/>
      <c r="M230" s="0"/>
      <c r="N230" s="0"/>
      <c r="O230" s="457"/>
      <c r="P230" s="457"/>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row>
    <row r="231" customFormat="false" ht="20.1" hidden="false" customHeight="true" outlineLevel="0" collapsed="false">
      <c r="A231" s="709" t="s">
        <v>1141</v>
      </c>
      <c r="B231" s="690"/>
      <c r="C231" s="483"/>
      <c r="D231" s="483"/>
      <c r="E231" s="691"/>
      <c r="F231" s="692" t="n">
        <f aca="false">C231*D231</f>
        <v>0</v>
      </c>
      <c r="G231" s="693" t="s">
        <v>1142</v>
      </c>
      <c r="H231" s="694"/>
      <c r="I231" s="694"/>
      <c r="J231" s="695"/>
      <c r="K231" s="694"/>
      <c r="L231" s="694"/>
      <c r="M231" s="0"/>
      <c r="N231" s="0"/>
      <c r="O231" s="457"/>
      <c r="P231" s="457"/>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row>
    <row r="232" customFormat="false" ht="20.1" hidden="false" customHeight="true" outlineLevel="0" collapsed="false">
      <c r="A232" s="689" t="s">
        <v>1143</v>
      </c>
      <c r="B232" s="690"/>
      <c r="C232" s="483"/>
      <c r="D232" s="483"/>
      <c r="E232" s="691"/>
      <c r="F232" s="692" t="n">
        <f aca="false">C232*D232</f>
        <v>0</v>
      </c>
      <c r="G232" s="696" t="n">
        <f aca="false">I159</f>
        <v>0</v>
      </c>
      <c r="H232" s="694"/>
      <c r="I232" s="694"/>
      <c r="J232" s="695"/>
      <c r="K232" s="694"/>
      <c r="L232" s="694"/>
      <c r="M232" s="0"/>
      <c r="N232" s="0"/>
      <c r="O232" s="456"/>
      <c r="P232" s="456"/>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row>
    <row r="233" customFormat="false" ht="20.1" hidden="false" customHeight="true" outlineLevel="0" collapsed="false">
      <c r="A233" s="689" t="s">
        <v>1144</v>
      </c>
      <c r="B233" s="690"/>
      <c r="C233" s="483"/>
      <c r="D233" s="483"/>
      <c r="E233" s="691"/>
      <c r="F233" s="692" t="n">
        <f aca="false">C233*D233</f>
        <v>0</v>
      </c>
      <c r="G233" s="710"/>
      <c r="H233" s="694"/>
      <c r="I233" s="694"/>
      <c r="J233" s="695"/>
      <c r="K233" s="694"/>
      <c r="L233" s="694"/>
      <c r="M233" s="0"/>
      <c r="N233" s="0"/>
      <c r="O233" s="459"/>
      <c r="P233" s="459"/>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row>
    <row r="234" customFormat="false" ht="20.1" hidden="false" customHeight="true" outlineLevel="0" collapsed="false">
      <c r="A234" s="689" t="s">
        <v>1145</v>
      </c>
      <c r="B234" s="690"/>
      <c r="C234" s="483"/>
      <c r="D234" s="483"/>
      <c r="E234" s="691"/>
      <c r="F234" s="692" t="n">
        <f aca="false">C234*D234</f>
        <v>0</v>
      </c>
      <c r="G234" s="693" t="s">
        <v>1146</v>
      </c>
      <c r="H234" s="694"/>
      <c r="I234" s="694"/>
      <c r="J234" s="695"/>
      <c r="K234" s="694"/>
      <c r="L234" s="694"/>
      <c r="M234" s="0"/>
      <c r="N234" s="0"/>
      <c r="O234" s="558"/>
      <c r="P234" s="456"/>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row>
    <row r="235" customFormat="false" ht="20.1" hidden="false" customHeight="true" outlineLevel="0" collapsed="false">
      <c r="A235" s="689" t="s">
        <v>1147</v>
      </c>
      <c r="B235" s="690"/>
      <c r="C235" s="483"/>
      <c r="D235" s="483"/>
      <c r="E235" s="691"/>
      <c r="F235" s="692" t="n">
        <f aca="false">C235*D235</f>
        <v>0</v>
      </c>
      <c r="G235" s="696" t="n">
        <f aca="false">I160</f>
        <v>0</v>
      </c>
      <c r="H235" s="694"/>
      <c r="I235" s="694"/>
      <c r="J235" s="695"/>
      <c r="K235" s="694"/>
      <c r="L235" s="694"/>
      <c r="M235" s="0"/>
      <c r="N235" s="0"/>
      <c r="O235" s="558"/>
      <c r="P235" s="456"/>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row>
    <row r="236" customFormat="false" ht="20.1" hidden="false" customHeight="true" outlineLevel="0" collapsed="false">
      <c r="A236" s="711" t="s">
        <v>1136</v>
      </c>
      <c r="B236" s="690"/>
      <c r="C236" s="483"/>
      <c r="D236" s="483"/>
      <c r="E236" s="699"/>
      <c r="F236" s="692" t="n">
        <f aca="false">C236*D236</f>
        <v>0</v>
      </c>
      <c r="G236" s="710"/>
      <c r="H236" s="694"/>
      <c r="I236" s="694"/>
      <c r="J236" s="695"/>
      <c r="K236" s="694"/>
      <c r="L236" s="694"/>
      <c r="M236" s="0"/>
      <c r="N236" s="0"/>
      <c r="O236" s="558"/>
      <c r="P236" s="456"/>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row>
    <row r="237" customFormat="false" ht="20.1" hidden="false" customHeight="true" outlineLevel="0" collapsed="false">
      <c r="A237" s="701" t="s">
        <v>1148</v>
      </c>
      <c r="B237" s="684"/>
      <c r="C237" s="685"/>
      <c r="D237" s="685"/>
      <c r="E237" s="685"/>
      <c r="F237" s="686"/>
      <c r="G237" s="703" t="s">
        <v>1138</v>
      </c>
      <c r="H237" s="688"/>
      <c r="I237" s="688"/>
      <c r="J237" s="687"/>
      <c r="K237" s="688"/>
      <c r="L237" s="688"/>
      <c r="M237" s="0"/>
      <c r="N237" s="0"/>
      <c r="O237" s="558"/>
      <c r="P237" s="456"/>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row>
    <row r="238" customFormat="false" ht="20.1" hidden="false" customHeight="true" outlineLevel="0" collapsed="false">
      <c r="A238" s="712" t="s">
        <v>325</v>
      </c>
      <c r="B238" s="690"/>
      <c r="C238" s="483"/>
      <c r="D238" s="483"/>
      <c r="E238" s="713" t="n">
        <v>1</v>
      </c>
      <c r="F238" s="692" t="n">
        <f aca="false">C238*D238</f>
        <v>0</v>
      </c>
      <c r="G238" s="693" t="s">
        <v>1149</v>
      </c>
      <c r="H238" s="694"/>
      <c r="I238" s="694"/>
      <c r="J238" s="695"/>
      <c r="K238" s="694"/>
      <c r="L238" s="694"/>
      <c r="M238" s="0"/>
      <c r="N238" s="0"/>
      <c r="O238" s="558"/>
      <c r="P238" s="456"/>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row>
    <row r="239" customFormat="false" ht="20.1" hidden="false" customHeight="true" outlineLevel="0" collapsed="false">
      <c r="A239" s="712" t="s">
        <v>326</v>
      </c>
      <c r="B239" s="690"/>
      <c r="C239" s="483"/>
      <c r="D239" s="483"/>
      <c r="E239" s="713" t="n">
        <v>1</v>
      </c>
      <c r="F239" s="692" t="n">
        <f aca="false">C239*D239</f>
        <v>0</v>
      </c>
      <c r="G239" s="714" t="n">
        <f aca="false">I161</f>
        <v>0</v>
      </c>
      <c r="H239" s="694"/>
      <c r="I239" s="694"/>
      <c r="J239" s="695"/>
      <c r="K239" s="694"/>
      <c r="L239" s="694"/>
      <c r="M239" s="0"/>
      <c r="N239" s="0"/>
      <c r="O239" s="715"/>
      <c r="P239" s="456"/>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row>
    <row r="240" customFormat="false" ht="20.1" hidden="false" customHeight="true" outlineLevel="0" collapsed="false">
      <c r="A240" s="712" t="s">
        <v>327</v>
      </c>
      <c r="B240" s="690"/>
      <c r="C240" s="483"/>
      <c r="D240" s="483"/>
      <c r="E240" s="713" t="n">
        <v>1</v>
      </c>
      <c r="F240" s="692" t="n">
        <f aca="false">C240*D240</f>
        <v>0</v>
      </c>
      <c r="G240" s="716"/>
      <c r="H240" s="694"/>
      <c r="I240" s="694"/>
      <c r="J240" s="695"/>
      <c r="K240" s="694"/>
      <c r="L240" s="694"/>
      <c r="M240" s="0"/>
      <c r="N240" s="0"/>
      <c r="O240" s="715"/>
      <c r="P240" s="456"/>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row>
    <row r="241" customFormat="false" ht="20.1" hidden="false" customHeight="true" outlineLevel="0" collapsed="false">
      <c r="A241" s="712" t="s">
        <v>328</v>
      </c>
      <c r="B241" s="690"/>
      <c r="C241" s="483"/>
      <c r="D241" s="483"/>
      <c r="E241" s="699"/>
      <c r="F241" s="692" t="n">
        <f aca="false">C241*D241</f>
        <v>0</v>
      </c>
      <c r="G241" s="716"/>
      <c r="H241" s="694"/>
      <c r="I241" s="694"/>
      <c r="J241" s="695"/>
      <c r="K241" s="694"/>
      <c r="L241" s="694"/>
      <c r="M241" s="0"/>
      <c r="N241" s="0"/>
      <c r="O241" s="715"/>
      <c r="P241" s="456"/>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row>
    <row r="242" customFormat="false" ht="20.1" hidden="false" customHeight="true" outlineLevel="0" collapsed="false">
      <c r="A242" s="712" t="s">
        <v>329</v>
      </c>
      <c r="B242" s="690"/>
      <c r="C242" s="483"/>
      <c r="D242" s="483"/>
      <c r="E242" s="699"/>
      <c r="F242" s="692" t="n">
        <f aca="false">C242*D242</f>
        <v>0</v>
      </c>
      <c r="G242" s="716"/>
      <c r="H242" s="694"/>
      <c r="I242" s="694"/>
      <c r="J242" s="695"/>
      <c r="K242" s="694"/>
      <c r="L242" s="694"/>
      <c r="M242" s="0"/>
      <c r="N242" s="0"/>
      <c r="O242" s="715"/>
      <c r="P242" s="456"/>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row>
    <row r="243" customFormat="false" ht="20.1" hidden="false" customHeight="true" outlineLevel="0" collapsed="false">
      <c r="A243" s="712" t="s">
        <v>1150</v>
      </c>
      <c r="B243" s="690"/>
      <c r="C243" s="483"/>
      <c r="D243" s="483"/>
      <c r="E243" s="699"/>
      <c r="F243" s="692" t="n">
        <f aca="false">C243*D243</f>
        <v>0</v>
      </c>
      <c r="G243" s="716"/>
      <c r="H243" s="694"/>
      <c r="I243" s="694"/>
      <c r="J243" s="695"/>
      <c r="K243" s="694"/>
      <c r="L243" s="694"/>
      <c r="M243" s="0"/>
      <c r="N243" s="0"/>
      <c r="O243" s="715"/>
      <c r="P243" s="456"/>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row>
    <row r="244" customFormat="false" ht="20.1" hidden="false" customHeight="true" outlineLevel="0" collapsed="false">
      <c r="A244" s="712" t="s">
        <v>1151</v>
      </c>
      <c r="B244" s="690"/>
      <c r="C244" s="483"/>
      <c r="D244" s="483"/>
      <c r="E244" s="699"/>
      <c r="F244" s="692" t="n">
        <f aca="false">C244*D244</f>
        <v>0</v>
      </c>
      <c r="G244" s="716"/>
      <c r="H244" s="694"/>
      <c r="I244" s="694"/>
      <c r="J244" s="695"/>
      <c r="K244" s="694"/>
      <c r="L244" s="694"/>
      <c r="M244" s="0"/>
      <c r="N244" s="0"/>
      <c r="O244" s="715"/>
      <c r="P244" s="456"/>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row>
    <row r="245" customFormat="false" ht="20.1" hidden="false" customHeight="true" outlineLevel="0" collapsed="false">
      <c r="A245" s="712" t="s">
        <v>1152</v>
      </c>
      <c r="B245" s="690"/>
      <c r="C245" s="483"/>
      <c r="D245" s="483"/>
      <c r="E245" s="699"/>
      <c r="F245" s="692" t="n">
        <f aca="false">C245*D245</f>
        <v>0</v>
      </c>
      <c r="G245" s="717"/>
      <c r="H245" s="694"/>
      <c r="I245" s="694"/>
      <c r="J245" s="695"/>
      <c r="K245" s="694"/>
      <c r="L245" s="694"/>
      <c r="M245" s="0"/>
      <c r="N245" s="0"/>
      <c r="O245" s="558"/>
      <c r="P245" s="456"/>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row>
    <row r="246" customFormat="false" ht="31.5" hidden="false" customHeight="true" outlineLevel="0" collapsed="false">
      <c r="A246" s="683" t="s">
        <v>1153</v>
      </c>
      <c r="B246" s="684"/>
      <c r="C246" s="685"/>
      <c r="D246" s="685"/>
      <c r="E246" s="685"/>
      <c r="F246" s="686"/>
      <c r="G246" s="703" t="s">
        <v>1138</v>
      </c>
      <c r="H246" s="688"/>
      <c r="I246" s="688"/>
      <c r="J246" s="687"/>
      <c r="K246" s="688"/>
      <c r="L246" s="688"/>
      <c r="M246" s="0"/>
      <c r="N246" s="0"/>
      <c r="O246" s="558"/>
      <c r="P246" s="456"/>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row>
    <row r="247" customFormat="false" ht="20.1" hidden="false" customHeight="true" outlineLevel="0" collapsed="false">
      <c r="A247" s="689" t="s">
        <v>1154</v>
      </c>
      <c r="B247" s="705"/>
      <c r="C247" s="483"/>
      <c r="D247" s="483"/>
      <c r="E247" s="699"/>
      <c r="F247" s="692" t="n">
        <f aca="false">C247*D247</f>
        <v>0</v>
      </c>
      <c r="G247" s="697"/>
      <c r="H247" s="694"/>
      <c r="I247" s="694"/>
      <c r="J247" s="695"/>
      <c r="K247" s="694"/>
      <c r="L247" s="694"/>
      <c r="M247" s="0"/>
      <c r="N247" s="0"/>
      <c r="O247" s="456"/>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row>
    <row r="248" customFormat="false" ht="20.1" hidden="false" customHeight="true" outlineLevel="0" collapsed="false">
      <c r="A248" s="689" t="s">
        <v>1155</v>
      </c>
      <c r="B248" s="705"/>
      <c r="C248" s="483"/>
      <c r="D248" s="483"/>
      <c r="E248" s="699"/>
      <c r="F248" s="692" t="n">
        <f aca="false">C248*D248</f>
        <v>0</v>
      </c>
      <c r="G248" s="700"/>
      <c r="H248" s="694"/>
      <c r="I248" s="694"/>
      <c r="J248" s="695"/>
      <c r="K248" s="694"/>
      <c r="L248" s="694"/>
      <c r="M248" s="0"/>
      <c r="N248" s="0"/>
      <c r="O248" s="456"/>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row>
    <row r="249" customFormat="false" ht="20.1" hidden="false" customHeight="true" outlineLevel="0" collapsed="false">
      <c r="A249" s="689" t="s">
        <v>1156</v>
      </c>
      <c r="B249" s="705"/>
      <c r="C249" s="483"/>
      <c r="D249" s="483"/>
      <c r="E249" s="699"/>
      <c r="F249" s="692" t="n">
        <f aca="false">C249*D249</f>
        <v>0</v>
      </c>
      <c r="G249" s="700"/>
      <c r="H249" s="694"/>
      <c r="I249" s="694"/>
      <c r="J249" s="695"/>
      <c r="K249" s="694"/>
      <c r="L249" s="694"/>
      <c r="M249" s="0"/>
      <c r="N249" s="0"/>
      <c r="O249" s="456"/>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row>
    <row r="250" customFormat="false" ht="20.1" hidden="false" customHeight="true" outlineLevel="0" collapsed="false">
      <c r="A250" s="689" t="s">
        <v>1157</v>
      </c>
      <c r="B250" s="705"/>
      <c r="C250" s="483"/>
      <c r="D250" s="483"/>
      <c r="E250" s="699"/>
      <c r="F250" s="692" t="n">
        <f aca="false">C250*D250</f>
        <v>0</v>
      </c>
      <c r="G250" s="700"/>
      <c r="H250" s="694"/>
      <c r="I250" s="694"/>
      <c r="J250" s="695"/>
      <c r="K250" s="694"/>
      <c r="L250" s="694"/>
      <c r="M250" s="0"/>
      <c r="N250" s="0"/>
      <c r="O250" s="456"/>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row>
    <row r="251" customFormat="false" ht="20.1" hidden="false" customHeight="true" outlineLevel="0" collapsed="false">
      <c r="A251" s="701" t="s">
        <v>196</v>
      </c>
      <c r="B251" s="718"/>
      <c r="C251" s="719"/>
      <c r="D251" s="719"/>
      <c r="E251" s="719"/>
      <c r="F251" s="692" t="n">
        <f aca="false">C251*D251</f>
        <v>0</v>
      </c>
      <c r="G251" s="700"/>
      <c r="H251" s="694"/>
      <c r="I251" s="694"/>
      <c r="J251" s="720"/>
      <c r="K251" s="694"/>
      <c r="L251" s="694"/>
      <c r="M251" s="0"/>
      <c r="N251" s="0"/>
      <c r="O251" s="457"/>
      <c r="P251" s="59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row>
    <row r="252" customFormat="false" ht="20.1" hidden="false" customHeight="true" outlineLevel="0" collapsed="false">
      <c r="A252" s="721" t="s">
        <v>198</v>
      </c>
      <c r="B252" s="722"/>
      <c r="C252" s="723"/>
      <c r="D252" s="723"/>
      <c r="E252" s="723"/>
      <c r="F252" s="724" t="n">
        <f aca="false">C252*D252</f>
        <v>0</v>
      </c>
      <c r="G252" s="725"/>
      <c r="H252" s="726"/>
      <c r="I252" s="726"/>
      <c r="J252" s="727"/>
      <c r="K252" s="726"/>
      <c r="L252" s="726"/>
      <c r="M252" s="0"/>
      <c r="N252" s="0"/>
      <c r="O252" s="569"/>
      <c r="P252" s="569"/>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row>
    <row r="253" customFormat="false" ht="20.1" hidden="false" customHeight="true" outlineLevel="0" collapsed="false">
      <c r="A253" s="728"/>
      <c r="B253" s="729"/>
      <c r="C253" s="730"/>
      <c r="D253" s="731"/>
      <c r="E253" s="731"/>
      <c r="F253" s="731"/>
      <c r="G253" s="732"/>
      <c r="J253" s="11"/>
      <c r="L253" s="456"/>
      <c r="M253" s="456"/>
      <c r="N253" s="569"/>
      <c r="O253" s="569"/>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row>
    <row r="254" customFormat="false" ht="15" hidden="false" customHeight="true" outlineLevel="0" collapsed="false">
      <c r="A254" s="430"/>
      <c r="B254" s="430"/>
      <c r="C254" s="437"/>
      <c r="D254" s="430"/>
      <c r="E254" s="645" t="s">
        <v>1158</v>
      </c>
      <c r="F254" s="645"/>
      <c r="G254" s="619" t="n">
        <f aca="false">SUM(F216:F252)</f>
        <v>0</v>
      </c>
      <c r="J254" s="19"/>
      <c r="K254" s="459"/>
      <c r="L254" s="459"/>
      <c r="M254" s="569"/>
      <c r="N254" s="569"/>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row>
    <row r="255" customFormat="false" ht="15" hidden="false" customHeight="true" outlineLevel="0" collapsed="false">
      <c r="A255" s="733"/>
      <c r="B255" s="734"/>
      <c r="C255" s="734"/>
      <c r="D255" s="735"/>
      <c r="E255" s="736" t="s">
        <v>1159</v>
      </c>
      <c r="F255" s="736"/>
      <c r="G255" s="619" t="n">
        <f aca="false">(SUM(J216:J252))</f>
        <v>0</v>
      </c>
      <c r="J255" s="0"/>
      <c r="K255" s="737"/>
      <c r="L255" s="737"/>
      <c r="M255" s="737"/>
      <c r="N255" s="558"/>
      <c r="O255" s="456"/>
      <c r="P255" s="456"/>
      <c r="Q255" s="456"/>
      <c r="R255" s="456"/>
      <c r="S255" s="456"/>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row>
    <row r="256" customFormat="false" ht="15" hidden="false" customHeight="true" outlineLevel="0" collapsed="false">
      <c r="A256" s="733"/>
      <c r="B256" s="734"/>
      <c r="C256" s="734"/>
      <c r="D256" s="735"/>
      <c r="E256" s="736" t="s">
        <v>1160</v>
      </c>
      <c r="F256" s="736"/>
      <c r="G256" s="738" t="n">
        <f aca="false">I175</f>
        <v>0</v>
      </c>
      <c r="J256" s="0"/>
      <c r="K256" s="737"/>
      <c r="L256" s="737"/>
      <c r="M256" s="737"/>
      <c r="N256" s="558"/>
      <c r="O256" s="456"/>
      <c r="P256" s="590"/>
      <c r="Q256" s="590"/>
      <c r="R256" s="569"/>
      <c r="S256" s="569"/>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row>
    <row r="257" customFormat="false" ht="15" hidden="false" customHeight="true" outlineLevel="0" collapsed="false">
      <c r="A257" s="733"/>
      <c r="B257" s="734"/>
      <c r="C257" s="734"/>
      <c r="D257" s="735"/>
      <c r="E257" s="736" t="s">
        <v>1161</v>
      </c>
      <c r="F257" s="736"/>
      <c r="G257" s="738" t="n">
        <f aca="false">G254-G255+G256</f>
        <v>0</v>
      </c>
      <c r="K257" s="737"/>
      <c r="L257" s="737"/>
      <c r="M257" s="737"/>
      <c r="N257" s="558"/>
      <c r="O257" s="456"/>
      <c r="P257" s="590"/>
      <c r="Q257" s="590"/>
      <c r="R257" s="569"/>
      <c r="S257" s="569"/>
    </row>
    <row r="258" customFormat="false" ht="20.1" hidden="false" customHeight="true" outlineLevel="0" collapsed="false">
      <c r="A258" s="733"/>
      <c r="B258" s="734"/>
      <c r="C258" s="734"/>
      <c r="D258" s="735"/>
      <c r="E258" s="739"/>
      <c r="F258" s="568"/>
      <c r="G258" s="568"/>
      <c r="H258" s="0"/>
      <c r="I258" s="0"/>
      <c r="K258" s="737"/>
      <c r="L258" s="737"/>
      <c r="M258" s="737"/>
      <c r="N258" s="558"/>
      <c r="O258" s="456"/>
      <c r="P258" s="590"/>
      <c r="Q258" s="590"/>
      <c r="R258" s="569"/>
      <c r="S258" s="569"/>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row>
    <row r="259" s="456" customFormat="true" ht="20.1" hidden="false" customHeight="true" outlineLevel="0" collapsed="false">
      <c r="A259" s="454" t="s">
        <v>1162</v>
      </c>
      <c r="B259" s="437"/>
      <c r="C259" s="437"/>
      <c r="D259" s="437"/>
      <c r="F259" s="11"/>
      <c r="H259" s="740"/>
      <c r="K259" s="411"/>
      <c r="L259" s="456" t="s">
        <v>1163</v>
      </c>
      <c r="N259" s="741"/>
      <c r="O259" s="740"/>
      <c r="P259" s="742"/>
      <c r="Q259" s="590"/>
      <c r="R259" s="569"/>
      <c r="S259" s="569"/>
      <c r="T259" s="590"/>
      <c r="U259" s="569"/>
      <c r="V259" s="569"/>
      <c r="W259" s="569"/>
      <c r="X259" s="411"/>
      <c r="Y259" s="411"/>
      <c r="Z259" s="411"/>
    </row>
    <row r="260" customFormat="false" ht="20.1" hidden="false" customHeight="true" outlineLevel="0" collapsed="false">
      <c r="A260" s="54"/>
      <c r="B260" s="54"/>
      <c r="C260" s="0"/>
      <c r="D260" s="54"/>
      <c r="E260" s="54"/>
      <c r="F260" s="54"/>
      <c r="G260" s="54"/>
      <c r="H260" s="0"/>
      <c r="I260" s="456"/>
      <c r="J260" s="456"/>
      <c r="K260" s="558"/>
      <c r="L260" s="558"/>
      <c r="M260" s="569"/>
      <c r="N260" s="569"/>
      <c r="O260" s="411"/>
      <c r="P260" s="411"/>
      <c r="Q260" s="411"/>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row>
    <row r="261" customFormat="false" ht="20.1" hidden="false" customHeight="true" outlineLevel="0" collapsed="false">
      <c r="A261" s="743"/>
      <c r="B261" s="744" t="s">
        <v>1120</v>
      </c>
      <c r="C261" s="744"/>
      <c r="D261" s="744"/>
      <c r="E261" s="744"/>
      <c r="F261" s="744"/>
      <c r="G261" s="745" t="s">
        <v>1121</v>
      </c>
      <c r="H261" s="745"/>
      <c r="I261" s="745"/>
      <c r="J261" s="744" t="s">
        <v>1122</v>
      </c>
      <c r="K261" s="744"/>
      <c r="L261" s="744"/>
      <c r="M261" s="0"/>
      <c r="N261" s="0"/>
      <c r="O261" s="569"/>
      <c r="P261" s="411"/>
      <c r="Q261" s="411"/>
      <c r="R261" s="411"/>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row>
    <row r="262" customFormat="false" ht="47.65" hidden="false" customHeight="true" outlineLevel="0" collapsed="false">
      <c r="A262" s="746"/>
      <c r="B262" s="747" t="s">
        <v>1164</v>
      </c>
      <c r="C262" s="748" t="s">
        <v>1123</v>
      </c>
      <c r="D262" s="748" t="s">
        <v>298</v>
      </c>
      <c r="E262" s="749" t="s">
        <v>1165</v>
      </c>
      <c r="F262" s="748" t="s">
        <v>1166</v>
      </c>
      <c r="G262" s="750" t="s">
        <v>1091</v>
      </c>
      <c r="H262" s="751" t="s">
        <v>190</v>
      </c>
      <c r="I262" s="751"/>
      <c r="J262" s="752" t="s">
        <v>414</v>
      </c>
      <c r="K262" s="753" t="s">
        <v>307</v>
      </c>
      <c r="L262" s="753"/>
      <c r="M262" s="0"/>
      <c r="N262" s="0"/>
      <c r="O262" s="411"/>
      <c r="P262" s="569"/>
      <c r="Q262" s="411"/>
      <c r="R262" s="411"/>
      <c r="S262" s="411"/>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row>
    <row r="263" customFormat="false" ht="28.15" hidden="false" customHeight="true" outlineLevel="0" collapsed="false">
      <c r="A263" s="746"/>
      <c r="B263" s="754" t="s">
        <v>1167</v>
      </c>
      <c r="C263" s="552" t="s">
        <v>1168</v>
      </c>
      <c r="D263" s="552" t="s">
        <v>94</v>
      </c>
      <c r="E263" s="552" t="s">
        <v>1169</v>
      </c>
      <c r="F263" s="755" t="s">
        <v>1170</v>
      </c>
      <c r="G263" s="756" t="s">
        <v>1170</v>
      </c>
      <c r="H263" s="579"/>
      <c r="I263" s="579"/>
      <c r="J263" s="679" t="s">
        <v>1170</v>
      </c>
      <c r="K263" s="555"/>
      <c r="L263" s="555"/>
      <c r="M263" s="0"/>
      <c r="N263" s="0"/>
      <c r="O263" s="411"/>
      <c r="P263" s="569"/>
      <c r="Q263" s="411"/>
      <c r="R263" s="411"/>
      <c r="S263" s="411"/>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row>
    <row r="264" customFormat="false" ht="20.1" hidden="false" customHeight="true" outlineLevel="0" collapsed="false">
      <c r="A264" s="757" t="s">
        <v>341</v>
      </c>
      <c r="B264" s="687"/>
      <c r="C264" s="685"/>
      <c r="D264" s="685"/>
      <c r="E264" s="685"/>
      <c r="F264" s="758" t="n">
        <f aca="false">SUM(F265:F280)</f>
        <v>350.4</v>
      </c>
      <c r="G264" s="759" t="n">
        <f aca="false">SUM(G265:G280)</f>
        <v>3.63</v>
      </c>
      <c r="H264" s="760"/>
      <c r="I264" s="760"/>
      <c r="J264" s="761" t="n">
        <f aca="false">SUM(J265:J280)</f>
        <v>350.4</v>
      </c>
      <c r="K264" s="688"/>
      <c r="L264" s="688"/>
      <c r="M264" s="0"/>
      <c r="N264" s="0"/>
      <c r="O264" s="569"/>
      <c r="P264" s="569"/>
      <c r="Q264" s="411"/>
      <c r="R264" s="411"/>
      <c r="S264" s="411"/>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row>
    <row r="265" customFormat="false" ht="20.1" hidden="false" customHeight="true" outlineLevel="0" collapsed="false">
      <c r="A265" s="762" t="s">
        <v>342</v>
      </c>
      <c r="B265" s="763"/>
      <c r="C265" s="486"/>
      <c r="D265" s="483"/>
      <c r="E265" s="483"/>
      <c r="F265" s="692" t="n">
        <f aca="false">D265*E265/10</f>
        <v>0</v>
      </c>
      <c r="G265" s="482"/>
      <c r="H265" s="764"/>
      <c r="I265" s="764"/>
      <c r="J265" s="706"/>
      <c r="K265" s="694"/>
      <c r="L265" s="694"/>
      <c r="M265" s="0"/>
      <c r="N265" s="0"/>
      <c r="O265" s="569"/>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row>
    <row r="266" customFormat="false" ht="20.1" hidden="false" customHeight="true" outlineLevel="0" collapsed="false">
      <c r="A266" s="765" t="s">
        <v>343</v>
      </c>
      <c r="B266" s="763"/>
      <c r="C266" s="486"/>
      <c r="D266" s="483"/>
      <c r="E266" s="483"/>
      <c r="F266" s="692" t="n">
        <f aca="false">D266*E266/10</f>
        <v>0</v>
      </c>
      <c r="G266" s="766"/>
      <c r="H266" s="764"/>
      <c r="I266" s="764"/>
      <c r="J266" s="767"/>
      <c r="K266" s="694"/>
      <c r="L266" s="694"/>
      <c r="M266" s="0"/>
      <c r="N266" s="0"/>
      <c r="O266" s="569"/>
      <c r="P266" s="569"/>
      <c r="Q266" s="411"/>
      <c r="R266" s="411"/>
      <c r="S266" s="411"/>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row>
    <row r="267" customFormat="false" ht="20.1" hidden="false" customHeight="true" outlineLevel="0" collapsed="false">
      <c r="A267" s="765" t="s">
        <v>344</v>
      </c>
      <c r="B267" s="763" t="s">
        <v>254</v>
      </c>
      <c r="C267" s="486" t="s">
        <v>1171</v>
      </c>
      <c r="D267" s="483" t="n">
        <v>15</v>
      </c>
      <c r="E267" s="483" t="n">
        <v>70</v>
      </c>
      <c r="F267" s="692" t="n">
        <f aca="false">D267*E267/10</f>
        <v>105</v>
      </c>
      <c r="G267" s="766" t="n">
        <v>2.4</v>
      </c>
      <c r="H267" s="764"/>
      <c r="I267" s="764"/>
      <c r="J267" s="767" t="n">
        <v>105</v>
      </c>
      <c r="K267" s="694"/>
      <c r="L267" s="694"/>
      <c r="M267" s="0"/>
      <c r="N267" s="0"/>
      <c r="O267" s="569"/>
      <c r="P267" s="569"/>
      <c r="Q267" s="411"/>
      <c r="R267" s="411"/>
      <c r="S267" s="411"/>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row>
    <row r="268" customFormat="false" ht="20.1" hidden="false" customHeight="true" outlineLevel="0" collapsed="false">
      <c r="A268" s="765" t="s">
        <v>345</v>
      </c>
      <c r="B268" s="763" t="s">
        <v>254</v>
      </c>
      <c r="C268" s="486" t="s">
        <v>1171</v>
      </c>
      <c r="D268" s="483" t="n">
        <v>15</v>
      </c>
      <c r="E268" s="483" t="n">
        <v>38</v>
      </c>
      <c r="F268" s="692" t="n">
        <f aca="false">D268*E268/10</f>
        <v>57</v>
      </c>
      <c r="G268" s="766" t="n">
        <v>0.03</v>
      </c>
      <c r="H268" s="764"/>
      <c r="I268" s="764"/>
      <c r="J268" s="767" t="n">
        <v>57</v>
      </c>
      <c r="K268" s="694"/>
      <c r="L268" s="694"/>
      <c r="M268" s="0"/>
      <c r="N268" s="0"/>
      <c r="O268" s="569"/>
      <c r="P268" s="569"/>
      <c r="Q268" s="411"/>
      <c r="R268" s="411"/>
      <c r="S268" s="411"/>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row>
    <row r="269" customFormat="false" ht="20.1" hidden="false" customHeight="true" outlineLevel="0" collapsed="false">
      <c r="A269" s="765" t="s">
        <v>346</v>
      </c>
      <c r="B269" s="763" t="s">
        <v>254</v>
      </c>
      <c r="C269" s="486" t="s">
        <v>1171</v>
      </c>
      <c r="D269" s="483" t="n">
        <v>6</v>
      </c>
      <c r="E269" s="483" t="n">
        <v>125</v>
      </c>
      <c r="F269" s="692" t="n">
        <f aca="false">D269*E269/10</f>
        <v>75</v>
      </c>
      <c r="G269" s="766" t="n">
        <v>0.18</v>
      </c>
      <c r="H269" s="764"/>
      <c r="I269" s="764"/>
      <c r="J269" s="767" t="n">
        <v>75</v>
      </c>
      <c r="K269" s="694"/>
      <c r="L269" s="694"/>
      <c r="M269" s="0"/>
      <c r="N269" s="0"/>
      <c r="O269" s="411"/>
      <c r="P269" s="569"/>
      <c r="Q269" s="411"/>
      <c r="R269" s="411"/>
      <c r="S269" s="411"/>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row>
    <row r="270" customFormat="false" ht="20.1" hidden="false" customHeight="true" outlineLevel="0" collapsed="false">
      <c r="A270" s="765" t="s">
        <v>347</v>
      </c>
      <c r="B270" s="763"/>
      <c r="C270" s="486"/>
      <c r="D270" s="483"/>
      <c r="E270" s="483"/>
      <c r="F270" s="692" t="n">
        <f aca="false">D270*E270/10</f>
        <v>0</v>
      </c>
      <c r="G270" s="766"/>
      <c r="H270" s="764"/>
      <c r="I270" s="764"/>
      <c r="J270" s="767"/>
      <c r="K270" s="694"/>
      <c r="L270" s="694"/>
      <c r="M270" s="0"/>
      <c r="N270" s="0"/>
      <c r="O270" s="411"/>
      <c r="P270" s="569"/>
      <c r="Q270" s="411"/>
      <c r="R270" s="411"/>
      <c r="S270" s="411"/>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row>
    <row r="271" customFormat="false" ht="20.1" hidden="false" customHeight="true" outlineLevel="0" collapsed="false">
      <c r="A271" s="762" t="s">
        <v>348</v>
      </c>
      <c r="B271" s="763"/>
      <c r="C271" s="486"/>
      <c r="D271" s="483"/>
      <c r="E271" s="483"/>
      <c r="F271" s="692" t="n">
        <f aca="false">D271*E271/10</f>
        <v>0</v>
      </c>
      <c r="G271" s="482"/>
      <c r="H271" s="764"/>
      <c r="I271" s="764"/>
      <c r="J271" s="706"/>
      <c r="K271" s="694"/>
      <c r="L271" s="694"/>
      <c r="M271" s="0"/>
      <c r="N271" s="0"/>
      <c r="O271" s="411"/>
      <c r="P271" s="411"/>
      <c r="Q271" s="411"/>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row>
    <row r="272" customFormat="false" ht="20.1" hidden="false" customHeight="true" outlineLevel="0" collapsed="false">
      <c r="A272" s="765" t="s">
        <v>349</v>
      </c>
      <c r="B272" s="763"/>
      <c r="C272" s="486"/>
      <c r="D272" s="483"/>
      <c r="E272" s="483"/>
      <c r="F272" s="692" t="n">
        <f aca="false">D272*E272/10</f>
        <v>0</v>
      </c>
      <c r="G272" s="482"/>
      <c r="H272" s="764"/>
      <c r="I272" s="764"/>
      <c r="J272" s="706"/>
      <c r="K272" s="694"/>
      <c r="L272" s="694"/>
      <c r="M272" s="0"/>
      <c r="N272" s="0"/>
      <c r="O272" s="411"/>
      <c r="P272" s="569"/>
      <c r="Q272" s="411"/>
      <c r="R272" s="411"/>
      <c r="S272" s="411"/>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row>
    <row r="273" customFormat="false" ht="20.1" hidden="false" customHeight="true" outlineLevel="0" collapsed="false">
      <c r="A273" s="765" t="s">
        <v>350</v>
      </c>
      <c r="B273" s="763" t="s">
        <v>254</v>
      </c>
      <c r="C273" s="486" t="s">
        <v>1171</v>
      </c>
      <c r="D273" s="483" t="n">
        <v>4</v>
      </c>
      <c r="E273" s="483" t="n">
        <v>36</v>
      </c>
      <c r="F273" s="692" t="n">
        <f aca="false">D273*E273/10</f>
        <v>14.4</v>
      </c>
      <c r="G273" s="482" t="n">
        <v>0.02</v>
      </c>
      <c r="H273" s="764"/>
      <c r="I273" s="764"/>
      <c r="J273" s="706" t="n">
        <v>14.4</v>
      </c>
      <c r="K273" s="694"/>
      <c r="L273" s="694"/>
      <c r="M273" s="0"/>
      <c r="N273" s="0"/>
      <c r="O273" s="411"/>
      <c r="P273" s="569"/>
      <c r="Q273" s="411"/>
      <c r="R273" s="411"/>
      <c r="S273" s="411"/>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row>
    <row r="274" customFormat="false" ht="20.1" hidden="false" customHeight="true" outlineLevel="0" collapsed="false">
      <c r="A274" s="765" t="s">
        <v>351</v>
      </c>
      <c r="B274" s="763"/>
      <c r="C274" s="486"/>
      <c r="D274" s="483"/>
      <c r="E274" s="483"/>
      <c r="F274" s="692" t="n">
        <f aca="false">D274*E274/10</f>
        <v>0</v>
      </c>
      <c r="G274" s="766"/>
      <c r="H274" s="764"/>
      <c r="I274" s="764"/>
      <c r="J274" s="767"/>
      <c r="K274" s="694"/>
      <c r="L274" s="694"/>
      <c r="M274" s="0"/>
      <c r="N274" s="0"/>
      <c r="O274" s="0"/>
      <c r="P274" s="569"/>
      <c r="Q274" s="411"/>
      <c r="R274" s="411"/>
      <c r="S274" s="411"/>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row>
    <row r="275" customFormat="false" ht="20.1" hidden="false" customHeight="true" outlineLevel="0" collapsed="false">
      <c r="A275" s="765" t="s">
        <v>352</v>
      </c>
      <c r="B275" s="763"/>
      <c r="C275" s="486"/>
      <c r="D275" s="483"/>
      <c r="E275" s="483"/>
      <c r="F275" s="692" t="n">
        <f aca="false">D275*E275/10</f>
        <v>0</v>
      </c>
      <c r="G275" s="482"/>
      <c r="H275" s="764"/>
      <c r="I275" s="764"/>
      <c r="J275" s="706"/>
      <c r="K275" s="694"/>
      <c r="L275" s="694"/>
      <c r="M275" s="0"/>
      <c r="N275" s="0"/>
      <c r="O275" s="0"/>
      <c r="P275" s="569"/>
      <c r="Q275" s="411"/>
      <c r="R275" s="411"/>
      <c r="S275" s="411"/>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row>
    <row r="276" customFormat="false" ht="20.1" hidden="false" customHeight="true" outlineLevel="0" collapsed="false">
      <c r="A276" s="765" t="s">
        <v>1172</v>
      </c>
      <c r="B276" s="763" t="s">
        <v>254</v>
      </c>
      <c r="C276" s="486" t="s">
        <v>1171</v>
      </c>
      <c r="D276" s="483" t="n">
        <v>33</v>
      </c>
      <c r="E276" s="483" t="n">
        <v>30</v>
      </c>
      <c r="F276" s="692" t="n">
        <f aca="false">D276*E276/10</f>
        <v>99</v>
      </c>
      <c r="G276" s="482" t="n">
        <v>1</v>
      </c>
      <c r="H276" s="764"/>
      <c r="I276" s="764"/>
      <c r="J276" s="706" t="n">
        <v>99</v>
      </c>
      <c r="K276" s="694"/>
      <c r="L276" s="694"/>
      <c r="M276" s="0"/>
      <c r="N276" s="0"/>
      <c r="O276" s="411"/>
      <c r="P276" s="411"/>
      <c r="Q276" s="411"/>
      <c r="R276" s="411"/>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row>
    <row r="277" customFormat="false" ht="20.1" hidden="false" customHeight="true" outlineLevel="0" collapsed="false">
      <c r="A277" s="765" t="s">
        <v>1173</v>
      </c>
      <c r="B277" s="763"/>
      <c r="C277" s="486"/>
      <c r="D277" s="483"/>
      <c r="E277" s="483"/>
      <c r="F277" s="692" t="n">
        <f aca="false">D277*E277/10</f>
        <v>0</v>
      </c>
      <c r="G277" s="482"/>
      <c r="H277" s="764"/>
      <c r="I277" s="764"/>
      <c r="J277" s="706"/>
      <c r="K277" s="694"/>
      <c r="L277" s="694"/>
      <c r="M277" s="0"/>
      <c r="N277" s="0"/>
      <c r="O277" s="569"/>
      <c r="P277" s="411"/>
      <c r="Q277" s="411"/>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row>
    <row r="278" customFormat="false" ht="20.1" hidden="false" customHeight="true" outlineLevel="0" collapsed="false">
      <c r="A278" s="765" t="s">
        <v>1174</v>
      </c>
      <c r="B278" s="763"/>
      <c r="C278" s="486"/>
      <c r="D278" s="483"/>
      <c r="E278" s="483"/>
      <c r="F278" s="692" t="n">
        <f aca="false">D278*E278/10</f>
        <v>0</v>
      </c>
      <c r="G278" s="482"/>
      <c r="H278" s="764"/>
      <c r="I278" s="764"/>
      <c r="J278" s="706"/>
      <c r="K278" s="694"/>
      <c r="L278" s="694"/>
      <c r="M278" s="0"/>
      <c r="N278" s="0"/>
      <c r="O278" s="569"/>
      <c r="P278" s="411"/>
      <c r="Q278" s="411"/>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row>
    <row r="279" customFormat="false" ht="20.1" hidden="false" customHeight="true" outlineLevel="0" collapsed="false">
      <c r="A279" s="765" t="s">
        <v>1175</v>
      </c>
      <c r="B279" s="763"/>
      <c r="C279" s="486"/>
      <c r="D279" s="483"/>
      <c r="E279" s="483"/>
      <c r="F279" s="692" t="n">
        <f aca="false">D279*E279/10</f>
        <v>0</v>
      </c>
      <c r="G279" s="482"/>
      <c r="H279" s="764"/>
      <c r="I279" s="764"/>
      <c r="J279" s="706"/>
      <c r="K279" s="694"/>
      <c r="L279" s="694"/>
      <c r="M279" s="0"/>
      <c r="N279" s="0"/>
      <c r="O279" s="411"/>
      <c r="P279" s="411"/>
      <c r="Q279" s="411"/>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row>
    <row r="280" customFormat="false" ht="20.1" hidden="false" customHeight="true" outlineLevel="0" collapsed="false">
      <c r="A280" s="765" t="s">
        <v>1176</v>
      </c>
      <c r="B280" s="763"/>
      <c r="C280" s="486"/>
      <c r="D280" s="483"/>
      <c r="E280" s="483"/>
      <c r="F280" s="692" t="n">
        <f aca="false">D280*E280/10</f>
        <v>0</v>
      </c>
      <c r="G280" s="482"/>
      <c r="H280" s="764"/>
      <c r="I280" s="764"/>
      <c r="J280" s="706"/>
      <c r="K280" s="694"/>
      <c r="L280" s="694"/>
      <c r="M280" s="0"/>
      <c r="N280" s="0"/>
      <c r="O280" s="411"/>
      <c r="P280" s="411"/>
      <c r="Q280" s="411"/>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row>
    <row r="281" customFormat="false" ht="20.1" hidden="false" customHeight="true" outlineLevel="0" collapsed="false">
      <c r="A281" s="768" t="s">
        <v>1177</v>
      </c>
      <c r="B281" s="769"/>
      <c r="C281" s="770"/>
      <c r="D281" s="771"/>
      <c r="E281" s="771"/>
      <c r="F281" s="772" t="n">
        <f aca="false">SUM(F282:F287)</f>
        <v>0</v>
      </c>
      <c r="G281" s="773"/>
      <c r="H281" s="774"/>
      <c r="I281" s="774"/>
      <c r="J281" s="775"/>
      <c r="K281" s="776"/>
      <c r="L281" s="776"/>
      <c r="M281" s="0"/>
      <c r="N281" s="0"/>
      <c r="O281" s="411"/>
      <c r="P281" s="411"/>
      <c r="Q281" s="411"/>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row>
    <row r="282" customFormat="false" ht="20.1" hidden="false" customHeight="true" outlineLevel="0" collapsed="false">
      <c r="A282" s="777" t="s">
        <v>356</v>
      </c>
      <c r="B282" s="763"/>
      <c r="C282" s="486"/>
      <c r="D282" s="483"/>
      <c r="E282" s="483"/>
      <c r="F282" s="692" t="n">
        <f aca="false">D282*E282/10</f>
        <v>0</v>
      </c>
      <c r="G282" s="482"/>
      <c r="H282" s="764"/>
      <c r="I282" s="764"/>
      <c r="J282" s="706"/>
      <c r="K282" s="694"/>
      <c r="L282" s="694"/>
      <c r="M282" s="0"/>
      <c r="N282" s="0"/>
      <c r="O282" s="411"/>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row>
    <row r="283" customFormat="false" ht="20.1" hidden="false" customHeight="true" outlineLevel="0" collapsed="false">
      <c r="A283" s="777" t="s">
        <v>357</v>
      </c>
      <c r="B283" s="763"/>
      <c r="C283" s="486"/>
      <c r="D283" s="483"/>
      <c r="E283" s="483"/>
      <c r="F283" s="692" t="n">
        <f aca="false">D283*E283/10</f>
        <v>0</v>
      </c>
      <c r="G283" s="482"/>
      <c r="H283" s="764"/>
      <c r="I283" s="764"/>
      <c r="J283" s="706"/>
      <c r="K283" s="694"/>
      <c r="L283" s="694"/>
      <c r="M283" s="0"/>
      <c r="N283" s="0"/>
      <c r="O283" s="457"/>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row>
    <row r="284" customFormat="false" ht="20.1" hidden="false" customHeight="true" outlineLevel="0" collapsed="false">
      <c r="A284" s="777" t="s">
        <v>358</v>
      </c>
      <c r="B284" s="763"/>
      <c r="C284" s="486"/>
      <c r="D284" s="483"/>
      <c r="E284" s="483"/>
      <c r="F284" s="778" t="n">
        <f aca="false">D284*E284/10</f>
        <v>0</v>
      </c>
      <c r="G284" s="482"/>
      <c r="H284" s="764"/>
      <c r="I284" s="764"/>
      <c r="J284" s="706"/>
      <c r="K284" s="694"/>
      <c r="L284" s="694"/>
      <c r="M284" s="0"/>
      <c r="N284" s="0"/>
      <c r="O284" s="411"/>
      <c r="P284" s="411"/>
      <c r="Q284" s="411"/>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row>
    <row r="285" customFormat="false" ht="20.1" hidden="false" customHeight="true" outlineLevel="0" collapsed="false">
      <c r="A285" s="765" t="s">
        <v>359</v>
      </c>
      <c r="B285" s="763"/>
      <c r="C285" s="486"/>
      <c r="D285" s="483"/>
      <c r="E285" s="483"/>
      <c r="F285" s="778" t="n">
        <f aca="false">D285*E285/10</f>
        <v>0</v>
      </c>
      <c r="G285" s="766"/>
      <c r="H285" s="764"/>
      <c r="I285" s="764"/>
      <c r="J285" s="767"/>
      <c r="K285" s="694"/>
      <c r="L285" s="694"/>
      <c r="M285" s="0"/>
      <c r="N285" s="0"/>
      <c r="O285" s="411"/>
      <c r="P285" s="569"/>
      <c r="Q285" s="411"/>
      <c r="R285" s="411"/>
      <c r="S285" s="411"/>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row>
    <row r="286" customFormat="false" ht="20.1" hidden="false" customHeight="true" outlineLevel="0" collapsed="false">
      <c r="A286" s="765" t="s">
        <v>360</v>
      </c>
      <c r="B286" s="763"/>
      <c r="C286" s="486"/>
      <c r="D286" s="483"/>
      <c r="E286" s="483"/>
      <c r="F286" s="778" t="n">
        <f aca="false">D286*E286/10</f>
        <v>0</v>
      </c>
      <c r="G286" s="482"/>
      <c r="H286" s="764"/>
      <c r="I286" s="764"/>
      <c r="J286" s="706"/>
      <c r="K286" s="694"/>
      <c r="L286" s="694"/>
      <c r="M286" s="0"/>
      <c r="N286" s="0"/>
      <c r="O286" s="0"/>
      <c r="P286" s="569"/>
      <c r="Q286" s="411"/>
      <c r="R286" s="411"/>
      <c r="S286" s="411"/>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row>
    <row r="287" customFormat="false" ht="20.1" hidden="false" customHeight="true" outlineLevel="0" collapsed="false">
      <c r="A287" s="777" t="s">
        <v>1136</v>
      </c>
      <c r="B287" s="763"/>
      <c r="C287" s="486"/>
      <c r="D287" s="483"/>
      <c r="E287" s="483"/>
      <c r="F287" s="778" t="n">
        <f aca="false">D287*E287/10</f>
        <v>0</v>
      </c>
      <c r="G287" s="482"/>
      <c r="H287" s="764"/>
      <c r="I287" s="764"/>
      <c r="J287" s="706"/>
      <c r="K287" s="694"/>
      <c r="L287" s="694"/>
      <c r="M287" s="0"/>
      <c r="N287" s="0"/>
      <c r="O287" s="457"/>
      <c r="P287" s="411"/>
      <c r="Q287" s="411"/>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row>
    <row r="288" customFormat="false" ht="20.1" hidden="false" customHeight="true" outlineLevel="0" collapsed="false">
      <c r="A288" s="779" t="s">
        <v>361</v>
      </c>
      <c r="B288" s="780"/>
      <c r="C288" s="771" t="s">
        <v>1168</v>
      </c>
      <c r="D288" s="771" t="s">
        <v>94</v>
      </c>
      <c r="E288" s="771" t="s">
        <v>1178</v>
      </c>
      <c r="F288" s="781"/>
      <c r="G288" s="782" t="s">
        <v>1138</v>
      </c>
      <c r="H288" s="781"/>
      <c r="I288" s="783"/>
      <c r="J288" s="784" t="s">
        <v>1179</v>
      </c>
      <c r="K288" s="781"/>
      <c r="L288" s="785"/>
      <c r="M288" s="0"/>
      <c r="N288" s="0"/>
      <c r="O288" s="457"/>
      <c r="P288" s="411"/>
      <c r="Q288" s="411"/>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row>
    <row r="289" customFormat="false" ht="20.1" hidden="false" customHeight="true" outlineLevel="0" collapsed="false">
      <c r="A289" s="777"/>
      <c r="B289" s="763"/>
      <c r="C289" s="486"/>
      <c r="D289" s="483"/>
      <c r="E289" s="483"/>
      <c r="F289" s="778" t="n">
        <f aca="false">D289*E289</f>
        <v>0</v>
      </c>
      <c r="G289" s="482"/>
      <c r="H289" s="764"/>
      <c r="I289" s="764"/>
      <c r="J289" s="706"/>
      <c r="K289" s="694"/>
      <c r="L289" s="694"/>
      <c r="M289" s="0"/>
      <c r="N289" s="0"/>
      <c r="O289" s="0"/>
      <c r="P289" s="411"/>
      <c r="Q289" s="411"/>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row>
    <row r="290" customFormat="false" ht="20.1" hidden="false" customHeight="true" outlineLevel="0" collapsed="false">
      <c r="A290" s="777"/>
      <c r="B290" s="763"/>
      <c r="C290" s="486"/>
      <c r="D290" s="483"/>
      <c r="E290" s="483"/>
      <c r="F290" s="778" t="n">
        <f aca="false">D290*E290</f>
        <v>0</v>
      </c>
      <c r="G290" s="482"/>
      <c r="H290" s="694"/>
      <c r="I290" s="764"/>
      <c r="J290" s="706"/>
      <c r="K290" s="694"/>
      <c r="L290" s="694"/>
      <c r="M290" s="0"/>
      <c r="N290" s="0"/>
      <c r="O290" s="0"/>
      <c r="P290" s="411"/>
      <c r="Q290" s="411"/>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row>
    <row r="291" customFormat="false" ht="20.1" hidden="false" customHeight="true" outlineLevel="0" collapsed="false">
      <c r="A291" s="777"/>
      <c r="B291" s="763"/>
      <c r="C291" s="486"/>
      <c r="D291" s="483"/>
      <c r="E291" s="483"/>
      <c r="F291" s="778" t="n">
        <f aca="false">D291*E291</f>
        <v>0</v>
      </c>
      <c r="G291" s="482"/>
      <c r="H291" s="764"/>
      <c r="I291" s="764"/>
      <c r="J291" s="706"/>
      <c r="K291" s="694"/>
      <c r="L291" s="694"/>
      <c r="M291" s="0"/>
      <c r="N291" s="0"/>
      <c r="O291" s="459"/>
      <c r="P291" s="411"/>
      <c r="Q291" s="411"/>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row>
    <row r="292" s="457" customFormat="true" ht="20.1" hidden="false" customHeight="true" outlineLevel="0" collapsed="false">
      <c r="A292" s="777"/>
      <c r="B292" s="763"/>
      <c r="C292" s="486"/>
      <c r="D292" s="483"/>
      <c r="E292" s="483"/>
      <c r="F292" s="778" t="n">
        <f aca="false">D292*E292</f>
        <v>0</v>
      </c>
      <c r="G292" s="482"/>
      <c r="H292" s="764"/>
      <c r="I292" s="764"/>
      <c r="J292" s="706"/>
      <c r="K292" s="694"/>
      <c r="L292" s="694"/>
      <c r="O292" s="456"/>
    </row>
    <row r="293" s="456" customFormat="true" ht="20.1" hidden="false" customHeight="true" outlineLevel="0" collapsed="false">
      <c r="A293" s="779" t="s">
        <v>1177</v>
      </c>
      <c r="B293" s="786"/>
      <c r="C293" s="771"/>
      <c r="D293" s="771"/>
      <c r="E293" s="771" t="s">
        <v>1180</v>
      </c>
      <c r="F293" s="781"/>
      <c r="G293" s="782"/>
      <c r="H293" s="774"/>
      <c r="I293" s="774"/>
      <c r="J293" s="784"/>
      <c r="K293" s="776"/>
      <c r="L293" s="776"/>
      <c r="P293" s="411"/>
      <c r="Q293" s="411"/>
    </row>
    <row r="294" customFormat="false" ht="20.1" hidden="false" customHeight="true" outlineLevel="0" collapsed="false">
      <c r="A294" s="777" t="s">
        <v>1181</v>
      </c>
      <c r="B294" s="763"/>
      <c r="C294" s="486"/>
      <c r="D294" s="483"/>
      <c r="E294" s="483"/>
      <c r="F294" s="778" t="n">
        <f aca="false">D294*E294/10</f>
        <v>0</v>
      </c>
      <c r="G294" s="482"/>
      <c r="H294" s="764"/>
      <c r="I294" s="764"/>
      <c r="J294" s="706"/>
      <c r="K294" s="694"/>
      <c r="L294" s="694"/>
      <c r="M294" s="0"/>
      <c r="N294" s="0"/>
      <c r="O294" s="0"/>
      <c r="P294" s="411"/>
      <c r="Q294" s="411"/>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row>
    <row r="295" customFormat="false" ht="20.1" hidden="false" customHeight="true" outlineLevel="0" collapsed="false">
      <c r="A295" s="777" t="s">
        <v>1182</v>
      </c>
      <c r="B295" s="763"/>
      <c r="C295" s="486"/>
      <c r="D295" s="483"/>
      <c r="E295" s="483"/>
      <c r="F295" s="778" t="n">
        <f aca="false">D295*E295/10</f>
        <v>0</v>
      </c>
      <c r="G295" s="482"/>
      <c r="H295" s="764"/>
      <c r="I295" s="764"/>
      <c r="J295" s="706"/>
      <c r="K295" s="694"/>
      <c r="L295" s="694"/>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row>
    <row r="296" s="457" customFormat="true" ht="42" hidden="false" customHeight="true" outlineLevel="0" collapsed="false">
      <c r="A296" s="779" t="s">
        <v>363</v>
      </c>
      <c r="B296" s="787" t="s">
        <v>1183</v>
      </c>
      <c r="C296" s="771" t="s">
        <v>1168</v>
      </c>
      <c r="D296" s="771" t="s">
        <v>94</v>
      </c>
      <c r="E296" s="771" t="s">
        <v>1178</v>
      </c>
      <c r="F296" s="781"/>
      <c r="G296" s="782" t="s">
        <v>1138</v>
      </c>
      <c r="H296" s="781"/>
      <c r="I296" s="783"/>
      <c r="J296" s="784" t="s">
        <v>1179</v>
      </c>
      <c r="K296" s="781"/>
      <c r="L296" s="785"/>
      <c r="O296" s="456"/>
    </row>
    <row r="297" customFormat="false" ht="20.1" hidden="false" customHeight="true" outlineLevel="0" collapsed="false">
      <c r="A297" s="765" t="s">
        <v>364</v>
      </c>
      <c r="B297" s="788"/>
      <c r="C297" s="486"/>
      <c r="D297" s="483"/>
      <c r="E297" s="483"/>
      <c r="F297" s="778" t="n">
        <f aca="false">D297*E297</f>
        <v>0</v>
      </c>
      <c r="G297" s="789"/>
      <c r="H297" s="764"/>
      <c r="I297" s="764"/>
      <c r="J297" s="706"/>
      <c r="K297" s="694"/>
      <c r="L297" s="694"/>
      <c r="M297" s="0"/>
      <c r="N297" s="0"/>
      <c r="O297" s="456"/>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row>
    <row r="298" s="456" customFormat="true" ht="20.1" hidden="false" customHeight="true" outlineLevel="0" collapsed="false">
      <c r="A298" s="765" t="s">
        <v>365</v>
      </c>
      <c r="B298" s="763"/>
      <c r="C298" s="486"/>
      <c r="D298" s="483"/>
      <c r="E298" s="483"/>
      <c r="F298" s="692" t="n">
        <f aca="false">D298*E298</f>
        <v>0</v>
      </c>
      <c r="G298" s="789"/>
      <c r="H298" s="764"/>
      <c r="I298" s="764"/>
      <c r="J298" s="706"/>
      <c r="K298" s="694"/>
      <c r="L298" s="694"/>
    </row>
    <row r="299" s="459" customFormat="true" ht="20.1" hidden="false" customHeight="true" outlineLevel="0" collapsed="false">
      <c r="A299" s="765" t="s">
        <v>366</v>
      </c>
      <c r="B299" s="763"/>
      <c r="C299" s="486"/>
      <c r="D299" s="483"/>
      <c r="E299" s="483"/>
      <c r="F299" s="692" t="n">
        <f aca="false">D299*E299</f>
        <v>0</v>
      </c>
      <c r="G299" s="789"/>
      <c r="H299" s="764"/>
      <c r="I299" s="764"/>
      <c r="J299" s="706"/>
      <c r="K299" s="694"/>
      <c r="L299" s="694"/>
      <c r="O299" s="456"/>
    </row>
    <row r="300" s="456" customFormat="true" ht="20.1" hidden="false" customHeight="true" outlineLevel="0" collapsed="false">
      <c r="A300" s="765" t="s">
        <v>1184</v>
      </c>
      <c r="B300" s="763"/>
      <c r="C300" s="486"/>
      <c r="D300" s="483"/>
      <c r="E300" s="483"/>
      <c r="F300" s="692" t="n">
        <f aca="false">D300*E300</f>
        <v>0</v>
      </c>
      <c r="G300" s="789"/>
      <c r="H300" s="764"/>
      <c r="I300" s="764"/>
      <c r="J300" s="706"/>
      <c r="K300" s="694"/>
      <c r="L300" s="694"/>
    </row>
    <row r="301" s="456" customFormat="true" ht="20.1" hidden="false" customHeight="true" outlineLevel="0" collapsed="false">
      <c r="A301" s="765"/>
      <c r="B301" s="763"/>
      <c r="C301" s="486"/>
      <c r="D301" s="483"/>
      <c r="E301" s="483"/>
      <c r="F301" s="692" t="n">
        <f aca="false">D301*E301</f>
        <v>0</v>
      </c>
      <c r="G301" s="789"/>
      <c r="H301" s="764"/>
      <c r="I301" s="764"/>
      <c r="J301" s="706"/>
      <c r="K301" s="694"/>
      <c r="L301" s="694"/>
    </row>
    <row r="302" s="456" customFormat="true" ht="20.1" hidden="false" customHeight="true" outlineLevel="0" collapsed="false">
      <c r="A302" s="765"/>
      <c r="B302" s="763"/>
      <c r="C302" s="486"/>
      <c r="D302" s="483"/>
      <c r="E302" s="483"/>
      <c r="F302" s="692" t="n">
        <f aca="false">D302*E302</f>
        <v>0</v>
      </c>
      <c r="G302" s="789"/>
      <c r="H302" s="764"/>
      <c r="I302" s="764"/>
      <c r="J302" s="706"/>
      <c r="K302" s="694"/>
      <c r="L302" s="694"/>
    </row>
    <row r="303" s="456" customFormat="true" ht="20.1" hidden="false" customHeight="true" outlineLevel="0" collapsed="false">
      <c r="A303" s="765"/>
      <c r="B303" s="763"/>
      <c r="C303" s="486"/>
      <c r="D303" s="483"/>
      <c r="E303" s="483"/>
      <c r="F303" s="692" t="n">
        <f aca="false">D303*E303</f>
        <v>0</v>
      </c>
      <c r="G303" s="789"/>
      <c r="H303" s="764"/>
      <c r="I303" s="764"/>
      <c r="J303" s="706"/>
      <c r="K303" s="694"/>
      <c r="L303" s="694"/>
    </row>
    <row r="304" customFormat="false" ht="47.25" hidden="false" customHeight="true" outlineLevel="0" collapsed="false">
      <c r="A304" s="779" t="s">
        <v>367</v>
      </c>
      <c r="B304" s="787" t="s">
        <v>1183</v>
      </c>
      <c r="C304" s="771" t="s">
        <v>1168</v>
      </c>
      <c r="D304" s="771" t="s">
        <v>94</v>
      </c>
      <c r="E304" s="771" t="s">
        <v>1178</v>
      </c>
      <c r="F304" s="790"/>
      <c r="G304" s="782" t="s">
        <v>1138</v>
      </c>
      <c r="H304" s="790"/>
      <c r="I304" s="783"/>
      <c r="J304" s="784" t="s">
        <v>1179</v>
      </c>
      <c r="K304" s="790"/>
      <c r="L304" s="785"/>
      <c r="M304" s="0"/>
      <c r="N304" s="0"/>
      <c r="O304" s="0"/>
      <c r="P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row>
    <row r="305" customFormat="false" ht="20.1" hidden="false" customHeight="true" outlineLevel="0" collapsed="false">
      <c r="A305" s="765" t="s">
        <v>1185</v>
      </c>
      <c r="B305" s="791"/>
      <c r="C305" s="486"/>
      <c r="D305" s="792"/>
      <c r="E305" s="792"/>
      <c r="F305" s="793" t="n">
        <f aca="false">D305*E305</f>
        <v>0</v>
      </c>
      <c r="G305" s="789"/>
      <c r="H305" s="764"/>
      <c r="I305" s="764"/>
      <c r="J305" s="794"/>
      <c r="K305" s="694"/>
      <c r="L305" s="694"/>
      <c r="M305" s="0"/>
      <c r="N305" s="0"/>
      <c r="O305" s="0"/>
      <c r="P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row>
    <row r="306" customFormat="false" ht="20.1" hidden="false" customHeight="true" outlineLevel="0" collapsed="false">
      <c r="A306" s="795" t="s">
        <v>1186</v>
      </c>
      <c r="B306" s="791"/>
      <c r="C306" s="486"/>
      <c r="D306" s="792"/>
      <c r="E306" s="792"/>
      <c r="F306" s="793" t="n">
        <f aca="false">D306*E306</f>
        <v>0</v>
      </c>
      <c r="G306" s="789"/>
      <c r="H306" s="764"/>
      <c r="I306" s="764"/>
      <c r="J306" s="706"/>
      <c r="K306" s="694"/>
      <c r="L306" s="694"/>
      <c r="M306" s="0"/>
      <c r="N306" s="0"/>
      <c r="O306" s="0"/>
      <c r="P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row>
    <row r="307" customFormat="false" ht="20.1" hidden="false" customHeight="true" outlineLevel="0" collapsed="false">
      <c r="A307" s="796"/>
      <c r="B307" s="695"/>
      <c r="C307" s="486"/>
      <c r="D307" s="797"/>
      <c r="E307" s="797"/>
      <c r="F307" s="793" t="n">
        <f aca="false">D307*E307</f>
        <v>0</v>
      </c>
      <c r="G307" s="789"/>
      <c r="H307" s="764"/>
      <c r="I307" s="764"/>
      <c r="J307" s="798"/>
      <c r="K307" s="694"/>
      <c r="L307" s="694"/>
      <c r="M307" s="0"/>
      <c r="N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row>
    <row r="308" customFormat="false" ht="20.1" hidden="false" customHeight="true" outlineLevel="0" collapsed="false">
      <c r="A308" s="0"/>
      <c r="B308" s="763"/>
      <c r="C308" s="486"/>
      <c r="D308" s="483"/>
      <c r="E308" s="483"/>
      <c r="F308" s="793" t="n">
        <f aca="false">D308*E308</f>
        <v>0</v>
      </c>
      <c r="G308" s="789"/>
      <c r="H308" s="764"/>
      <c r="I308" s="764"/>
      <c r="J308" s="706"/>
      <c r="K308" s="694"/>
      <c r="L308" s="694"/>
      <c r="M308" s="0"/>
      <c r="N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row>
    <row r="309" customFormat="false" ht="20.1" hidden="false" customHeight="true" outlineLevel="0" collapsed="false">
      <c r="A309" s="765"/>
      <c r="B309" s="763"/>
      <c r="C309" s="486"/>
      <c r="D309" s="483"/>
      <c r="E309" s="483"/>
      <c r="F309" s="793" t="n">
        <f aca="false">D309*E309</f>
        <v>0</v>
      </c>
      <c r="G309" s="789"/>
      <c r="H309" s="764"/>
      <c r="I309" s="764"/>
      <c r="J309" s="706"/>
      <c r="K309" s="694"/>
      <c r="L309" s="694"/>
      <c r="M309" s="0"/>
      <c r="N309" s="0"/>
      <c r="P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row>
    <row r="310" customFormat="false" ht="20.1" hidden="false" customHeight="true" outlineLevel="0" collapsed="false">
      <c r="A310" s="799" t="s">
        <v>370</v>
      </c>
      <c r="B310" s="800"/>
      <c r="C310" s="801"/>
      <c r="D310" s="802" t="n">
        <v>3</v>
      </c>
      <c r="E310" s="801"/>
      <c r="F310" s="803"/>
      <c r="G310" s="804"/>
      <c r="H310" s="805"/>
      <c r="I310" s="806"/>
      <c r="J310" s="807"/>
      <c r="K310" s="803"/>
      <c r="L310" s="808"/>
      <c r="M310" s="0"/>
      <c r="N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row>
    <row r="311" customFormat="false" ht="20.1" hidden="false" customHeight="true" outlineLevel="0" collapsed="false">
      <c r="A311" s="809"/>
      <c r="B311" s="809"/>
      <c r="C311" s="809"/>
      <c r="D311" s="809"/>
      <c r="E311" s="523"/>
      <c r="F311" s="523"/>
      <c r="G311" s="523"/>
      <c r="H311" s="523"/>
      <c r="I311" s="523"/>
      <c r="J311" s="0"/>
      <c r="K311" s="0"/>
      <c r="O311" s="0"/>
      <c r="P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row>
    <row r="312" customFormat="false" ht="20.1" hidden="false" customHeight="true" outlineLevel="0" collapsed="false">
      <c r="A312" s="809"/>
      <c r="B312" s="809"/>
      <c r="C312" s="809"/>
      <c r="D312" s="809"/>
      <c r="E312" s="809"/>
      <c r="F312" s="809"/>
      <c r="G312" s="430"/>
      <c r="H312" s="736" t="s">
        <v>1187</v>
      </c>
      <c r="I312" s="619" t="n">
        <f aca="false">SUM(F265:F280,F282:F287,F289:F292,F294:F295,F297:F303,F305:F310)</f>
        <v>350.4</v>
      </c>
      <c r="J312" s="809"/>
      <c r="M312" s="0"/>
      <c r="N312" s="0"/>
      <c r="O312" s="0"/>
      <c r="P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row>
    <row r="313" customFormat="false" ht="20.1" hidden="false" customHeight="true" outlineLevel="0" collapsed="false">
      <c r="A313" s="809"/>
      <c r="B313" s="809"/>
      <c r="C313" s="809"/>
      <c r="D313" s="809"/>
      <c r="E313" s="809"/>
      <c r="F313" s="809"/>
      <c r="G313" s="430"/>
      <c r="H313" s="736" t="s">
        <v>1188</v>
      </c>
      <c r="I313" s="619" t="n">
        <f aca="false">SUM(J265:J310)</f>
        <v>350.4</v>
      </c>
      <c r="J313" s="809"/>
      <c r="M313" s="0"/>
      <c r="N313" s="0"/>
      <c r="O313" s="0"/>
      <c r="P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row>
    <row r="314" customFormat="false" ht="20.1" hidden="false" customHeight="true" outlineLevel="0" collapsed="false">
      <c r="A314" s="809"/>
      <c r="B314" s="809"/>
      <c r="C314" s="809"/>
      <c r="D314" s="809"/>
      <c r="E314" s="809"/>
      <c r="F314" s="809"/>
      <c r="G314" s="430"/>
      <c r="H314" s="736" t="s">
        <v>1189</v>
      </c>
      <c r="I314" s="619" t="n">
        <f aca="false">SUM(G265:G310)</f>
        <v>3.63</v>
      </c>
      <c r="J314" s="809"/>
      <c r="L314" s="810"/>
      <c r="P314" s="0"/>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row>
    <row r="315" customFormat="false" ht="20.1" hidden="false" customHeight="true" outlineLevel="0" collapsed="false">
      <c r="A315" s="809"/>
      <c r="B315" s="809"/>
      <c r="C315" s="809"/>
      <c r="D315" s="809"/>
      <c r="E315" s="811"/>
      <c r="F315" s="811"/>
      <c r="G315" s="430"/>
      <c r="H315" s="736" t="s">
        <v>1190</v>
      </c>
      <c r="I315" s="619" t="n">
        <f aca="false">I312-I313+I314</f>
        <v>3.63</v>
      </c>
      <c r="M315" s="0"/>
      <c r="N315" s="0"/>
      <c r="O315" s="0"/>
      <c r="P315" s="0"/>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row>
    <row r="316" customFormat="false" ht="20.1" hidden="false" customHeight="true" outlineLevel="0" collapsed="false">
      <c r="A316" s="430"/>
      <c r="B316" s="812"/>
      <c r="C316" s="0"/>
      <c r="D316" s="813"/>
      <c r="E316" s="811"/>
      <c r="F316" s="811"/>
      <c r="G316" s="430"/>
      <c r="H316" s="814"/>
      <c r="M316" s="0"/>
      <c r="N316" s="0"/>
      <c r="O316" s="0"/>
      <c r="P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row>
    <row r="317" customFormat="false" ht="20.1" hidden="false" customHeight="true" outlineLevel="0" collapsed="false">
      <c r="A317" s="536"/>
      <c r="B317" s="536"/>
      <c r="C317" s="456"/>
      <c r="D317" s="456"/>
      <c r="E317" s="456"/>
      <c r="F317" s="456"/>
      <c r="G317" s="456"/>
      <c r="H317" s="456"/>
      <c r="I317" s="456"/>
      <c r="J317" s="412"/>
    </row>
    <row r="318" customFormat="false" ht="20.1" hidden="false" customHeight="true" outlineLevel="0" collapsed="false">
      <c r="A318" s="536"/>
      <c r="B318" s="536"/>
      <c r="C318" s="456"/>
      <c r="D318" s="456"/>
      <c r="E318" s="456"/>
      <c r="F318" s="456"/>
      <c r="G318" s="456"/>
      <c r="H318" s="456"/>
      <c r="I318" s="456"/>
      <c r="J318" s="412"/>
    </row>
    <row r="319" customFormat="false" ht="19.5" hidden="false" customHeight="true" outlineLevel="0" collapsed="false">
      <c r="A319" s="454" t="s">
        <v>1191</v>
      </c>
      <c r="D319" s="409"/>
      <c r="E319" s="409"/>
      <c r="F319" s="409"/>
      <c r="G319" s="409"/>
      <c r="J319" s="0"/>
      <c r="L319" s="0" t="s">
        <v>1192</v>
      </c>
      <c r="M319" s="0"/>
      <c r="N319" s="0"/>
      <c r="O319" s="0"/>
      <c r="P319" s="0"/>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row>
    <row r="320" customFormat="false" ht="19.5" hidden="false" customHeight="true" outlineLevel="0" collapsed="false">
      <c r="B320" s="815" t="s">
        <v>1193</v>
      </c>
      <c r="C320" s="815"/>
      <c r="D320" s="815"/>
      <c r="E320" s="815"/>
      <c r="J320" s="0"/>
      <c r="L320" s="0"/>
      <c r="M320" s="0"/>
      <c r="N320" s="0"/>
      <c r="O320" s="0"/>
      <c r="P320" s="0"/>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row>
    <row r="321" customFormat="false" ht="42.75" hidden="false" customHeight="true" outlineLevel="0" collapsed="false">
      <c r="A321" s="816" t="s">
        <v>1194</v>
      </c>
      <c r="B321" s="817" t="s">
        <v>1195</v>
      </c>
      <c r="C321" s="817"/>
      <c r="D321" s="818" t="s">
        <v>1196</v>
      </c>
      <c r="E321" s="818"/>
      <c r="F321" s="819" t="s">
        <v>1197</v>
      </c>
      <c r="G321" s="820" t="s">
        <v>1198</v>
      </c>
      <c r="H321" s="820"/>
      <c r="I321" s="820"/>
      <c r="J321" s="820"/>
      <c r="K321" s="821" t="s">
        <v>1199</v>
      </c>
      <c r="L321" s="822" t="n">
        <f aca="false">SUMIF(K322:K327,"O",F322:F327)</f>
        <v>73</v>
      </c>
      <c r="M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row>
    <row r="322" customFormat="false" ht="20.1" hidden="false" customHeight="true" outlineLevel="0" collapsed="false">
      <c r="A322" s="823" t="s">
        <v>1200</v>
      </c>
      <c r="B322" s="824" t="s">
        <v>1201</v>
      </c>
      <c r="C322" s="824"/>
      <c r="D322" s="824" t="s">
        <v>253</v>
      </c>
      <c r="E322" s="824"/>
      <c r="F322" s="825" t="n">
        <v>39</v>
      </c>
      <c r="G322" s="826" t="s">
        <v>1202</v>
      </c>
      <c r="H322" s="826"/>
      <c r="I322" s="826"/>
      <c r="J322" s="826"/>
      <c r="K322" s="827" t="str">
        <f aca="false">IF(B322="rotation courte (=&lt;3 ans)","O",IF(D322="oui","O","N"))</f>
        <v>O</v>
      </c>
      <c r="M322" s="0"/>
      <c r="N322" s="0"/>
      <c r="O322" s="0"/>
      <c r="P322" s="0"/>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row>
    <row r="323" customFormat="false" ht="20.1" hidden="false" customHeight="true" outlineLevel="0" collapsed="false">
      <c r="A323" s="823" t="s">
        <v>1203</v>
      </c>
      <c r="B323" s="824" t="s">
        <v>1201</v>
      </c>
      <c r="C323" s="824"/>
      <c r="D323" s="824" t="s">
        <v>254</v>
      </c>
      <c r="E323" s="824"/>
      <c r="F323" s="825" t="n">
        <v>30</v>
      </c>
      <c r="G323" s="826" t="s">
        <v>1204</v>
      </c>
      <c r="H323" s="826"/>
      <c r="I323" s="826"/>
      <c r="J323" s="826"/>
      <c r="K323" s="827" t="str">
        <f aca="false">IF(B323="rotation courte (=&lt;3 ans)","O",IF(D323="oui","O","N"))</f>
        <v>O</v>
      </c>
      <c r="M323" s="0"/>
      <c r="N323" s="0"/>
      <c r="O323" s="0"/>
      <c r="P323" s="0"/>
      <c r="Q323" s="0"/>
      <c r="R323" s="0"/>
      <c r="S323" s="0"/>
      <c r="T323" s="0"/>
      <c r="U323" s="0"/>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row>
    <row r="324" customFormat="false" ht="20.1" hidden="false" customHeight="true" outlineLevel="0" collapsed="false">
      <c r="A324" s="823" t="s">
        <v>1205</v>
      </c>
      <c r="B324" s="824" t="s">
        <v>1201</v>
      </c>
      <c r="C324" s="824"/>
      <c r="D324" s="824" t="s">
        <v>254</v>
      </c>
      <c r="E324" s="824"/>
      <c r="F324" s="825" t="n">
        <v>4</v>
      </c>
      <c r="G324" s="826" t="s">
        <v>1206</v>
      </c>
      <c r="H324" s="826"/>
      <c r="I324" s="826"/>
      <c r="J324" s="826"/>
      <c r="K324" s="827" t="str">
        <f aca="false">IF(B324="rotation courte (=&lt;3 ans)","O",IF(D324="oui","O","N"))</f>
        <v>O</v>
      </c>
      <c r="N324" s="0"/>
      <c r="O324" s="0"/>
      <c r="P324" s="0"/>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row>
    <row r="325" customFormat="false" ht="20.1" hidden="false" customHeight="true" outlineLevel="0" collapsed="false">
      <c r="A325" s="823" t="s">
        <v>1207</v>
      </c>
      <c r="B325" s="824"/>
      <c r="C325" s="824"/>
      <c r="D325" s="824"/>
      <c r="E325" s="824"/>
      <c r="F325" s="825"/>
      <c r="G325" s="828"/>
      <c r="H325" s="828"/>
      <c r="I325" s="828"/>
      <c r="J325" s="828"/>
      <c r="K325" s="827" t="str">
        <f aca="false">IF(B325="rotation courte (=&lt;3 ans)","O",IF(D325="oui","O","N"))</f>
        <v>N</v>
      </c>
      <c r="N325" s="0"/>
      <c r="O325" s="0"/>
      <c r="P325" s="0"/>
      <c r="Q325" s="0"/>
      <c r="R325" s="0"/>
      <c r="S325" s="0"/>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row>
    <row r="326" customFormat="false" ht="20.1" hidden="false" customHeight="true" outlineLevel="0" collapsed="false">
      <c r="A326" s="823" t="s">
        <v>1208</v>
      </c>
      <c r="B326" s="824"/>
      <c r="C326" s="824"/>
      <c r="D326" s="824"/>
      <c r="E326" s="824"/>
      <c r="F326" s="825"/>
      <c r="G326" s="828"/>
      <c r="H326" s="828"/>
      <c r="I326" s="828"/>
      <c r="J326" s="828"/>
      <c r="K326" s="827" t="str">
        <f aca="false">IF(B326="rotation courte (=&lt;3 ans)","O",IF(D326="oui","O","N"))</f>
        <v>N</v>
      </c>
      <c r="N326" s="426"/>
      <c r="O326" s="0"/>
      <c r="P326" s="0"/>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row>
    <row r="327" customFormat="false" ht="20.1" hidden="false" customHeight="true" outlineLevel="0" collapsed="false">
      <c r="A327" s="829" t="s">
        <v>1209</v>
      </c>
      <c r="B327" s="830"/>
      <c r="C327" s="830"/>
      <c r="D327" s="830"/>
      <c r="E327" s="830"/>
      <c r="F327" s="831"/>
      <c r="G327" s="832"/>
      <c r="H327" s="832"/>
      <c r="I327" s="832"/>
      <c r="J327" s="832"/>
      <c r="K327" s="827" t="str">
        <f aca="false">IF(B327="rotation courte (=&lt;3 ans)","O",IF(D327="oui","O","N"))</f>
        <v>N</v>
      </c>
      <c r="N327" s="426"/>
      <c r="O327" s="0"/>
      <c r="P327" s="0"/>
      <c r="Q327" s="0"/>
      <c r="R327" s="0"/>
      <c r="S327" s="0"/>
      <c r="T327" s="0"/>
      <c r="U327" s="0"/>
      <c r="V327" s="0"/>
      <c r="W327" s="0"/>
      <c r="X327" s="0"/>
      <c r="Y327" s="0"/>
      <c r="Z327" s="0"/>
      <c r="AA327" s="0"/>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row>
    <row r="328" customFormat="false" ht="20.1" hidden="false" customHeight="true" outlineLevel="0" collapsed="false">
      <c r="A328" s="833"/>
      <c r="B328" s="576"/>
      <c r="C328" s="576"/>
      <c r="D328" s="834"/>
      <c r="E328" s="835"/>
      <c r="F328" s="835"/>
      <c r="G328" s="835"/>
      <c r="H328" s="835"/>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row>
    <row r="329" customFormat="false" ht="20.1" hidden="false" customHeight="true" outlineLevel="0" collapsed="false">
      <c r="A329" s="833"/>
      <c r="B329" s="576"/>
      <c r="C329" s="576"/>
      <c r="D329" s="834"/>
      <c r="E329" s="835"/>
      <c r="F329" s="835"/>
      <c r="G329" s="835"/>
      <c r="H329" s="835"/>
    </row>
    <row r="330" customFormat="false" ht="20.1" hidden="false" customHeight="true" outlineLevel="0" collapsed="false">
      <c r="A330" s="833"/>
      <c r="B330" s="576"/>
      <c r="C330" s="576"/>
      <c r="D330" s="834"/>
      <c r="E330" s="835"/>
      <c r="F330" s="835"/>
      <c r="G330" s="835"/>
      <c r="H330" s="835"/>
    </row>
    <row r="331" customFormat="false" ht="20.1" hidden="false" customHeight="true" outlineLevel="0" collapsed="false">
      <c r="A331" s="0"/>
      <c r="B331" s="0"/>
      <c r="C331" s="0"/>
      <c r="D331" s="0"/>
      <c r="E331" s="0"/>
      <c r="F331" s="0"/>
      <c r="G331" s="0"/>
      <c r="H331" s="0"/>
      <c r="J331" s="836"/>
      <c r="K331" s="0"/>
      <c r="T331" s="0"/>
      <c r="U331" s="0"/>
      <c r="V331" s="0"/>
      <c r="W331" s="0"/>
      <c r="X331" s="0"/>
      <c r="Y331" s="0"/>
      <c r="Z331" s="0"/>
      <c r="AA331" s="0"/>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row>
    <row r="332" customFormat="false" ht="20.1" hidden="false" customHeight="true" outlineLevel="0" collapsed="false">
      <c r="A332" s="837"/>
      <c r="B332" s="413" t="s">
        <v>1210</v>
      </c>
      <c r="J332" s="836"/>
      <c r="L332" s="11" t="s">
        <v>1211</v>
      </c>
      <c r="P332" s="0"/>
      <c r="Q332" s="0"/>
      <c r="R332" s="0"/>
      <c r="S332" s="0"/>
      <c r="T332" s="0"/>
      <c r="U332" s="0"/>
      <c r="V332" s="0"/>
      <c r="W332" s="0"/>
      <c r="X332" s="0"/>
      <c r="Y332" s="0"/>
      <c r="Z332" s="0"/>
      <c r="AA332" s="0"/>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row>
    <row r="333" customFormat="false" ht="20.1" hidden="false" customHeight="true" outlineLevel="0" collapsed="false">
      <c r="A333" s="455"/>
      <c r="B333" s="415"/>
      <c r="C333" s="837"/>
      <c r="D333" s="409"/>
      <c r="E333" s="838"/>
      <c r="F333" s="409"/>
      <c r="G333" s="409"/>
      <c r="J333" s="836"/>
      <c r="P333" s="0"/>
      <c r="Q333" s="0"/>
      <c r="R333" s="0"/>
      <c r="S333" s="0"/>
      <c r="T333" s="0"/>
      <c r="U333" s="0"/>
      <c r="V333" s="0"/>
      <c r="W333" s="0"/>
      <c r="X333" s="0"/>
      <c r="Y333" s="0"/>
      <c r="Z333" s="0"/>
      <c r="AA333" s="0"/>
      <c r="AB333" s="0"/>
      <c r="AC333" s="0"/>
      <c r="AD333" s="0"/>
      <c r="AE333" s="0"/>
      <c r="AF333" s="0"/>
      <c r="AG333" s="0"/>
      <c r="AH333" s="0"/>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row>
    <row r="334" customFormat="false" ht="60" hidden="false" customHeight="true" outlineLevel="0" collapsed="false">
      <c r="A334" s="839" t="s">
        <v>416</v>
      </c>
      <c r="B334" s="840" t="s">
        <v>1212</v>
      </c>
      <c r="C334" s="840" t="s">
        <v>1213</v>
      </c>
      <c r="D334" s="840" t="s">
        <v>1214</v>
      </c>
      <c r="E334" s="572" t="s">
        <v>1215</v>
      </c>
      <c r="F334" s="841" t="s">
        <v>406</v>
      </c>
      <c r="G334" s="841" t="s">
        <v>1216</v>
      </c>
      <c r="H334" s="572" t="s">
        <v>1217</v>
      </c>
      <c r="I334" s="572" t="s">
        <v>1218</v>
      </c>
      <c r="J334" s="751" t="s">
        <v>1219</v>
      </c>
      <c r="K334" s="55"/>
      <c r="P334" s="0"/>
      <c r="Q334" s="0"/>
      <c r="R334" s="0"/>
      <c r="S334" s="0"/>
      <c r="T334" s="0"/>
      <c r="U334" s="0"/>
      <c r="V334" s="0"/>
      <c r="W334" s="0"/>
      <c r="X334" s="0"/>
      <c r="Y334" s="0"/>
      <c r="Z334" s="0"/>
      <c r="AA334" s="0"/>
      <c r="AB334" s="0"/>
      <c r="AC334" s="0"/>
      <c r="AD334" s="0"/>
      <c r="AE334" s="0"/>
      <c r="AF334" s="0"/>
      <c r="AG334" s="0"/>
      <c r="AH334" s="0"/>
      <c r="AI334" s="0"/>
      <c r="AJ334" s="0"/>
      <c r="AK334" s="0"/>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c r="HC334" s="0"/>
      <c r="HD334" s="0"/>
      <c r="HE334" s="0"/>
      <c r="HF334" s="0"/>
      <c r="HG334" s="0"/>
      <c r="HH334" s="0"/>
      <c r="HI334" s="0"/>
      <c r="HJ334" s="0"/>
      <c r="HK334" s="0"/>
      <c r="HL334" s="0"/>
      <c r="HM334" s="0"/>
      <c r="HN334" s="0"/>
      <c r="HO334" s="0"/>
      <c r="HP334" s="0"/>
      <c r="HQ334" s="0"/>
      <c r="HR334" s="0"/>
      <c r="HS334" s="0"/>
      <c r="HT334" s="0"/>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row>
    <row r="335" customFormat="false" ht="39.75" hidden="false" customHeight="true" outlineLevel="0" collapsed="false">
      <c r="A335" s="842"/>
      <c r="B335" s="552" t="s">
        <v>1220</v>
      </c>
      <c r="C335" s="552" t="s">
        <v>1220</v>
      </c>
      <c r="D335" s="552" t="s">
        <v>1220</v>
      </c>
      <c r="E335" s="679" t="s">
        <v>1220</v>
      </c>
      <c r="F335" s="679" t="s">
        <v>1221</v>
      </c>
      <c r="G335" s="843" t="s">
        <v>1222</v>
      </c>
      <c r="H335" s="679" t="s">
        <v>1223</v>
      </c>
      <c r="I335" s="679" t="s">
        <v>551</v>
      </c>
      <c r="J335" s="844" t="s">
        <v>551</v>
      </c>
      <c r="P335" s="0"/>
      <c r="Q335" s="0"/>
      <c r="R335" s="0"/>
      <c r="S335" s="0"/>
      <c r="T335" s="0"/>
      <c r="U335" s="0"/>
      <c r="V335" s="0"/>
      <c r="W335" s="0"/>
      <c r="X335" s="0"/>
      <c r="Y335" s="0"/>
      <c r="Z335" s="0"/>
      <c r="AA335" s="0"/>
      <c r="AB335" s="0"/>
      <c r="AC335" s="0"/>
      <c r="AD335" s="0"/>
      <c r="AE335" s="0"/>
      <c r="AF335" s="0"/>
      <c r="AG335" s="0"/>
      <c r="AH335" s="0"/>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row>
    <row r="336" customFormat="false" ht="26.25" hidden="false" customHeight="true" outlineLevel="0" collapsed="false">
      <c r="A336" s="845" t="s">
        <v>418</v>
      </c>
      <c r="B336" s="846"/>
      <c r="C336" s="846"/>
      <c r="D336" s="846"/>
      <c r="E336" s="822" t="n">
        <f aca="false">B336-C336+D336</f>
        <v>0</v>
      </c>
      <c r="F336" s="493" t="n">
        <v>5.8</v>
      </c>
      <c r="G336" s="493" t="n">
        <v>0.15</v>
      </c>
      <c r="H336" s="822" t="n">
        <f aca="false">E336*F336</f>
        <v>0</v>
      </c>
      <c r="I336" s="822" t="n">
        <f aca="false">H336*G336</f>
        <v>0</v>
      </c>
      <c r="J336" s="847" t="n">
        <f aca="false">D336*F336*G336</f>
        <v>0</v>
      </c>
      <c r="P336" s="0"/>
      <c r="Q336" s="0"/>
      <c r="R336" s="0"/>
      <c r="S336" s="0"/>
      <c r="T336" s="0"/>
      <c r="U336" s="0"/>
      <c r="V336" s="0"/>
      <c r="W336" s="0"/>
      <c r="X336" s="0"/>
      <c r="Y336" s="0"/>
      <c r="Z336" s="0"/>
      <c r="AA336" s="0"/>
      <c r="AB336" s="0"/>
      <c r="AC336" s="0"/>
      <c r="AD336" s="0"/>
      <c r="AE336" s="0"/>
      <c r="AF336" s="0"/>
      <c r="AG336" s="0"/>
      <c r="AH336" s="0"/>
      <c r="AI336" s="0"/>
      <c r="AJ336" s="0"/>
      <c r="AK336" s="0"/>
      <c r="AL336" s="0"/>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c r="BM336" s="0"/>
      <c r="BN336" s="0"/>
      <c r="BO336" s="0"/>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row>
    <row r="337" customFormat="false" ht="20.1" hidden="false" customHeight="true" outlineLevel="0" collapsed="false">
      <c r="A337" s="848" t="s">
        <v>419</v>
      </c>
      <c r="B337" s="846"/>
      <c r="C337" s="846"/>
      <c r="D337" s="846"/>
      <c r="E337" s="822" t="n">
        <f aca="false">B337-C337+D337</f>
        <v>0</v>
      </c>
      <c r="F337" s="493" t="n">
        <v>5</v>
      </c>
      <c r="G337" s="493" t="n">
        <v>0.15</v>
      </c>
      <c r="H337" s="822" t="n">
        <f aca="false">E337*F337</f>
        <v>0</v>
      </c>
      <c r="I337" s="822" t="n">
        <f aca="false">H337*G337</f>
        <v>0</v>
      </c>
      <c r="J337" s="847" t="n">
        <f aca="false">D337*F337*G337</f>
        <v>0</v>
      </c>
      <c r="P337" s="0"/>
      <c r="Q337" s="0"/>
      <c r="R337" s="0"/>
      <c r="S337" s="0"/>
      <c r="T337" s="0"/>
      <c r="U337" s="0"/>
      <c r="V337" s="0"/>
      <c r="W337" s="0"/>
      <c r="X337" s="0"/>
      <c r="Y337" s="0"/>
      <c r="Z337" s="0"/>
      <c r="AA337" s="0"/>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row>
    <row r="338" customFormat="false" ht="20.1" hidden="false" customHeight="true" outlineLevel="0" collapsed="false">
      <c r="A338" s="848" t="s">
        <v>420</v>
      </c>
      <c r="B338" s="846"/>
      <c r="C338" s="846"/>
      <c r="D338" s="846"/>
      <c r="E338" s="822" t="n">
        <f aca="false">B338-C338+D338</f>
        <v>0</v>
      </c>
      <c r="F338" s="493" t="n">
        <v>5.1</v>
      </c>
      <c r="G338" s="493" t="n">
        <v>0.15</v>
      </c>
      <c r="H338" s="822" t="n">
        <f aca="false">E338*F338</f>
        <v>0</v>
      </c>
      <c r="I338" s="822" t="n">
        <f aca="false">H338*G338</f>
        <v>0</v>
      </c>
      <c r="J338" s="847" t="n">
        <f aca="false">D338*F338*G338</f>
        <v>0</v>
      </c>
      <c r="M338" s="426"/>
    </row>
    <row r="339" customFormat="false" ht="20.1" hidden="false" customHeight="true" outlineLevel="0" collapsed="false">
      <c r="A339" s="848" t="s">
        <v>421</v>
      </c>
      <c r="B339" s="846"/>
      <c r="C339" s="846"/>
      <c r="D339" s="846"/>
      <c r="E339" s="822" t="n">
        <f aca="false">B339-C339+D339</f>
        <v>0</v>
      </c>
      <c r="F339" s="493" t="n">
        <v>5.2</v>
      </c>
      <c r="G339" s="493" t="n">
        <v>0.55</v>
      </c>
      <c r="H339" s="822" t="n">
        <f aca="false">E339*F339</f>
        <v>0</v>
      </c>
      <c r="I339" s="822" t="n">
        <f aca="false">H339*G339</f>
        <v>0</v>
      </c>
      <c r="J339" s="847" t="n">
        <f aca="false">D339*F339*G339</f>
        <v>0</v>
      </c>
      <c r="M339" s="426"/>
    </row>
    <row r="340" customFormat="false" ht="20.1" hidden="false" customHeight="true" outlineLevel="0" collapsed="false">
      <c r="A340" s="848" t="s">
        <v>422</v>
      </c>
      <c r="B340" s="846"/>
      <c r="C340" s="846"/>
      <c r="D340" s="846"/>
      <c r="E340" s="822" t="n">
        <f aca="false">B340-C340+D340</f>
        <v>0</v>
      </c>
      <c r="F340" s="493" t="n">
        <v>3.5</v>
      </c>
      <c r="G340" s="493" t="n">
        <v>0.55</v>
      </c>
      <c r="H340" s="822" t="n">
        <f aca="false">E340*F340</f>
        <v>0</v>
      </c>
      <c r="I340" s="822" t="n">
        <f aca="false">H340*G340</f>
        <v>0</v>
      </c>
      <c r="J340" s="847" t="n">
        <f aca="false">D340*F340*G340</f>
        <v>0</v>
      </c>
      <c r="M340" s="426"/>
    </row>
    <row r="341" customFormat="false" ht="20.1" hidden="false" customHeight="true" outlineLevel="0" collapsed="false">
      <c r="A341" s="848" t="s">
        <v>423</v>
      </c>
      <c r="B341" s="846"/>
      <c r="C341" s="846"/>
      <c r="D341" s="846"/>
      <c r="E341" s="822" t="n">
        <f aca="false">B341-C341+D341</f>
        <v>0</v>
      </c>
      <c r="F341" s="493" t="n">
        <v>2.7</v>
      </c>
      <c r="G341" s="493" t="n">
        <v>0.55</v>
      </c>
      <c r="H341" s="822" t="n">
        <f aca="false">E341*F341</f>
        <v>0</v>
      </c>
      <c r="I341" s="822" t="n">
        <f aca="false">H341*G341</f>
        <v>0</v>
      </c>
      <c r="J341" s="847" t="n">
        <f aca="false">D341*F341*G341</f>
        <v>0</v>
      </c>
      <c r="M341" s="426"/>
    </row>
    <row r="342" customFormat="false" ht="20.1" hidden="false" customHeight="true" outlineLevel="0" collapsed="false">
      <c r="A342" s="848" t="s">
        <v>424</v>
      </c>
      <c r="B342" s="846"/>
      <c r="C342" s="846"/>
      <c r="D342" s="846"/>
      <c r="E342" s="822" t="n">
        <f aca="false">B342-C342+D342</f>
        <v>0</v>
      </c>
      <c r="F342" s="493" t="n">
        <v>1.6</v>
      </c>
      <c r="G342" s="493" t="n">
        <v>0.55</v>
      </c>
      <c r="H342" s="822" t="n">
        <f aca="false">E342*F342</f>
        <v>0</v>
      </c>
      <c r="I342" s="822" t="n">
        <f aca="false">H342*G342</f>
        <v>0</v>
      </c>
      <c r="J342" s="847" t="n">
        <f aca="false">D342*F342*G342</f>
        <v>0</v>
      </c>
      <c r="M342" s="426"/>
    </row>
    <row r="343" customFormat="false" ht="20.1" hidden="false" customHeight="true" outlineLevel="0" collapsed="false">
      <c r="A343" s="848" t="s">
        <v>425</v>
      </c>
      <c r="B343" s="846"/>
      <c r="C343" s="846"/>
      <c r="D343" s="846"/>
      <c r="E343" s="822" t="n">
        <f aca="false">B343-C343+D343</f>
        <v>0</v>
      </c>
      <c r="F343" s="493" t="n">
        <v>3</v>
      </c>
      <c r="G343" s="493" t="n">
        <v>0.55</v>
      </c>
      <c r="H343" s="822" t="n">
        <f aca="false">E343*F343</f>
        <v>0</v>
      </c>
      <c r="I343" s="822" t="n">
        <f aca="false">H343*G343</f>
        <v>0</v>
      </c>
      <c r="J343" s="847" t="n">
        <f aca="false">D343*F343*G343</f>
        <v>0</v>
      </c>
      <c r="M343" s="426"/>
    </row>
    <row r="344" customFormat="false" ht="26.25" hidden="false" customHeight="true" outlineLevel="0" collapsed="false">
      <c r="A344" s="845" t="s">
        <v>426</v>
      </c>
      <c r="B344" s="846"/>
      <c r="C344" s="846"/>
      <c r="D344" s="846"/>
      <c r="E344" s="822" t="n">
        <f aca="false">B344-C344+D344</f>
        <v>0</v>
      </c>
      <c r="F344" s="493" t="n">
        <v>0.4</v>
      </c>
      <c r="G344" s="493" t="n">
        <v>0.55</v>
      </c>
      <c r="H344" s="822" t="n">
        <f aca="false">E344*F344</f>
        <v>0</v>
      </c>
      <c r="I344" s="822" t="n">
        <f aca="false">H344*G344</f>
        <v>0</v>
      </c>
      <c r="J344" s="847" t="n">
        <f aca="false">D344*F344*G344</f>
        <v>0</v>
      </c>
      <c r="M344" s="426"/>
    </row>
    <row r="345" customFormat="false" ht="20.1" hidden="false" customHeight="true" outlineLevel="0" collapsed="false">
      <c r="A345" s="848" t="s">
        <v>427</v>
      </c>
      <c r="B345" s="846"/>
      <c r="C345" s="846"/>
      <c r="D345" s="846"/>
      <c r="E345" s="822"/>
      <c r="F345" s="493" t="n">
        <v>6.8</v>
      </c>
      <c r="G345" s="846"/>
      <c r="H345" s="822" t="n">
        <f aca="false">E345*F345</f>
        <v>0</v>
      </c>
      <c r="I345" s="822" t="n">
        <f aca="false">H345*G345</f>
        <v>0</v>
      </c>
      <c r="J345" s="847" t="n">
        <f aca="false">D345*F345*G345</f>
        <v>0</v>
      </c>
      <c r="K345" s="0"/>
      <c r="L345" s="0" t="s">
        <v>1224</v>
      </c>
      <c r="M345" s="426"/>
      <c r="N345" s="0"/>
      <c r="O345" s="0"/>
      <c r="P345" s="0"/>
      <c r="Q345" s="0"/>
      <c r="R345" s="0"/>
      <c r="S345" s="0"/>
      <c r="T345" s="0"/>
      <c r="U345" s="0"/>
      <c r="V345" s="0"/>
      <c r="W345" s="0"/>
      <c r="X345" s="0"/>
      <c r="Y345" s="0"/>
      <c r="Z345" s="0"/>
      <c r="AA345" s="0"/>
      <c r="AB345" s="0"/>
      <c r="AC345" s="0"/>
      <c r="AD345" s="0"/>
      <c r="AE345" s="0"/>
      <c r="AF345" s="0"/>
      <c r="AG345" s="0"/>
      <c r="AH345" s="0"/>
      <c r="AI345" s="0"/>
      <c r="AJ345" s="0"/>
      <c r="AK345" s="0"/>
      <c r="AL345" s="0"/>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c r="BM345" s="0"/>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c r="EI345" s="0"/>
      <c r="EJ345" s="0"/>
      <c r="EK345" s="0"/>
      <c r="EL345" s="0"/>
      <c r="EM345" s="0"/>
      <c r="EN345" s="0"/>
      <c r="EO345" s="0"/>
      <c r="EP345" s="0"/>
      <c r="EQ345" s="0"/>
      <c r="ER345" s="0"/>
      <c r="ES345" s="0"/>
      <c r="ET345" s="0"/>
      <c r="EU345" s="0"/>
      <c r="EV345" s="0"/>
      <c r="EW345" s="0"/>
      <c r="EX345" s="0"/>
      <c r="EY345" s="0"/>
      <c r="EZ345" s="0"/>
      <c r="FA345" s="0"/>
      <c r="FB345" s="0"/>
      <c r="FC345" s="0"/>
      <c r="FD345" s="0"/>
      <c r="FE345" s="0"/>
      <c r="FF345" s="0"/>
      <c r="FG345" s="0"/>
      <c r="FH345" s="0"/>
      <c r="FI345" s="0"/>
      <c r="FJ345" s="0"/>
      <c r="FK345" s="0"/>
      <c r="FL345" s="0"/>
      <c r="FM345" s="0"/>
      <c r="FN345" s="0"/>
      <c r="FO345" s="0"/>
      <c r="FP345" s="0"/>
      <c r="FQ345" s="0"/>
      <c r="FR345" s="0"/>
      <c r="FS345" s="0"/>
      <c r="FT345" s="0"/>
      <c r="FU345" s="0"/>
      <c r="FV345" s="0"/>
      <c r="FW345" s="0"/>
      <c r="FX345" s="0"/>
      <c r="FY345" s="0"/>
      <c r="FZ345" s="0"/>
      <c r="GA345" s="0"/>
      <c r="GB345" s="0"/>
      <c r="GC345" s="0"/>
      <c r="GD345" s="0"/>
      <c r="GE345" s="0"/>
      <c r="GF345" s="0"/>
      <c r="GG345" s="0"/>
      <c r="GH345" s="0"/>
      <c r="GI345" s="0"/>
      <c r="GJ345" s="0"/>
      <c r="GK345" s="0"/>
      <c r="GL345" s="0"/>
      <c r="GM345" s="0"/>
      <c r="GN345" s="0"/>
      <c r="GO345" s="0"/>
      <c r="GP345" s="0"/>
      <c r="GQ345" s="0"/>
      <c r="GR345" s="0"/>
      <c r="GS345" s="0"/>
      <c r="GT345" s="0"/>
      <c r="GU345" s="0"/>
      <c r="GV345" s="0"/>
      <c r="GW345" s="0"/>
      <c r="GX345" s="0"/>
      <c r="GY345" s="0"/>
      <c r="GZ345" s="0"/>
      <c r="HA345" s="0"/>
      <c r="HB345" s="0"/>
      <c r="HC345" s="0"/>
      <c r="HD345" s="0"/>
      <c r="HE345" s="0"/>
      <c r="HF345" s="0"/>
      <c r="HG345" s="0"/>
      <c r="HH345" s="0"/>
      <c r="HI345" s="0"/>
      <c r="HJ345" s="0"/>
      <c r="HK345" s="0"/>
      <c r="HL345" s="0"/>
      <c r="HM345" s="0"/>
      <c r="HN345" s="0"/>
      <c r="HO345" s="0"/>
      <c r="HP345" s="0"/>
      <c r="HQ345" s="0"/>
      <c r="HR345" s="0"/>
      <c r="HS345" s="0"/>
      <c r="HT345" s="0"/>
      <c r="HU345" s="0"/>
      <c r="HV345" s="0"/>
      <c r="HW345" s="0"/>
      <c r="HX345" s="0"/>
      <c r="HY345" s="0"/>
      <c r="HZ345" s="0"/>
      <c r="IA345" s="0"/>
      <c r="IB345" s="0"/>
      <c r="IC345" s="0"/>
      <c r="ID345" s="0"/>
      <c r="IE345" s="0"/>
      <c r="IF345" s="0"/>
      <c r="IG345" s="0"/>
      <c r="IH345" s="0"/>
      <c r="II345" s="0"/>
      <c r="IJ345" s="0"/>
      <c r="IK345" s="0"/>
      <c r="IL345" s="0"/>
      <c r="IM345" s="0"/>
      <c r="IN345" s="0"/>
      <c r="IO345" s="0"/>
      <c r="IP345" s="0"/>
      <c r="IQ345" s="0"/>
      <c r="IR345" s="0"/>
      <c r="IS345" s="0"/>
      <c r="IT345" s="0"/>
      <c r="IU345" s="0"/>
      <c r="IV345" s="0"/>
    </row>
    <row r="346" customFormat="false" ht="20.1" hidden="false" customHeight="true" outlineLevel="0" collapsed="false">
      <c r="A346" s="849" t="s">
        <v>1225</v>
      </c>
      <c r="B346" s="846" t="n">
        <v>300</v>
      </c>
      <c r="C346" s="846" t="n">
        <v>0</v>
      </c>
      <c r="D346" s="846" t="n">
        <v>0</v>
      </c>
      <c r="E346" s="822" t="n">
        <f aca="false">B346-C346+D346</f>
        <v>300</v>
      </c>
      <c r="F346" s="493" t="n">
        <v>1.8</v>
      </c>
      <c r="G346" s="846" t="n">
        <v>0.7</v>
      </c>
      <c r="H346" s="822" t="n">
        <f aca="false">E346*F346</f>
        <v>540</v>
      </c>
      <c r="I346" s="822" t="n">
        <f aca="false">H346*G346</f>
        <v>378</v>
      </c>
      <c r="J346" s="847" t="n">
        <f aca="false">D346*F346*G346</f>
        <v>0</v>
      </c>
      <c r="K346" s="0"/>
      <c r="L346" s="850" t="s">
        <v>1226</v>
      </c>
      <c r="M346" s="426"/>
      <c r="N346" s="0"/>
      <c r="O346" s="0"/>
      <c r="P346" s="0"/>
      <c r="Q346" s="0"/>
      <c r="R346" s="0"/>
      <c r="S346" s="0"/>
      <c r="T346" s="0"/>
      <c r="U346" s="0"/>
      <c r="V346" s="0"/>
      <c r="W346" s="0"/>
      <c r="X346" s="0"/>
      <c r="Y346" s="0"/>
      <c r="Z346" s="0"/>
      <c r="AA346" s="0"/>
      <c r="AB346" s="0"/>
      <c r="AC346" s="0"/>
      <c r="AD346" s="0"/>
      <c r="AE346" s="0"/>
      <c r="AF346" s="0"/>
      <c r="AG346" s="0"/>
      <c r="AH346" s="0"/>
      <c r="AI346" s="0"/>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c r="BM346" s="0"/>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row>
    <row r="347" customFormat="false" ht="20.1" hidden="false" customHeight="true" outlineLevel="0" collapsed="false">
      <c r="A347" s="848" t="s">
        <v>428</v>
      </c>
      <c r="B347" s="846"/>
      <c r="C347" s="846"/>
      <c r="D347" s="846"/>
      <c r="E347" s="822" t="n">
        <f aca="false">B347-C347+D347</f>
        <v>0</v>
      </c>
      <c r="F347" s="493" t="n">
        <v>22</v>
      </c>
      <c r="G347" s="493" t="n">
        <v>0.7</v>
      </c>
      <c r="H347" s="822" t="n">
        <f aca="false">E347*F347</f>
        <v>0</v>
      </c>
      <c r="I347" s="822" t="n">
        <f aca="false">H347*G347</f>
        <v>0</v>
      </c>
      <c r="J347" s="847" t="n">
        <f aca="false">D347*F347*G347</f>
        <v>0</v>
      </c>
      <c r="K347" s="0"/>
      <c r="L347" s="0"/>
      <c r="M347" s="426"/>
      <c r="N347" s="0"/>
      <c r="O347" s="0"/>
      <c r="P347" s="0"/>
      <c r="Q347" s="0"/>
      <c r="R347" s="0"/>
      <c r="S347" s="0"/>
      <c r="T347" s="0"/>
      <c r="U347" s="0"/>
      <c r="V347" s="0"/>
      <c r="W347" s="0"/>
      <c r="X347" s="0"/>
      <c r="Y347" s="0"/>
      <c r="Z347" s="0"/>
      <c r="AA347" s="0"/>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c r="BM347" s="0"/>
      <c r="BN347" s="0"/>
      <c r="BO347" s="0"/>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c r="DS347" s="0"/>
      <c r="DT347" s="0"/>
      <c r="DU347" s="0"/>
      <c r="DV347" s="0"/>
      <c r="DW347" s="0"/>
      <c r="DX347" s="0"/>
      <c r="DY347" s="0"/>
      <c r="DZ347" s="0"/>
      <c r="EA347" s="0"/>
      <c r="EB347" s="0"/>
      <c r="EC347" s="0"/>
      <c r="ED347" s="0"/>
      <c r="EE347" s="0"/>
      <c r="EF347" s="0"/>
      <c r="EG347" s="0"/>
      <c r="EH347" s="0"/>
      <c r="EI347" s="0"/>
      <c r="EJ347" s="0"/>
      <c r="EK347" s="0"/>
      <c r="EL347" s="0"/>
      <c r="EM347" s="0"/>
      <c r="EN347" s="0"/>
      <c r="EO347" s="0"/>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c r="GX347" s="0"/>
      <c r="GY347" s="0"/>
      <c r="GZ347" s="0"/>
      <c r="HA347" s="0"/>
      <c r="HB347" s="0"/>
      <c r="HC347" s="0"/>
      <c r="HD347" s="0"/>
      <c r="HE347" s="0"/>
      <c r="HF347" s="0"/>
      <c r="HG347" s="0"/>
      <c r="HH347" s="0"/>
      <c r="HI347" s="0"/>
      <c r="HJ347" s="0"/>
      <c r="HK347" s="0"/>
      <c r="HL347" s="0"/>
      <c r="HM347" s="0"/>
      <c r="HN347" s="0"/>
      <c r="HO347" s="0"/>
      <c r="HP347" s="0"/>
      <c r="HQ347" s="0"/>
      <c r="HR347" s="0"/>
      <c r="HS347" s="0"/>
      <c r="HT347" s="0"/>
      <c r="HU347" s="0"/>
      <c r="HV347" s="0"/>
      <c r="HW347" s="0"/>
      <c r="HX347" s="0"/>
      <c r="HY347" s="0"/>
      <c r="HZ347" s="0"/>
      <c r="IA347" s="0"/>
      <c r="IB347" s="0"/>
      <c r="IC347" s="0"/>
      <c r="ID347" s="0"/>
      <c r="IE347" s="0"/>
      <c r="IF347" s="0"/>
      <c r="IG347" s="0"/>
      <c r="IH347" s="0"/>
      <c r="II347" s="0"/>
      <c r="IJ347" s="0"/>
      <c r="IK347" s="0"/>
      <c r="IL347" s="0"/>
      <c r="IM347" s="0"/>
      <c r="IN347" s="0"/>
      <c r="IO347" s="0"/>
      <c r="IP347" s="0"/>
      <c r="IQ347" s="0"/>
      <c r="IR347" s="0"/>
      <c r="IS347" s="0"/>
      <c r="IT347" s="0"/>
      <c r="IU347" s="0"/>
      <c r="IV347" s="0"/>
    </row>
    <row r="348" customFormat="false" ht="20.1" hidden="false" customHeight="true" outlineLevel="0" collapsed="false">
      <c r="A348" s="848" t="s">
        <v>429</v>
      </c>
      <c r="B348" s="846"/>
      <c r="C348" s="846"/>
      <c r="D348" s="846"/>
      <c r="E348" s="822" t="n">
        <f aca="false">B348-C348+D348</f>
        <v>0</v>
      </c>
      <c r="F348" s="493" t="n">
        <v>40</v>
      </c>
      <c r="G348" s="493" t="n">
        <v>0.7</v>
      </c>
      <c r="H348" s="822" t="n">
        <f aca="false">E348*F348</f>
        <v>0</v>
      </c>
      <c r="I348" s="822" t="n">
        <f aca="false">H348*G348</f>
        <v>0</v>
      </c>
      <c r="J348" s="847" t="n">
        <f aca="false">D348*F348*G348</f>
        <v>0</v>
      </c>
      <c r="L348" s="0"/>
      <c r="M348" s="0"/>
      <c r="N348" s="0"/>
      <c r="O348" s="0"/>
      <c r="P348" s="0"/>
      <c r="Q348" s="0"/>
      <c r="R348" s="0"/>
      <c r="S348" s="0"/>
      <c r="T348" s="0"/>
      <c r="U348" s="0"/>
      <c r="V348" s="0"/>
      <c r="W348" s="0"/>
      <c r="X348" s="0"/>
      <c r="Y348" s="0"/>
      <c r="Z348" s="0"/>
      <c r="AA348" s="0"/>
      <c r="AB348" s="0"/>
      <c r="AC348" s="0"/>
      <c r="AD348" s="0"/>
      <c r="AE348" s="0"/>
      <c r="AF348" s="0"/>
      <c r="AG348" s="0"/>
      <c r="AH348" s="0"/>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0"/>
      <c r="BJ348" s="0"/>
      <c r="BK348" s="0"/>
      <c r="BL348" s="0"/>
      <c r="BM348" s="0"/>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c r="EC348" s="0"/>
      <c r="ED348" s="0"/>
      <c r="EE348" s="0"/>
      <c r="EF348" s="0"/>
      <c r="EG348" s="0"/>
      <c r="EH348" s="0"/>
      <c r="EI348" s="0"/>
      <c r="EJ348" s="0"/>
      <c r="EK348" s="0"/>
      <c r="EL348" s="0"/>
      <c r="EM348" s="0"/>
      <c r="EN348" s="0"/>
      <c r="EO348" s="0"/>
      <c r="EP348" s="0"/>
      <c r="EQ348" s="0"/>
      <c r="ER348" s="0"/>
      <c r="ES348" s="0"/>
      <c r="ET348" s="0"/>
      <c r="EU348" s="0"/>
      <c r="EV348" s="0"/>
      <c r="EW348" s="0"/>
      <c r="EX348" s="0"/>
      <c r="EY348" s="0"/>
      <c r="EZ348" s="0"/>
      <c r="FA348" s="0"/>
      <c r="FB348" s="0"/>
      <c r="FC348" s="0"/>
      <c r="FD348" s="0"/>
      <c r="FE348" s="0"/>
      <c r="FF348" s="0"/>
      <c r="FG348" s="0"/>
      <c r="FH348" s="0"/>
      <c r="FI348" s="0"/>
      <c r="FJ348" s="0"/>
      <c r="FK348" s="0"/>
      <c r="FL348" s="0"/>
      <c r="FM348" s="0"/>
      <c r="FN348" s="0"/>
      <c r="FO348" s="0"/>
      <c r="FP348" s="0"/>
      <c r="FQ348" s="0"/>
      <c r="FR348" s="0"/>
      <c r="FS348" s="0"/>
      <c r="FT348" s="0"/>
      <c r="FU348" s="0"/>
      <c r="FV348" s="0"/>
      <c r="FW348" s="0"/>
      <c r="FX348" s="0"/>
      <c r="FY348" s="0"/>
      <c r="FZ348" s="0"/>
      <c r="GA348" s="0"/>
      <c r="GB348" s="0"/>
      <c r="GC348" s="0"/>
      <c r="GD348" s="0"/>
      <c r="GE348" s="0"/>
      <c r="GF348" s="0"/>
      <c r="GG348" s="0"/>
      <c r="GH348" s="0"/>
      <c r="GI348" s="0"/>
      <c r="GJ348" s="0"/>
      <c r="GK348" s="0"/>
      <c r="GL348" s="0"/>
      <c r="GM348" s="0"/>
      <c r="GN348" s="0"/>
      <c r="GO348" s="0"/>
      <c r="GP348" s="0"/>
      <c r="GQ348" s="0"/>
      <c r="GR348" s="0"/>
      <c r="GS348" s="0"/>
      <c r="GT348" s="0"/>
      <c r="GU348" s="0"/>
      <c r="GV348" s="0"/>
      <c r="GW348" s="0"/>
      <c r="GX348" s="0"/>
      <c r="GY348" s="0"/>
      <c r="GZ348" s="0"/>
      <c r="HA348" s="0"/>
      <c r="HB348" s="0"/>
      <c r="HC348" s="0"/>
      <c r="HD348" s="0"/>
      <c r="HE348" s="0"/>
      <c r="HF348" s="0"/>
      <c r="HG348" s="0"/>
      <c r="HH348" s="0"/>
      <c r="HI348" s="0"/>
      <c r="HJ348" s="0"/>
      <c r="HK348" s="0"/>
      <c r="HL348" s="0"/>
      <c r="HM348" s="0"/>
      <c r="HN348" s="0"/>
      <c r="HO348" s="0"/>
      <c r="HP348" s="0"/>
      <c r="HQ348" s="0"/>
      <c r="HR348" s="0"/>
      <c r="HS348" s="0"/>
      <c r="HT348" s="0"/>
      <c r="HU348" s="0"/>
      <c r="HV348" s="0"/>
      <c r="HW348" s="0"/>
      <c r="HX348" s="0"/>
      <c r="HY348" s="0"/>
      <c r="HZ348" s="0"/>
      <c r="IA348" s="0"/>
      <c r="IB348" s="0"/>
      <c r="IC348" s="0"/>
      <c r="ID348" s="0"/>
      <c r="IE348" s="0"/>
      <c r="IF348" s="0"/>
      <c r="IG348" s="0"/>
      <c r="IH348" s="0"/>
      <c r="II348" s="0"/>
      <c r="IJ348" s="0"/>
      <c r="IK348" s="0"/>
      <c r="IL348" s="0"/>
      <c r="IM348" s="0"/>
      <c r="IN348" s="0"/>
      <c r="IO348" s="0"/>
      <c r="IP348" s="0"/>
      <c r="IQ348" s="0"/>
      <c r="IR348" s="0"/>
      <c r="IS348" s="0"/>
      <c r="IT348" s="0"/>
      <c r="IU348" s="0"/>
      <c r="IV348" s="0"/>
    </row>
    <row r="349" customFormat="false" ht="20.1" hidden="false" customHeight="true" outlineLevel="0" collapsed="false">
      <c r="A349" s="848" t="s">
        <v>430</v>
      </c>
      <c r="B349" s="846"/>
      <c r="C349" s="846"/>
      <c r="D349" s="846"/>
      <c r="E349" s="822" t="n">
        <f aca="false">B349-C349+D349</f>
        <v>0</v>
      </c>
      <c r="F349" s="493" t="n">
        <v>22</v>
      </c>
      <c r="G349" s="493" t="n">
        <v>0.7</v>
      </c>
      <c r="H349" s="822" t="n">
        <f aca="false">E349*F349</f>
        <v>0</v>
      </c>
      <c r="I349" s="822" t="n">
        <f aca="false">H349*G349</f>
        <v>0</v>
      </c>
      <c r="J349" s="847" t="n">
        <f aca="false">D349*F349*G349</f>
        <v>0</v>
      </c>
      <c r="L349" s="0"/>
      <c r="M349" s="0"/>
      <c r="N349" s="0"/>
      <c r="O349" s="55"/>
      <c r="P349" s="0"/>
      <c r="Q349" s="0"/>
      <c r="R349" s="0"/>
      <c r="S349" s="0"/>
      <c r="T349" s="0"/>
      <c r="U349" s="0"/>
      <c r="V349" s="0"/>
      <c r="W349" s="0"/>
      <c r="X349" s="0"/>
      <c r="Y349" s="0"/>
      <c r="Z349" s="0"/>
      <c r="AA349" s="0"/>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row>
    <row r="350" customFormat="false" ht="30" hidden="false" customHeight="true" outlineLevel="0" collapsed="false">
      <c r="A350" s="845" t="s">
        <v>431</v>
      </c>
      <c r="B350" s="846"/>
      <c r="C350" s="846"/>
      <c r="D350" s="846"/>
      <c r="E350" s="822" t="n">
        <f aca="false">B350-C350+D350</f>
        <v>0</v>
      </c>
      <c r="F350" s="493" t="n">
        <v>9.6</v>
      </c>
      <c r="G350" s="493" t="n">
        <v>0.7</v>
      </c>
      <c r="H350" s="822" t="n">
        <f aca="false">E350*F350</f>
        <v>0</v>
      </c>
      <c r="I350" s="822" t="n">
        <f aca="false">H350*G350</f>
        <v>0</v>
      </c>
      <c r="J350" s="847" t="n">
        <f aca="false">D350*F350*G350</f>
        <v>0</v>
      </c>
      <c r="L350" s="0"/>
      <c r="M350" s="0"/>
      <c r="N350" s="0"/>
      <c r="O350" s="55"/>
      <c r="P350" s="0"/>
      <c r="Q350" s="0"/>
      <c r="R350" s="0"/>
      <c r="S350" s="0"/>
      <c r="T350" s="0"/>
      <c r="U350" s="0"/>
      <c r="V350" s="0"/>
      <c r="W350" s="0"/>
      <c r="X350" s="0"/>
      <c r="Y350" s="0"/>
      <c r="Z350" s="0"/>
      <c r="AA350" s="0"/>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row>
    <row r="351" customFormat="false" ht="26.25" hidden="false" customHeight="true" outlineLevel="0" collapsed="false">
      <c r="A351" s="845" t="s">
        <v>432</v>
      </c>
      <c r="B351" s="846"/>
      <c r="C351" s="846"/>
      <c r="D351" s="846"/>
      <c r="E351" s="822" t="n">
        <f aca="false">B351-C351+D351</f>
        <v>0</v>
      </c>
      <c r="F351" s="493" t="n">
        <v>4.3</v>
      </c>
      <c r="G351" s="493" t="n">
        <v>0.7</v>
      </c>
      <c r="H351" s="822" t="n">
        <f aca="false">E351*F351</f>
        <v>0</v>
      </c>
      <c r="I351" s="822" t="n">
        <f aca="false">H351*G351</f>
        <v>0</v>
      </c>
      <c r="J351" s="847" t="n">
        <f aca="false">D351*F351*G351</f>
        <v>0</v>
      </c>
      <c r="L351" s="0"/>
      <c r="M351" s="0"/>
      <c r="N351" s="0"/>
      <c r="O351" s="0"/>
      <c r="P351" s="0"/>
      <c r="Q351" s="0"/>
      <c r="R351" s="0"/>
      <c r="S351" s="0"/>
      <c r="T351" s="0"/>
      <c r="U351" s="0"/>
      <c r="V351" s="0"/>
      <c r="W351" s="0"/>
      <c r="X351" s="0"/>
      <c r="Y351" s="0"/>
      <c r="Z351" s="0"/>
      <c r="AA351" s="0"/>
      <c r="AB351" s="0"/>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row>
    <row r="352" customFormat="false" ht="37.5" hidden="false" customHeight="true" outlineLevel="0" collapsed="false">
      <c r="A352" s="845" t="s">
        <v>433</v>
      </c>
      <c r="B352" s="846"/>
      <c r="C352" s="846"/>
      <c r="D352" s="846"/>
      <c r="E352" s="822" t="n">
        <f aca="false">B352-C352+D352</f>
        <v>0</v>
      </c>
      <c r="F352" s="493" t="n">
        <v>7.2</v>
      </c>
      <c r="G352" s="493" t="n">
        <v>0.15</v>
      </c>
      <c r="H352" s="822" t="n">
        <f aca="false">E352*F352</f>
        <v>0</v>
      </c>
      <c r="I352" s="822" t="n">
        <f aca="false">H352*G352</f>
        <v>0</v>
      </c>
      <c r="J352" s="847" t="n">
        <f aca="false">D352*F352*G352</f>
        <v>0</v>
      </c>
      <c r="L352" s="0"/>
      <c r="M352" s="0"/>
      <c r="N352" s="0"/>
      <c r="O352" s="0"/>
      <c r="P352" s="0"/>
      <c r="Q352" s="0"/>
      <c r="R352" s="0"/>
      <c r="S352" s="0"/>
      <c r="T352" s="0"/>
      <c r="U352" s="0"/>
      <c r="V352" s="0"/>
      <c r="W352" s="0"/>
      <c r="X352" s="0"/>
      <c r="Y352" s="0"/>
      <c r="Z352" s="0"/>
      <c r="AA352" s="0"/>
      <c r="AB352" s="0"/>
      <c r="AC352" s="0"/>
      <c r="AD352" s="0"/>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row>
    <row r="353" customFormat="false" ht="20.1" hidden="false" customHeight="true" outlineLevel="0" collapsed="false">
      <c r="A353" s="845" t="s">
        <v>434</v>
      </c>
      <c r="B353" s="846"/>
      <c r="C353" s="846"/>
      <c r="D353" s="846"/>
      <c r="E353" s="822" t="n">
        <f aca="false">B353-C353+D353</f>
        <v>0</v>
      </c>
      <c r="F353" s="493" t="n">
        <v>9.1</v>
      </c>
      <c r="G353" s="493" t="n">
        <v>0.15</v>
      </c>
      <c r="H353" s="822" t="n">
        <f aca="false">E353*F353</f>
        <v>0</v>
      </c>
      <c r="I353" s="822" t="n">
        <f aca="false">H353*G353</f>
        <v>0</v>
      </c>
      <c r="J353" s="847" t="n">
        <f aca="false">D353*F353*G353</f>
        <v>0</v>
      </c>
      <c r="L353" s="0"/>
      <c r="M353" s="0"/>
      <c r="N353" s="0"/>
      <c r="O353" s="0"/>
      <c r="P353" s="0"/>
      <c r="Q353" s="0"/>
      <c r="R353" s="0"/>
      <c r="S353" s="0"/>
      <c r="T353" s="0"/>
      <c r="U353" s="0"/>
      <c r="V353" s="0"/>
      <c r="W353" s="0"/>
      <c r="X353" s="0"/>
      <c r="Y353" s="0"/>
      <c r="Z353" s="0"/>
      <c r="AA353" s="0"/>
      <c r="AB353" s="0"/>
      <c r="AC353" s="0"/>
      <c r="AD353" s="0"/>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c r="EC353" s="0"/>
      <c r="ED353" s="0"/>
      <c r="EE353" s="0"/>
      <c r="EF353" s="0"/>
      <c r="EG353" s="0"/>
      <c r="EH353" s="0"/>
      <c r="EI353" s="0"/>
      <c r="EJ353" s="0"/>
      <c r="EK353" s="0"/>
      <c r="EL353" s="0"/>
      <c r="EM353" s="0"/>
      <c r="EN353" s="0"/>
      <c r="EO353" s="0"/>
      <c r="EP353" s="0"/>
      <c r="EQ353" s="0"/>
      <c r="ER353" s="0"/>
      <c r="ES353" s="0"/>
      <c r="ET353" s="0"/>
      <c r="EU353" s="0"/>
      <c r="EV353" s="0"/>
      <c r="EW353" s="0"/>
      <c r="EX353" s="0"/>
      <c r="EY353" s="0"/>
      <c r="EZ353" s="0"/>
      <c r="FA353" s="0"/>
      <c r="FB353" s="0"/>
      <c r="FC353" s="0"/>
      <c r="FD353" s="0"/>
      <c r="FE353" s="0"/>
      <c r="FF353" s="0"/>
      <c r="FG353" s="0"/>
      <c r="FH353" s="0"/>
      <c r="FI353" s="0"/>
      <c r="FJ353" s="0"/>
      <c r="FK353" s="0"/>
      <c r="FL353" s="0"/>
      <c r="FM353" s="0"/>
      <c r="FN353" s="0"/>
      <c r="FO353" s="0"/>
      <c r="FP353" s="0"/>
      <c r="FQ353" s="0"/>
      <c r="FR353" s="0"/>
      <c r="FS353" s="0"/>
      <c r="FT353" s="0"/>
      <c r="FU353" s="0"/>
      <c r="FV353" s="0"/>
      <c r="FW353" s="0"/>
      <c r="FX353" s="0"/>
      <c r="FY353" s="0"/>
      <c r="FZ353" s="0"/>
      <c r="GA353" s="0"/>
      <c r="GB353" s="0"/>
      <c r="GC353" s="0"/>
      <c r="GD353" s="0"/>
      <c r="GE353" s="0"/>
      <c r="GF353" s="0"/>
      <c r="GG353" s="0"/>
      <c r="GH353" s="0"/>
      <c r="GI353" s="0"/>
      <c r="GJ353" s="0"/>
      <c r="GK353" s="0"/>
      <c r="GL353" s="0"/>
      <c r="GM353" s="0"/>
      <c r="GN353" s="0"/>
      <c r="GO353" s="0"/>
      <c r="GP353" s="0"/>
      <c r="GQ353" s="0"/>
      <c r="GR353" s="0"/>
      <c r="GS353" s="0"/>
      <c r="GT353" s="0"/>
      <c r="GU353" s="0"/>
      <c r="GV353" s="0"/>
      <c r="GW353" s="0"/>
      <c r="GX353" s="0"/>
      <c r="GY353" s="0"/>
      <c r="GZ353" s="0"/>
      <c r="HA353" s="0"/>
      <c r="HB353" s="0"/>
      <c r="HC353" s="0"/>
      <c r="HD353" s="0"/>
      <c r="HE353" s="0"/>
      <c r="HF353" s="0"/>
      <c r="HG353" s="0"/>
      <c r="HH353" s="0"/>
      <c r="HI353" s="0"/>
      <c r="HJ353" s="0"/>
      <c r="HK353" s="0"/>
      <c r="HL353" s="0"/>
      <c r="HM353" s="0"/>
      <c r="HN353" s="0"/>
      <c r="HO353" s="0"/>
      <c r="HP353" s="0"/>
      <c r="HQ353" s="0"/>
      <c r="HR353" s="0"/>
      <c r="HS353" s="0"/>
      <c r="HT353" s="0"/>
      <c r="HU353" s="0"/>
      <c r="HV353" s="0"/>
      <c r="HW353" s="0"/>
      <c r="HX353" s="0"/>
      <c r="HY353" s="0"/>
      <c r="HZ353" s="0"/>
      <c r="IA353" s="0"/>
      <c r="IB353" s="0"/>
      <c r="IC353" s="0"/>
      <c r="ID353" s="0"/>
      <c r="IE353" s="0"/>
      <c r="IF353" s="0"/>
      <c r="IG353" s="0"/>
      <c r="IH353" s="0"/>
      <c r="II353" s="0"/>
      <c r="IJ353" s="0"/>
      <c r="IK353" s="0"/>
      <c r="IL353" s="0"/>
      <c r="IM353" s="0"/>
      <c r="IN353" s="0"/>
      <c r="IO353" s="0"/>
      <c r="IP353" s="0"/>
      <c r="IQ353" s="0"/>
      <c r="IR353" s="0"/>
      <c r="IS353" s="0"/>
      <c r="IT353" s="0"/>
      <c r="IU353" s="0"/>
      <c r="IV353" s="0"/>
    </row>
    <row r="354" customFormat="false" ht="20.1" hidden="false" customHeight="true" outlineLevel="0" collapsed="false">
      <c r="A354" s="845" t="s">
        <v>435</v>
      </c>
      <c r="B354" s="846"/>
      <c r="C354" s="846"/>
      <c r="D354" s="846"/>
      <c r="E354" s="822" t="n">
        <f aca="false">B354-C354+D354</f>
        <v>0</v>
      </c>
      <c r="F354" s="493" t="n">
        <v>6</v>
      </c>
      <c r="G354" s="846"/>
      <c r="H354" s="822" t="n">
        <f aca="false">E354*F354</f>
        <v>0</v>
      </c>
      <c r="I354" s="822" t="n">
        <f aca="false">H354*G354</f>
        <v>0</v>
      </c>
      <c r="J354" s="847" t="n">
        <f aca="false">D354*F354*G354</f>
        <v>0</v>
      </c>
      <c r="L354" s="0"/>
      <c r="M354" s="0"/>
      <c r="N354" s="0"/>
      <c r="O354" s="0"/>
      <c r="P354" s="0"/>
      <c r="Q354" s="0"/>
      <c r="R354" s="0"/>
      <c r="S354" s="0"/>
      <c r="T354" s="0"/>
      <c r="U354" s="0"/>
      <c r="V354" s="0"/>
      <c r="W354" s="0"/>
      <c r="X354" s="0"/>
      <c r="Y354" s="0"/>
      <c r="Z354" s="0"/>
      <c r="AA354" s="0"/>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row>
    <row r="355" customFormat="false" ht="20.1" hidden="false" customHeight="true" outlineLevel="0" collapsed="false">
      <c r="A355" s="845" t="s">
        <v>436</v>
      </c>
      <c r="B355" s="846"/>
      <c r="C355" s="846"/>
      <c r="D355" s="846"/>
      <c r="E355" s="822" t="n">
        <f aca="false">B355-C355+D355</f>
        <v>0</v>
      </c>
      <c r="F355" s="493" t="n">
        <v>2</v>
      </c>
      <c r="G355" s="846"/>
      <c r="H355" s="822" t="n">
        <f aca="false">E355*F355</f>
        <v>0</v>
      </c>
      <c r="I355" s="822" t="n">
        <f aca="false">H355*G355</f>
        <v>0</v>
      </c>
      <c r="J355" s="847" t="n">
        <f aca="false">D355*F355*G355</f>
        <v>0</v>
      </c>
      <c r="L355" s="0"/>
      <c r="M355" s="0"/>
      <c r="N355" s="0"/>
      <c r="O355" s="0"/>
      <c r="P355" s="0"/>
      <c r="Q355" s="0"/>
      <c r="R355" s="0"/>
      <c r="S355" s="0"/>
      <c r="T355" s="0"/>
      <c r="U355" s="0"/>
      <c r="V355" s="0"/>
      <c r="W355" s="0"/>
      <c r="X355" s="0"/>
      <c r="Y355" s="0"/>
      <c r="Z355" s="0"/>
      <c r="AA355" s="0"/>
      <c r="AB355" s="0"/>
      <c r="AC355" s="0"/>
      <c r="AD355" s="0"/>
      <c r="AE355" s="0"/>
      <c r="AF355" s="0"/>
      <c r="AG355" s="0"/>
      <c r="AH355" s="0"/>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c r="BI355" s="0"/>
      <c r="BJ355" s="0"/>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row>
    <row r="356" customFormat="false" ht="20.1" hidden="false" customHeight="true" outlineLevel="0" collapsed="false">
      <c r="A356" s="845" t="s">
        <v>437</v>
      </c>
      <c r="B356" s="846"/>
      <c r="C356" s="846"/>
      <c r="D356" s="846"/>
      <c r="E356" s="822" t="n">
        <f aca="false">B356-C356+D356</f>
        <v>0</v>
      </c>
      <c r="F356" s="493" t="n">
        <v>5.5</v>
      </c>
      <c r="G356" s="846"/>
      <c r="H356" s="822" t="n">
        <f aca="false">E356*F356</f>
        <v>0</v>
      </c>
      <c r="I356" s="822" t="n">
        <f aca="false">H356*G356</f>
        <v>0</v>
      </c>
      <c r="J356" s="847" t="n">
        <f aca="false">D356*F356*G356</f>
        <v>0</v>
      </c>
      <c r="L356" s="0"/>
      <c r="M356" s="0"/>
      <c r="N356" s="0"/>
      <c r="O356" s="0"/>
      <c r="P356" s="0"/>
      <c r="Q356" s="0"/>
      <c r="R356" s="0"/>
      <c r="S356" s="0"/>
      <c r="T356" s="0"/>
      <c r="U356" s="0"/>
      <c r="V356" s="0"/>
      <c r="W356" s="0"/>
      <c r="X356" s="0"/>
      <c r="Y356" s="0"/>
      <c r="Z356" s="0"/>
      <c r="AA356" s="0"/>
      <c r="AB356" s="0"/>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c r="IQ356" s="0"/>
      <c r="IR356" s="0"/>
      <c r="IS356" s="0"/>
      <c r="IT356" s="0"/>
      <c r="IU356" s="0"/>
      <c r="IV356" s="0"/>
    </row>
    <row r="357" customFormat="false" ht="31.5" hidden="false" customHeight="true" outlineLevel="0" collapsed="false">
      <c r="A357" s="845" t="s">
        <v>438</v>
      </c>
      <c r="B357" s="846"/>
      <c r="C357" s="846"/>
      <c r="D357" s="846"/>
      <c r="E357" s="822" t="n">
        <f aca="false">B357-C357+D357</f>
        <v>0</v>
      </c>
      <c r="F357" s="493" t="n">
        <v>18</v>
      </c>
      <c r="G357" s="846"/>
      <c r="H357" s="822" t="n">
        <f aca="false">E357*F357</f>
        <v>0</v>
      </c>
      <c r="I357" s="822" t="n">
        <f aca="false">H357*G357</f>
        <v>0</v>
      </c>
      <c r="J357" s="847" t="n">
        <f aca="false">D357*F357*G357</f>
        <v>0</v>
      </c>
      <c r="L357" s="0"/>
      <c r="M357" s="0"/>
      <c r="N357" s="0"/>
      <c r="O357" s="0"/>
      <c r="P357" s="0"/>
      <c r="Q357" s="0"/>
      <c r="R357" s="0"/>
      <c r="S357" s="0"/>
      <c r="T357" s="0"/>
      <c r="U357" s="0"/>
      <c r="V357" s="0"/>
      <c r="W357" s="0"/>
      <c r="X357" s="0"/>
      <c r="Y357" s="0"/>
      <c r="Z357" s="0"/>
      <c r="AA357" s="0"/>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c r="ID357" s="0"/>
      <c r="IE357" s="0"/>
      <c r="IF357" s="0"/>
      <c r="IG357" s="0"/>
      <c r="IH357" s="0"/>
      <c r="II357" s="0"/>
      <c r="IJ357" s="0"/>
      <c r="IK357" s="0"/>
      <c r="IL357" s="0"/>
      <c r="IM357" s="0"/>
      <c r="IN357" s="0"/>
      <c r="IO357" s="0"/>
      <c r="IP357" s="0"/>
      <c r="IQ357" s="0"/>
      <c r="IR357" s="0"/>
      <c r="IS357" s="0"/>
      <c r="IT357" s="0"/>
      <c r="IU357" s="0"/>
      <c r="IV357" s="0"/>
    </row>
    <row r="358" customFormat="false" ht="20.1" hidden="false" customHeight="true" outlineLevel="0" collapsed="false">
      <c r="A358" s="845" t="s">
        <v>439</v>
      </c>
      <c r="B358" s="846"/>
      <c r="C358" s="846"/>
      <c r="D358" s="846"/>
      <c r="E358" s="822" t="n">
        <f aca="false">B358-C358+D358</f>
        <v>0</v>
      </c>
      <c r="F358" s="493" t="n">
        <v>8</v>
      </c>
      <c r="G358" s="846"/>
      <c r="H358" s="822" t="n">
        <f aca="false">E358*F358</f>
        <v>0</v>
      </c>
      <c r="I358" s="822" t="n">
        <f aca="false">H358*G358</f>
        <v>0</v>
      </c>
      <c r="J358" s="847" t="n">
        <f aca="false">D358*F358*G358</f>
        <v>0</v>
      </c>
      <c r="L358" s="0"/>
      <c r="M358" s="0"/>
      <c r="N358" s="0"/>
      <c r="O358" s="0"/>
      <c r="P358" s="0"/>
      <c r="Q358" s="0"/>
      <c r="R358" s="0"/>
      <c r="S358" s="0"/>
      <c r="T358" s="0"/>
      <c r="U358" s="0"/>
      <c r="V358" s="0"/>
      <c r="W358" s="0"/>
      <c r="X358" s="0"/>
      <c r="Y358" s="0"/>
      <c r="Z358" s="0"/>
      <c r="AA358" s="0"/>
      <c r="AB358" s="0"/>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row>
    <row r="359" customFormat="false" ht="26.25" hidden="false" customHeight="true" outlineLevel="0" collapsed="false">
      <c r="A359" s="845" t="s">
        <v>440</v>
      </c>
      <c r="B359" s="846"/>
      <c r="C359" s="846"/>
      <c r="D359" s="846"/>
      <c r="E359" s="822" t="n">
        <f aca="false">B359-C359+D359</f>
        <v>0</v>
      </c>
      <c r="F359" s="493" t="n">
        <v>20</v>
      </c>
      <c r="G359" s="846"/>
      <c r="H359" s="822" t="n">
        <f aca="false">E359*F359</f>
        <v>0</v>
      </c>
      <c r="I359" s="822" t="n">
        <f aca="false">H359*G359</f>
        <v>0</v>
      </c>
      <c r="J359" s="847" t="n">
        <f aca="false">D359*F359*G359</f>
        <v>0</v>
      </c>
      <c r="L359" s="0"/>
      <c r="M359" s="0"/>
      <c r="N359" s="0"/>
      <c r="O359" s="0"/>
      <c r="P359" s="0"/>
      <c r="Q359" s="0"/>
      <c r="R359" s="0"/>
      <c r="S359" s="0"/>
      <c r="T359" s="0"/>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row>
    <row r="360" customFormat="false" ht="26.25" hidden="false" customHeight="true" outlineLevel="0" collapsed="false">
      <c r="A360" s="845" t="s">
        <v>441</v>
      </c>
      <c r="B360" s="846"/>
      <c r="C360" s="846"/>
      <c r="D360" s="846"/>
      <c r="E360" s="822" t="n">
        <f aca="false">B360-C360+D360</f>
        <v>0</v>
      </c>
      <c r="F360" s="493" t="n">
        <v>15</v>
      </c>
      <c r="G360" s="846"/>
      <c r="H360" s="822" t="n">
        <f aca="false">E360*F360</f>
        <v>0</v>
      </c>
      <c r="I360" s="822" t="n">
        <f aca="false">H360*G360</f>
        <v>0</v>
      </c>
      <c r="J360" s="847" t="n">
        <f aca="false">D360*F360*G360</f>
        <v>0</v>
      </c>
      <c r="L360" s="0"/>
      <c r="M360" s="0"/>
      <c r="N360" s="0"/>
      <c r="O360" s="0"/>
      <c r="P360" s="0"/>
      <c r="Q360" s="0"/>
      <c r="R360" s="0"/>
      <c r="S360" s="0"/>
      <c r="T360" s="0"/>
      <c r="U360" s="0"/>
      <c r="V360" s="0"/>
      <c r="W360" s="0"/>
      <c r="X360" s="0"/>
      <c r="Y360" s="0"/>
      <c r="Z360" s="0"/>
      <c r="AA360" s="0"/>
      <c r="AB360" s="0"/>
      <c r="AC360" s="0"/>
      <c r="AD360" s="0"/>
      <c r="AE360" s="0"/>
      <c r="AF360" s="0"/>
      <c r="AG360" s="0"/>
      <c r="AH360" s="0"/>
      <c r="AI360" s="0"/>
      <c r="AJ360" s="0"/>
      <c r="AK360" s="0"/>
      <c r="AL360" s="0"/>
      <c r="AM360" s="0"/>
      <c r="AN360" s="0"/>
      <c r="AO360" s="0"/>
      <c r="AP360" s="0"/>
      <c r="AQ360" s="0"/>
      <c r="AR360" s="0"/>
      <c r="AS360" s="0"/>
      <c r="AT360" s="0"/>
      <c r="AU360" s="0"/>
      <c r="AV360" s="0"/>
      <c r="AW360" s="0"/>
      <c r="AX360" s="0"/>
      <c r="AY360" s="0"/>
      <c r="AZ360" s="0"/>
      <c r="BA360" s="0"/>
      <c r="BB360" s="0"/>
      <c r="BC360" s="0"/>
      <c r="BD360" s="0"/>
      <c r="BE360" s="0"/>
      <c r="BF360" s="0"/>
      <c r="BG360" s="0"/>
      <c r="BH360" s="0"/>
      <c r="BI360" s="0"/>
      <c r="BJ360" s="0"/>
      <c r="BK360" s="0"/>
      <c r="BL360" s="0"/>
      <c r="BM360" s="0"/>
      <c r="BN360" s="0"/>
      <c r="BO360" s="0"/>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c r="DO360" s="0"/>
      <c r="DP360" s="0"/>
      <c r="DQ360" s="0"/>
      <c r="DR360" s="0"/>
      <c r="DS360" s="0"/>
      <c r="DT360" s="0"/>
      <c r="DU360" s="0"/>
      <c r="DV360" s="0"/>
      <c r="DW360" s="0"/>
      <c r="DX360" s="0"/>
      <c r="DY360" s="0"/>
      <c r="DZ360" s="0"/>
      <c r="EA360" s="0"/>
      <c r="EB360" s="0"/>
      <c r="EC360" s="0"/>
      <c r="ED360" s="0"/>
      <c r="EE360" s="0"/>
      <c r="EF360" s="0"/>
      <c r="EG360" s="0"/>
      <c r="EH360" s="0"/>
      <c r="EI360" s="0"/>
      <c r="EJ360" s="0"/>
      <c r="EK360" s="0"/>
      <c r="EL360" s="0"/>
      <c r="EM360" s="0"/>
      <c r="EN360" s="0"/>
      <c r="EO360" s="0"/>
      <c r="EP360" s="0"/>
      <c r="EQ360" s="0"/>
      <c r="ER360" s="0"/>
      <c r="ES360" s="0"/>
      <c r="ET360" s="0"/>
      <c r="EU360" s="0"/>
      <c r="EV360" s="0"/>
      <c r="EW360" s="0"/>
      <c r="EX360" s="0"/>
      <c r="EY360" s="0"/>
      <c r="EZ360" s="0"/>
      <c r="FA360" s="0"/>
      <c r="FB360" s="0"/>
      <c r="FC360" s="0"/>
      <c r="FD360" s="0"/>
      <c r="FE360" s="0"/>
      <c r="FF360" s="0"/>
      <c r="FG360" s="0"/>
      <c r="FH360" s="0"/>
      <c r="FI360" s="0"/>
      <c r="FJ360" s="0"/>
      <c r="FK360" s="0"/>
      <c r="FL360" s="0"/>
      <c r="FM360" s="0"/>
      <c r="FN360" s="0"/>
      <c r="FO360" s="0"/>
      <c r="FP360" s="0"/>
      <c r="FQ360" s="0"/>
      <c r="FR360" s="0"/>
      <c r="FS360" s="0"/>
      <c r="FT360" s="0"/>
      <c r="FU360" s="0"/>
      <c r="FV360" s="0"/>
      <c r="FW360" s="0"/>
      <c r="FX360" s="0"/>
      <c r="FY360" s="0"/>
      <c r="FZ360" s="0"/>
      <c r="GA360" s="0"/>
      <c r="GB360" s="0"/>
      <c r="GC360" s="0"/>
      <c r="GD360" s="0"/>
      <c r="GE360" s="0"/>
      <c r="GF360" s="0"/>
      <c r="GG360" s="0"/>
      <c r="GH360" s="0"/>
      <c r="GI360" s="0"/>
      <c r="GJ360" s="0"/>
      <c r="GK360" s="0"/>
      <c r="GL360" s="0"/>
      <c r="GM360" s="0"/>
      <c r="GN360" s="0"/>
      <c r="GO360" s="0"/>
      <c r="GP360" s="0"/>
      <c r="GQ360" s="0"/>
      <c r="GR360" s="0"/>
      <c r="GS360" s="0"/>
      <c r="GT360" s="0"/>
      <c r="GU360" s="0"/>
      <c r="GV360" s="0"/>
      <c r="GW360" s="0"/>
      <c r="GX360" s="0"/>
      <c r="GY360" s="0"/>
      <c r="GZ360" s="0"/>
      <c r="HA360" s="0"/>
      <c r="HB360" s="0"/>
      <c r="HC360" s="0"/>
      <c r="HD360" s="0"/>
      <c r="HE360" s="0"/>
      <c r="HF360" s="0"/>
      <c r="HG360" s="0"/>
      <c r="HH360" s="0"/>
      <c r="HI360" s="0"/>
      <c r="HJ360" s="0"/>
      <c r="HK360" s="0"/>
      <c r="HL360" s="0"/>
      <c r="HM360" s="0"/>
      <c r="HN360" s="0"/>
      <c r="HO360" s="0"/>
      <c r="HP360" s="0"/>
      <c r="HQ360" s="0"/>
      <c r="HR360" s="0"/>
      <c r="HS360" s="0"/>
      <c r="HT360" s="0"/>
      <c r="HU360" s="0"/>
      <c r="HV360" s="0"/>
      <c r="HW360" s="0"/>
      <c r="HX360" s="0"/>
      <c r="HY360" s="0"/>
      <c r="HZ360" s="0"/>
      <c r="IA360" s="0"/>
      <c r="IB360" s="0"/>
      <c r="IC360" s="0"/>
      <c r="ID360" s="0"/>
      <c r="IE360" s="0"/>
      <c r="IF360" s="0"/>
      <c r="IG360" s="0"/>
      <c r="IH360" s="0"/>
      <c r="II360" s="0"/>
      <c r="IJ360" s="0"/>
      <c r="IK360" s="0"/>
      <c r="IL360" s="0"/>
      <c r="IM360" s="0"/>
      <c r="IN360" s="0"/>
      <c r="IO360" s="0"/>
      <c r="IP360" s="0"/>
      <c r="IQ360" s="0"/>
      <c r="IR360" s="0"/>
      <c r="IS360" s="0"/>
      <c r="IT360" s="0"/>
      <c r="IU360" s="0"/>
      <c r="IV360" s="0"/>
    </row>
    <row r="361" customFormat="false" ht="26.25" hidden="false" customHeight="true" outlineLevel="0" collapsed="false">
      <c r="A361" s="845" t="s">
        <v>1227</v>
      </c>
      <c r="B361" s="846"/>
      <c r="C361" s="846"/>
      <c r="D361" s="846"/>
      <c r="E361" s="822" t="n">
        <f aca="false">B361-C361+D361</f>
        <v>0</v>
      </c>
      <c r="F361" s="493" t="n">
        <v>10</v>
      </c>
      <c r="G361" s="846"/>
      <c r="H361" s="822" t="n">
        <f aca="false">E361*F361</f>
        <v>0</v>
      </c>
      <c r="I361" s="822" t="n">
        <f aca="false">H361*G361</f>
        <v>0</v>
      </c>
      <c r="J361" s="847" t="n">
        <f aca="false">D361*F361*G361</f>
        <v>0</v>
      </c>
      <c r="L361" s="0"/>
      <c r="M361" s="0"/>
      <c r="N361" s="0"/>
      <c r="O361" s="0"/>
      <c r="P361" s="0"/>
      <c r="Q361" s="0"/>
      <c r="R361" s="0"/>
      <c r="S361" s="0"/>
      <c r="T361" s="0"/>
      <c r="U361" s="0"/>
      <c r="V361" s="0"/>
      <c r="W361" s="0"/>
      <c r="X361" s="0"/>
      <c r="Y361" s="0"/>
      <c r="Z361" s="0"/>
      <c r="AA361" s="0"/>
      <c r="AB361" s="0"/>
      <c r="AC361" s="0"/>
      <c r="AD361" s="0"/>
      <c r="AE361" s="0"/>
      <c r="AF361" s="0"/>
      <c r="AG361" s="0"/>
      <c r="AH361" s="0"/>
      <c r="AI361" s="0"/>
      <c r="AJ361" s="0"/>
      <c r="AK361" s="0"/>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0"/>
      <c r="BJ361" s="0"/>
      <c r="BK361" s="0"/>
      <c r="BL361" s="0"/>
      <c r="BM361" s="0"/>
      <c r="BN361" s="0"/>
      <c r="BO361" s="0"/>
      <c r="BP361" s="0"/>
      <c r="BQ361" s="0"/>
      <c r="BR361" s="0"/>
      <c r="BS361" s="0"/>
      <c r="BT361" s="0"/>
      <c r="BU361" s="0"/>
      <c r="BV361" s="0"/>
      <c r="BW361" s="0"/>
      <c r="BX361" s="0"/>
      <c r="BY361" s="0"/>
      <c r="BZ361" s="0"/>
      <c r="CA361" s="0"/>
      <c r="CB361" s="0"/>
      <c r="CC361" s="0"/>
      <c r="CD361" s="0"/>
      <c r="CE361" s="0"/>
      <c r="CF361" s="0"/>
      <c r="CG361" s="0"/>
      <c r="CH361" s="0"/>
      <c r="CI361" s="0"/>
      <c r="CJ361" s="0"/>
      <c r="CK361" s="0"/>
      <c r="CL361" s="0"/>
      <c r="CM361" s="0"/>
      <c r="CN361" s="0"/>
      <c r="CO361" s="0"/>
      <c r="CP361" s="0"/>
      <c r="CQ361" s="0"/>
      <c r="CR361" s="0"/>
      <c r="CS361" s="0"/>
      <c r="CT361" s="0"/>
      <c r="CU361" s="0"/>
      <c r="CV361" s="0"/>
      <c r="CW361" s="0"/>
      <c r="CX361" s="0"/>
      <c r="CY361" s="0"/>
      <c r="CZ361" s="0"/>
      <c r="DA361" s="0"/>
      <c r="DB361" s="0"/>
      <c r="DC361" s="0"/>
      <c r="DD361" s="0"/>
      <c r="DE361" s="0"/>
      <c r="DF361" s="0"/>
      <c r="DG361" s="0"/>
      <c r="DH361" s="0"/>
      <c r="DI361" s="0"/>
      <c r="DJ361" s="0"/>
      <c r="DK361" s="0"/>
      <c r="DL361" s="0"/>
      <c r="DM361" s="0"/>
      <c r="DN361" s="0"/>
      <c r="DO361" s="0"/>
      <c r="DP361" s="0"/>
      <c r="DQ361" s="0"/>
      <c r="DR361" s="0"/>
      <c r="DS361" s="0"/>
      <c r="DT361" s="0"/>
      <c r="DU361" s="0"/>
      <c r="DV361" s="0"/>
      <c r="DW361" s="0"/>
      <c r="DX361" s="0"/>
      <c r="DY361" s="0"/>
      <c r="DZ361" s="0"/>
      <c r="EA361" s="0"/>
      <c r="EB361" s="0"/>
      <c r="EC361" s="0"/>
      <c r="ED361" s="0"/>
      <c r="EE361" s="0"/>
      <c r="EF361" s="0"/>
      <c r="EG361" s="0"/>
      <c r="EH361" s="0"/>
      <c r="EI361" s="0"/>
      <c r="EJ361" s="0"/>
      <c r="EK361" s="0"/>
      <c r="EL361" s="0"/>
      <c r="EM361" s="0"/>
      <c r="EN361" s="0"/>
      <c r="EO361" s="0"/>
      <c r="EP361" s="0"/>
      <c r="EQ361" s="0"/>
      <c r="ER361" s="0"/>
      <c r="ES361" s="0"/>
      <c r="ET361" s="0"/>
      <c r="EU361" s="0"/>
      <c r="EV361" s="0"/>
      <c r="EW361" s="0"/>
      <c r="EX361" s="0"/>
      <c r="EY361" s="0"/>
      <c r="EZ361" s="0"/>
      <c r="FA361" s="0"/>
      <c r="FB361" s="0"/>
      <c r="FC361" s="0"/>
      <c r="FD361" s="0"/>
      <c r="FE361" s="0"/>
      <c r="FF361" s="0"/>
      <c r="FG361" s="0"/>
      <c r="FH361" s="0"/>
      <c r="FI361" s="0"/>
      <c r="FJ361" s="0"/>
      <c r="FK361" s="0"/>
      <c r="FL361" s="0"/>
      <c r="FM361" s="0"/>
      <c r="FN361" s="0"/>
      <c r="FO361" s="0"/>
      <c r="FP361" s="0"/>
      <c r="FQ361" s="0"/>
      <c r="FR361" s="0"/>
      <c r="FS361" s="0"/>
      <c r="FT361" s="0"/>
      <c r="FU361" s="0"/>
      <c r="FV361" s="0"/>
      <c r="FW361" s="0"/>
      <c r="FX361" s="0"/>
      <c r="FY361" s="0"/>
      <c r="FZ361" s="0"/>
      <c r="GA361" s="0"/>
      <c r="GB361" s="0"/>
      <c r="GC361" s="0"/>
      <c r="GD361" s="0"/>
      <c r="GE361" s="0"/>
      <c r="GF361" s="0"/>
      <c r="GG361" s="0"/>
      <c r="GH361" s="0"/>
      <c r="GI361" s="0"/>
      <c r="GJ361" s="0"/>
      <c r="GK361" s="0"/>
      <c r="GL361" s="0"/>
      <c r="GM361" s="0"/>
      <c r="GN361" s="0"/>
      <c r="GO361" s="0"/>
      <c r="GP361" s="0"/>
      <c r="GQ361" s="0"/>
      <c r="GR361" s="0"/>
      <c r="GS361" s="0"/>
      <c r="GT361" s="0"/>
      <c r="GU361" s="0"/>
      <c r="GV361" s="0"/>
      <c r="GW361" s="0"/>
      <c r="GX361" s="0"/>
      <c r="GY361" s="0"/>
      <c r="GZ361" s="0"/>
      <c r="HA361" s="0"/>
      <c r="HB361" s="0"/>
      <c r="HC361" s="0"/>
      <c r="HD361" s="0"/>
      <c r="HE361" s="0"/>
      <c r="HF361" s="0"/>
      <c r="HG361" s="0"/>
      <c r="HH361" s="0"/>
      <c r="HI361" s="0"/>
      <c r="HJ361" s="0"/>
      <c r="HK361" s="0"/>
      <c r="HL361" s="0"/>
      <c r="HM361" s="0"/>
      <c r="HN361" s="0"/>
      <c r="HO361" s="0"/>
      <c r="HP361" s="0"/>
      <c r="HQ361" s="0"/>
      <c r="HR361" s="0"/>
      <c r="HS361" s="0"/>
      <c r="HT361" s="0"/>
      <c r="HU361" s="0"/>
      <c r="HV361" s="0"/>
      <c r="HW361" s="0"/>
      <c r="HX361" s="0"/>
      <c r="HY361" s="0"/>
      <c r="HZ361" s="0"/>
      <c r="IA361" s="0"/>
      <c r="IB361" s="0"/>
      <c r="IC361" s="0"/>
      <c r="ID361" s="0"/>
      <c r="IE361" s="0"/>
      <c r="IF361" s="0"/>
      <c r="IG361" s="0"/>
      <c r="IH361" s="0"/>
      <c r="II361" s="0"/>
      <c r="IJ361" s="0"/>
      <c r="IK361" s="0"/>
      <c r="IL361" s="0"/>
      <c r="IM361" s="0"/>
      <c r="IN361" s="0"/>
      <c r="IO361" s="0"/>
      <c r="IP361" s="0"/>
      <c r="IQ361" s="0"/>
      <c r="IR361" s="0"/>
      <c r="IS361" s="0"/>
      <c r="IT361" s="0"/>
      <c r="IU361" s="0"/>
      <c r="IV361" s="0"/>
    </row>
    <row r="362" customFormat="false" ht="20.1" hidden="false" customHeight="true" outlineLevel="0" collapsed="false">
      <c r="A362" s="845" t="s">
        <v>443</v>
      </c>
      <c r="B362" s="846"/>
      <c r="C362" s="846"/>
      <c r="D362" s="846"/>
      <c r="E362" s="822" t="n">
        <f aca="false">B362-C362+D362</f>
        <v>0</v>
      </c>
      <c r="F362" s="493" t="n">
        <v>6.5</v>
      </c>
      <c r="G362" s="846"/>
      <c r="H362" s="822" t="n">
        <f aca="false">E362*F362</f>
        <v>0</v>
      </c>
      <c r="I362" s="822" t="n">
        <f aca="false">H362*G362</f>
        <v>0</v>
      </c>
      <c r="J362" s="847" t="n">
        <f aca="false">D362*F362*G362</f>
        <v>0</v>
      </c>
      <c r="L362" s="0"/>
      <c r="M362" s="0"/>
      <c r="N362" s="0"/>
      <c r="O362" s="0"/>
      <c r="P362" s="0"/>
      <c r="Q362" s="0"/>
      <c r="R362" s="0"/>
      <c r="S362" s="0"/>
      <c r="T362" s="0"/>
      <c r="U362" s="0"/>
      <c r="V362" s="0"/>
      <c r="W362" s="0"/>
      <c r="X362" s="0"/>
      <c r="Y362" s="0"/>
      <c r="Z362" s="0"/>
      <c r="AA362" s="0"/>
      <c r="AB362" s="0"/>
      <c r="AC362" s="0"/>
      <c r="AD362" s="0"/>
      <c r="AE362" s="0"/>
      <c r="AF362" s="0"/>
      <c r="AG362" s="0"/>
      <c r="AH362" s="0"/>
      <c r="AI362" s="0"/>
      <c r="AJ362" s="0"/>
      <c r="AK362" s="0"/>
      <c r="AL362" s="0"/>
      <c r="AM362" s="0"/>
      <c r="AN362" s="0"/>
      <c r="AO362" s="0"/>
      <c r="AP362" s="0"/>
      <c r="AQ362" s="0"/>
      <c r="AR362" s="0"/>
      <c r="AS362" s="0"/>
      <c r="AT362" s="0"/>
      <c r="AU362" s="0"/>
      <c r="AV362" s="0"/>
      <c r="AW362" s="0"/>
      <c r="AX362" s="0"/>
      <c r="AY362" s="0"/>
      <c r="AZ362" s="0"/>
      <c r="BA362" s="0"/>
      <c r="BB362" s="0"/>
      <c r="BC362" s="0"/>
      <c r="BD362" s="0"/>
      <c r="BE362" s="0"/>
      <c r="BF362" s="0"/>
      <c r="BG362" s="0"/>
      <c r="BH362" s="0"/>
      <c r="BI362" s="0"/>
      <c r="BJ362" s="0"/>
      <c r="BK362" s="0"/>
      <c r="BL362" s="0"/>
      <c r="BM362" s="0"/>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c r="DO362" s="0"/>
      <c r="DP362" s="0"/>
      <c r="DQ362" s="0"/>
      <c r="DR362" s="0"/>
      <c r="DS362" s="0"/>
      <c r="DT362" s="0"/>
      <c r="DU362" s="0"/>
      <c r="DV362" s="0"/>
      <c r="DW362" s="0"/>
      <c r="DX362" s="0"/>
      <c r="DY362" s="0"/>
      <c r="DZ362" s="0"/>
      <c r="EA362" s="0"/>
      <c r="EB362" s="0"/>
      <c r="EC362" s="0"/>
      <c r="ED362" s="0"/>
      <c r="EE362" s="0"/>
      <c r="EF362" s="0"/>
      <c r="EG362" s="0"/>
      <c r="EH362" s="0"/>
      <c r="EI362" s="0"/>
      <c r="EJ362" s="0"/>
      <c r="EK362" s="0"/>
      <c r="EL362" s="0"/>
      <c r="EM362" s="0"/>
      <c r="EN362" s="0"/>
      <c r="EO362" s="0"/>
      <c r="EP362" s="0"/>
      <c r="EQ362" s="0"/>
      <c r="ER362" s="0"/>
      <c r="ES362" s="0"/>
      <c r="ET362" s="0"/>
      <c r="EU362" s="0"/>
      <c r="EV362" s="0"/>
      <c r="EW362" s="0"/>
      <c r="EX362" s="0"/>
      <c r="EY362" s="0"/>
      <c r="EZ362" s="0"/>
      <c r="FA362" s="0"/>
      <c r="FB362" s="0"/>
      <c r="FC362" s="0"/>
      <c r="FD362" s="0"/>
      <c r="FE362" s="0"/>
      <c r="FF362" s="0"/>
      <c r="FG362" s="0"/>
      <c r="FH362" s="0"/>
      <c r="FI362" s="0"/>
      <c r="FJ362" s="0"/>
      <c r="FK362" s="0"/>
      <c r="FL362" s="0"/>
      <c r="FM362" s="0"/>
      <c r="FN362" s="0"/>
      <c r="FO362" s="0"/>
      <c r="FP362" s="0"/>
      <c r="FQ362" s="0"/>
      <c r="FR362" s="0"/>
      <c r="FS362" s="0"/>
      <c r="FT362" s="0"/>
      <c r="FU362" s="0"/>
      <c r="FV362" s="0"/>
      <c r="FW362" s="0"/>
      <c r="FX362" s="0"/>
      <c r="FY362" s="0"/>
      <c r="FZ362" s="0"/>
      <c r="GA362" s="0"/>
      <c r="GB362" s="0"/>
      <c r="GC362" s="0"/>
      <c r="GD362" s="0"/>
      <c r="GE362" s="0"/>
      <c r="GF362" s="0"/>
      <c r="GG362" s="0"/>
      <c r="GH362" s="0"/>
      <c r="GI362" s="0"/>
      <c r="GJ362" s="0"/>
      <c r="GK362" s="0"/>
      <c r="GL362" s="0"/>
      <c r="GM362" s="0"/>
      <c r="GN362" s="0"/>
      <c r="GO362" s="0"/>
      <c r="GP362" s="0"/>
      <c r="GQ362" s="0"/>
      <c r="GR362" s="0"/>
      <c r="GS362" s="0"/>
      <c r="GT362" s="0"/>
      <c r="GU362" s="0"/>
      <c r="GV362" s="0"/>
      <c r="GW362" s="0"/>
      <c r="GX362" s="0"/>
      <c r="GY362" s="0"/>
      <c r="GZ362" s="0"/>
      <c r="HA362" s="0"/>
      <c r="HB362" s="0"/>
      <c r="HC362" s="0"/>
      <c r="HD362" s="0"/>
      <c r="HE362" s="0"/>
      <c r="HF362" s="0"/>
      <c r="HG362" s="0"/>
      <c r="HH362" s="0"/>
      <c r="HI362" s="0"/>
      <c r="HJ362" s="0"/>
      <c r="HK362" s="0"/>
      <c r="HL362" s="0"/>
      <c r="HM362" s="0"/>
      <c r="HN362" s="0"/>
      <c r="HO362" s="0"/>
      <c r="HP362" s="0"/>
      <c r="HQ362" s="0"/>
      <c r="HR362" s="0"/>
      <c r="HS362" s="0"/>
      <c r="HT362" s="0"/>
      <c r="HU362" s="0"/>
      <c r="HV362" s="0"/>
      <c r="HW362" s="0"/>
      <c r="HX362" s="0"/>
      <c r="HY362" s="0"/>
      <c r="HZ362" s="0"/>
      <c r="IA362" s="0"/>
      <c r="IB362" s="0"/>
      <c r="IC362" s="0"/>
      <c r="ID362" s="0"/>
      <c r="IE362" s="0"/>
      <c r="IF362" s="0"/>
      <c r="IG362" s="0"/>
      <c r="IH362" s="0"/>
      <c r="II362" s="0"/>
      <c r="IJ362" s="0"/>
      <c r="IK362" s="0"/>
      <c r="IL362" s="0"/>
      <c r="IM362" s="0"/>
      <c r="IN362" s="0"/>
      <c r="IO362" s="0"/>
      <c r="IP362" s="0"/>
      <c r="IQ362" s="0"/>
      <c r="IR362" s="0"/>
      <c r="IS362" s="0"/>
      <c r="IT362" s="0"/>
      <c r="IU362" s="0"/>
      <c r="IV362" s="0"/>
    </row>
    <row r="363" customFormat="false" ht="29.25" hidden="false" customHeight="true" outlineLevel="0" collapsed="false">
      <c r="A363" s="845" t="s">
        <v>444</v>
      </c>
      <c r="B363" s="846"/>
      <c r="C363" s="846"/>
      <c r="D363" s="846"/>
      <c r="E363" s="822" t="n">
        <f aca="false">B363-C363+D363</f>
        <v>0</v>
      </c>
      <c r="F363" s="493" t="n">
        <v>7.6</v>
      </c>
      <c r="G363" s="846"/>
      <c r="H363" s="822" t="n">
        <f aca="false">E363*F363</f>
        <v>0</v>
      </c>
      <c r="I363" s="822" t="n">
        <f aca="false">H363*G363</f>
        <v>0</v>
      </c>
      <c r="J363" s="847" t="n">
        <f aca="false">D363*F363*G363</f>
        <v>0</v>
      </c>
      <c r="L363" s="0"/>
      <c r="M363" s="0"/>
      <c r="N363" s="55"/>
      <c r="O363" s="55"/>
      <c r="P363" s="0"/>
      <c r="Q363" s="0"/>
      <c r="R363" s="0"/>
      <c r="S363" s="0"/>
      <c r="T363" s="0"/>
      <c r="U363" s="0"/>
      <c r="V363" s="0"/>
      <c r="W363" s="0"/>
      <c r="X363" s="0"/>
      <c r="Y363" s="0"/>
      <c r="Z363" s="0"/>
      <c r="AA363" s="0"/>
      <c r="AB363" s="0"/>
      <c r="AC363" s="0"/>
      <c r="AD363" s="0"/>
      <c r="AE363" s="0"/>
      <c r="AF363" s="0"/>
      <c r="AG363" s="0"/>
      <c r="AH363" s="0"/>
      <c r="AI363" s="0"/>
      <c r="AJ363" s="0"/>
      <c r="AK363" s="0"/>
      <c r="AL363" s="0"/>
      <c r="AM363" s="0"/>
      <c r="AN363" s="0"/>
      <c r="AO363" s="0"/>
      <c r="AP363" s="0"/>
      <c r="AQ363" s="0"/>
      <c r="AR363" s="0"/>
      <c r="AS363" s="0"/>
      <c r="AT363" s="0"/>
      <c r="AU363" s="0"/>
      <c r="AV363" s="0"/>
      <c r="AW363" s="0"/>
      <c r="AX363" s="0"/>
      <c r="AY363" s="0"/>
      <c r="AZ363" s="0"/>
      <c r="BA363" s="0"/>
      <c r="BB363" s="0"/>
      <c r="BC363" s="0"/>
      <c r="BD363" s="0"/>
      <c r="BE363" s="0"/>
      <c r="BF363" s="0"/>
      <c r="BG363" s="0"/>
      <c r="BH363" s="0"/>
      <c r="BI363" s="0"/>
      <c r="BJ363" s="0"/>
      <c r="BK363" s="0"/>
      <c r="BL363" s="0"/>
      <c r="BM363" s="0"/>
      <c r="BN363" s="0"/>
      <c r="BO363" s="0"/>
      <c r="BP363" s="0"/>
      <c r="BQ363" s="0"/>
      <c r="BR363" s="0"/>
      <c r="BS363" s="0"/>
      <c r="BT363" s="0"/>
      <c r="BU363" s="0"/>
      <c r="BV363" s="0"/>
      <c r="BW363" s="0"/>
      <c r="BX363" s="0"/>
      <c r="BY363" s="0"/>
      <c r="BZ363" s="0"/>
      <c r="CA363" s="0"/>
      <c r="CB363" s="0"/>
      <c r="CC363" s="0"/>
      <c r="CD363" s="0"/>
      <c r="CE363" s="0"/>
      <c r="CF363" s="0"/>
      <c r="CG363" s="0"/>
      <c r="CH363" s="0"/>
      <c r="CI363" s="0"/>
      <c r="CJ363" s="0"/>
      <c r="CK363" s="0"/>
      <c r="CL363" s="0"/>
      <c r="CM363" s="0"/>
      <c r="CN363" s="0"/>
      <c r="CO363" s="0"/>
      <c r="CP363" s="0"/>
      <c r="CQ363" s="0"/>
      <c r="CR363" s="0"/>
      <c r="CS363" s="0"/>
      <c r="CT363" s="0"/>
      <c r="CU363" s="0"/>
      <c r="CV363" s="0"/>
      <c r="CW363" s="0"/>
      <c r="CX363" s="0"/>
      <c r="CY363" s="0"/>
      <c r="CZ363" s="0"/>
      <c r="DA363" s="0"/>
      <c r="DB363" s="0"/>
      <c r="DC363" s="0"/>
      <c r="DD363" s="0"/>
      <c r="DE363" s="0"/>
      <c r="DF363" s="0"/>
      <c r="DG363" s="0"/>
      <c r="DH363" s="0"/>
      <c r="DI363" s="0"/>
      <c r="DJ363" s="0"/>
      <c r="DK363" s="0"/>
      <c r="DL363" s="0"/>
      <c r="DM363" s="0"/>
      <c r="DN363" s="0"/>
      <c r="DO363" s="0"/>
      <c r="DP363" s="0"/>
      <c r="DQ363" s="0"/>
      <c r="DR363" s="0"/>
      <c r="DS363" s="0"/>
      <c r="DT363" s="0"/>
      <c r="DU363" s="0"/>
      <c r="DV363" s="0"/>
      <c r="DW363" s="0"/>
      <c r="DX363" s="0"/>
      <c r="DY363" s="0"/>
      <c r="DZ363" s="0"/>
      <c r="EA363" s="0"/>
      <c r="EB363" s="0"/>
      <c r="EC363" s="0"/>
      <c r="ED363" s="0"/>
      <c r="EE363" s="0"/>
      <c r="EF363" s="0"/>
      <c r="EG363" s="0"/>
      <c r="EH363" s="0"/>
      <c r="EI363" s="0"/>
      <c r="EJ363" s="0"/>
      <c r="EK363" s="0"/>
      <c r="EL363" s="0"/>
      <c r="EM363" s="0"/>
      <c r="EN363" s="0"/>
      <c r="EO363" s="0"/>
      <c r="EP363" s="0"/>
      <c r="EQ363" s="0"/>
      <c r="ER363" s="0"/>
      <c r="ES363" s="0"/>
      <c r="ET363" s="0"/>
      <c r="EU363" s="0"/>
      <c r="EV363" s="0"/>
      <c r="EW363" s="0"/>
      <c r="EX363" s="0"/>
      <c r="EY363" s="0"/>
      <c r="EZ363" s="0"/>
      <c r="FA363" s="0"/>
      <c r="FB363" s="0"/>
      <c r="FC363" s="0"/>
      <c r="FD363" s="0"/>
      <c r="FE363" s="0"/>
      <c r="FF363" s="0"/>
      <c r="FG363" s="0"/>
      <c r="FH363" s="0"/>
      <c r="FI363" s="0"/>
      <c r="FJ363" s="0"/>
      <c r="FK363" s="0"/>
      <c r="FL363" s="0"/>
      <c r="FM363" s="0"/>
      <c r="FN363" s="0"/>
      <c r="FO363" s="0"/>
      <c r="FP363" s="0"/>
      <c r="FQ363" s="0"/>
      <c r="FR363" s="0"/>
      <c r="FS363" s="0"/>
      <c r="FT363" s="0"/>
      <c r="FU363" s="0"/>
      <c r="FV363" s="0"/>
      <c r="FW363" s="0"/>
      <c r="FX363" s="0"/>
      <c r="FY363" s="0"/>
      <c r="FZ363" s="0"/>
      <c r="GA363" s="0"/>
      <c r="GB363" s="0"/>
      <c r="GC363" s="0"/>
      <c r="GD363" s="0"/>
      <c r="GE363" s="0"/>
      <c r="GF363" s="0"/>
      <c r="GG363" s="0"/>
      <c r="GH363" s="0"/>
      <c r="GI363" s="0"/>
      <c r="GJ363" s="0"/>
      <c r="GK363" s="0"/>
      <c r="GL363" s="0"/>
      <c r="GM363" s="0"/>
      <c r="GN363" s="0"/>
      <c r="GO363" s="0"/>
      <c r="GP363" s="0"/>
      <c r="GQ363" s="0"/>
      <c r="GR363" s="0"/>
      <c r="GS363" s="0"/>
      <c r="GT363" s="0"/>
      <c r="GU363" s="0"/>
      <c r="GV363" s="0"/>
      <c r="GW363" s="0"/>
      <c r="GX363" s="0"/>
      <c r="GY363" s="0"/>
      <c r="GZ363" s="0"/>
      <c r="HA363" s="0"/>
      <c r="HB363" s="0"/>
      <c r="HC363" s="0"/>
      <c r="HD363" s="0"/>
      <c r="HE363" s="0"/>
      <c r="HF363" s="0"/>
      <c r="HG363" s="0"/>
      <c r="HH363" s="0"/>
      <c r="HI363" s="0"/>
      <c r="HJ363" s="0"/>
      <c r="HK363" s="0"/>
      <c r="HL363" s="0"/>
      <c r="HM363" s="0"/>
      <c r="HN363" s="0"/>
      <c r="HO363" s="0"/>
      <c r="HP363" s="0"/>
      <c r="HQ363" s="0"/>
      <c r="HR363" s="0"/>
      <c r="HS363" s="0"/>
      <c r="HT363" s="0"/>
      <c r="HU363" s="0"/>
      <c r="HV363" s="0"/>
      <c r="HW363" s="0"/>
      <c r="HX363" s="0"/>
      <c r="HY363" s="0"/>
      <c r="HZ363" s="0"/>
      <c r="IA363" s="0"/>
      <c r="IB363" s="0"/>
      <c r="IC363" s="0"/>
      <c r="ID363" s="0"/>
      <c r="IE363" s="0"/>
      <c r="IF363" s="0"/>
      <c r="IG363" s="0"/>
      <c r="IH363" s="0"/>
      <c r="II363" s="0"/>
      <c r="IJ363" s="0"/>
      <c r="IK363" s="0"/>
      <c r="IL363" s="0"/>
      <c r="IM363" s="0"/>
      <c r="IN363" s="0"/>
      <c r="IO363" s="0"/>
      <c r="IP363" s="0"/>
      <c r="IQ363" s="0"/>
      <c r="IR363" s="0"/>
      <c r="IS363" s="0"/>
      <c r="IT363" s="0"/>
      <c r="IU363" s="0"/>
      <c r="IV363" s="0"/>
    </row>
    <row r="364" customFormat="false" ht="35.25" hidden="false" customHeight="true" outlineLevel="0" collapsed="false">
      <c r="A364" s="845" t="s">
        <v>445</v>
      </c>
      <c r="B364" s="846"/>
      <c r="C364" s="846"/>
      <c r="D364" s="846"/>
      <c r="E364" s="822" t="n">
        <f aca="false">B364-C364+D364</f>
        <v>0</v>
      </c>
      <c r="F364" s="493" t="n">
        <v>11</v>
      </c>
      <c r="G364" s="846"/>
      <c r="H364" s="822" t="n">
        <f aca="false">E364*F364</f>
        <v>0</v>
      </c>
      <c r="I364" s="822" t="n">
        <f aca="false">H364*G364</f>
        <v>0</v>
      </c>
      <c r="J364" s="847" t="n">
        <f aca="false">D364*F364*G364</f>
        <v>0</v>
      </c>
      <c r="L364" s="0"/>
      <c r="M364" s="0"/>
      <c r="N364" s="0"/>
      <c r="O364" s="0"/>
      <c r="P364" s="0"/>
      <c r="Q364" s="0"/>
      <c r="R364" s="0"/>
      <c r="S364" s="0"/>
      <c r="T364" s="0"/>
      <c r="U364" s="0"/>
      <c r="V364" s="0"/>
      <c r="W364" s="0"/>
      <c r="X364" s="0"/>
      <c r="Y364" s="0"/>
      <c r="Z364" s="0"/>
      <c r="AA364" s="0"/>
      <c r="AB364" s="0"/>
      <c r="AC364" s="0"/>
      <c r="AD364" s="0"/>
      <c r="AE364" s="0"/>
      <c r="AF364" s="0"/>
      <c r="AG364" s="0"/>
      <c r="AH364" s="0"/>
      <c r="AI364" s="0"/>
      <c r="AJ364" s="0"/>
      <c r="AK364" s="0"/>
      <c r="AL364" s="0"/>
      <c r="AM364" s="0"/>
      <c r="AN364" s="0"/>
      <c r="AO364" s="0"/>
      <c r="AP364" s="0"/>
      <c r="AQ364" s="0"/>
      <c r="AR364" s="0"/>
      <c r="AS364" s="0"/>
      <c r="AT364" s="0"/>
      <c r="AU364" s="0"/>
      <c r="AV364" s="0"/>
      <c r="AW364" s="0"/>
      <c r="AX364" s="0"/>
      <c r="AY364" s="0"/>
      <c r="AZ364" s="0"/>
      <c r="BA364" s="0"/>
      <c r="BB364" s="0"/>
      <c r="BC364" s="0"/>
      <c r="BD364" s="0"/>
      <c r="BE364" s="0"/>
      <c r="BF364" s="0"/>
      <c r="BG364" s="0"/>
      <c r="BH364" s="0"/>
      <c r="BI364" s="0"/>
      <c r="BJ364" s="0"/>
      <c r="BK364" s="0"/>
      <c r="BL364" s="0"/>
      <c r="BM364" s="0"/>
      <c r="BN364" s="0"/>
      <c r="BO364" s="0"/>
      <c r="BP364" s="0"/>
      <c r="BQ364" s="0"/>
      <c r="BR364" s="0"/>
      <c r="BS364" s="0"/>
      <c r="BT364" s="0"/>
      <c r="BU364" s="0"/>
      <c r="BV364" s="0"/>
      <c r="BW364" s="0"/>
      <c r="BX364" s="0"/>
      <c r="BY364" s="0"/>
      <c r="BZ364" s="0"/>
      <c r="CA364" s="0"/>
      <c r="CB364" s="0"/>
      <c r="CC364" s="0"/>
      <c r="CD364" s="0"/>
      <c r="CE364" s="0"/>
      <c r="CF364" s="0"/>
      <c r="CG364" s="0"/>
      <c r="CH364" s="0"/>
      <c r="CI364" s="0"/>
      <c r="CJ364" s="0"/>
      <c r="CK364" s="0"/>
      <c r="CL364" s="0"/>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c r="DO364" s="0"/>
      <c r="DP364" s="0"/>
      <c r="DQ364" s="0"/>
      <c r="DR364" s="0"/>
      <c r="DS364" s="0"/>
      <c r="DT364" s="0"/>
      <c r="DU364" s="0"/>
      <c r="DV364" s="0"/>
      <c r="DW364" s="0"/>
      <c r="DX364" s="0"/>
      <c r="DY364" s="0"/>
      <c r="DZ364" s="0"/>
      <c r="EA364" s="0"/>
      <c r="EB364" s="0"/>
      <c r="EC364" s="0"/>
      <c r="ED364" s="0"/>
      <c r="EE364" s="0"/>
      <c r="EF364" s="0"/>
      <c r="EG364" s="0"/>
      <c r="EH364" s="0"/>
      <c r="EI364" s="0"/>
      <c r="EJ364" s="0"/>
      <c r="EK364" s="0"/>
      <c r="EL364" s="0"/>
      <c r="EM364" s="0"/>
      <c r="EN364" s="0"/>
      <c r="EO364" s="0"/>
      <c r="EP364" s="0"/>
      <c r="EQ364" s="0"/>
      <c r="ER364" s="0"/>
      <c r="ES364" s="0"/>
      <c r="ET364" s="0"/>
      <c r="EU364" s="0"/>
      <c r="EV364" s="0"/>
      <c r="EW364" s="0"/>
      <c r="EX364" s="0"/>
      <c r="EY364" s="0"/>
      <c r="EZ364" s="0"/>
      <c r="FA364" s="0"/>
      <c r="FB364" s="0"/>
      <c r="FC364" s="0"/>
      <c r="FD364" s="0"/>
      <c r="FE364" s="0"/>
      <c r="FF364" s="0"/>
      <c r="FG364" s="0"/>
      <c r="FH364" s="0"/>
      <c r="FI364" s="0"/>
      <c r="FJ364" s="0"/>
      <c r="FK364" s="0"/>
      <c r="FL364" s="0"/>
      <c r="FM364" s="0"/>
      <c r="FN364" s="0"/>
      <c r="FO364" s="0"/>
      <c r="FP364" s="0"/>
      <c r="FQ364" s="0"/>
      <c r="FR364" s="0"/>
      <c r="FS364" s="0"/>
      <c r="FT364" s="0"/>
      <c r="FU364" s="0"/>
      <c r="FV364" s="0"/>
      <c r="FW364" s="0"/>
      <c r="FX364" s="0"/>
      <c r="FY364" s="0"/>
      <c r="FZ364" s="0"/>
      <c r="GA364" s="0"/>
      <c r="GB364" s="0"/>
      <c r="GC364" s="0"/>
      <c r="GD364" s="0"/>
      <c r="GE364" s="0"/>
      <c r="GF364" s="0"/>
      <c r="GG364" s="0"/>
      <c r="GH364" s="0"/>
      <c r="GI364" s="0"/>
      <c r="GJ364" s="0"/>
      <c r="GK364" s="0"/>
      <c r="GL364" s="0"/>
      <c r="GM364" s="0"/>
      <c r="GN364" s="0"/>
      <c r="GO364" s="0"/>
      <c r="GP364" s="0"/>
      <c r="GQ364" s="0"/>
      <c r="GR364" s="0"/>
      <c r="GS364" s="0"/>
      <c r="GT364" s="0"/>
      <c r="GU364" s="0"/>
      <c r="GV364" s="0"/>
      <c r="GW364" s="0"/>
      <c r="GX364" s="0"/>
      <c r="GY364" s="0"/>
      <c r="GZ364" s="0"/>
      <c r="HA364" s="0"/>
      <c r="HB364" s="0"/>
      <c r="HC364" s="0"/>
      <c r="HD364" s="0"/>
      <c r="HE364" s="0"/>
      <c r="HF364" s="0"/>
      <c r="HG364" s="0"/>
      <c r="HH364" s="0"/>
      <c r="HI364" s="0"/>
      <c r="HJ364" s="0"/>
      <c r="HK364" s="0"/>
      <c r="HL364" s="0"/>
      <c r="HM364" s="0"/>
      <c r="HN364" s="0"/>
      <c r="HO364" s="0"/>
      <c r="HP364" s="0"/>
      <c r="HQ364" s="0"/>
      <c r="HR364" s="0"/>
      <c r="HS364" s="0"/>
      <c r="HT364" s="0"/>
      <c r="HU364" s="0"/>
      <c r="HV364" s="0"/>
      <c r="HW364" s="0"/>
      <c r="HX364" s="0"/>
      <c r="HY364" s="0"/>
      <c r="HZ364" s="0"/>
      <c r="IA364" s="0"/>
      <c r="IB364" s="0"/>
      <c r="IC364" s="0"/>
      <c r="ID364" s="0"/>
      <c r="IE364" s="0"/>
      <c r="IF364" s="0"/>
      <c r="IG364" s="0"/>
      <c r="IH364" s="0"/>
      <c r="II364" s="0"/>
      <c r="IJ364" s="0"/>
      <c r="IK364" s="0"/>
      <c r="IL364" s="0"/>
      <c r="IM364" s="0"/>
      <c r="IN364" s="0"/>
      <c r="IO364" s="0"/>
      <c r="IP364" s="0"/>
      <c r="IQ364" s="0"/>
      <c r="IR364" s="0"/>
      <c r="IS364" s="0"/>
      <c r="IT364" s="0"/>
      <c r="IU364" s="0"/>
      <c r="IV364" s="0"/>
    </row>
    <row r="365" customFormat="false" ht="20.1" hidden="false" customHeight="true" outlineLevel="0" collapsed="false">
      <c r="A365" s="845" t="s">
        <v>446</v>
      </c>
      <c r="B365" s="846"/>
      <c r="C365" s="846"/>
      <c r="D365" s="846"/>
      <c r="E365" s="822" t="n">
        <f aca="false">B365-C365+D365</f>
        <v>0</v>
      </c>
      <c r="F365" s="493" t="n">
        <v>20</v>
      </c>
      <c r="G365" s="846"/>
      <c r="H365" s="822" t="n">
        <f aca="false">E365*F365</f>
        <v>0</v>
      </c>
      <c r="I365" s="822" t="n">
        <f aca="false">H365*G365</f>
        <v>0</v>
      </c>
      <c r="J365" s="847" t="n">
        <f aca="false">D365*F365*G365</f>
        <v>0</v>
      </c>
      <c r="L365" s="0"/>
      <c r="M365" s="0"/>
      <c r="N365" s="0"/>
      <c r="O365" s="0"/>
      <c r="P365" s="0"/>
      <c r="Q365" s="0"/>
      <c r="R365" s="0"/>
      <c r="S365" s="0"/>
      <c r="T365" s="0"/>
      <c r="U365" s="0"/>
      <c r="V365" s="0"/>
      <c r="W365" s="0"/>
      <c r="X365" s="0"/>
      <c r="Y365" s="0"/>
      <c r="Z365" s="0"/>
      <c r="AA365" s="0"/>
      <c r="AB365" s="0"/>
      <c r="AC365" s="0"/>
      <c r="AD365" s="0"/>
      <c r="AE365" s="0"/>
      <c r="AF365" s="0"/>
      <c r="AG365" s="0"/>
      <c r="AH365" s="0"/>
      <c r="AI365" s="0"/>
      <c r="AJ365" s="0"/>
      <c r="AK365" s="0"/>
      <c r="AL365" s="0"/>
      <c r="AM365" s="0"/>
      <c r="AN365" s="0"/>
      <c r="AO365" s="0"/>
      <c r="AP365" s="0"/>
      <c r="AQ365" s="0"/>
      <c r="AR365" s="0"/>
      <c r="AS365" s="0"/>
      <c r="AT365" s="0"/>
      <c r="AU365" s="0"/>
      <c r="AV365" s="0"/>
      <c r="AW365" s="0"/>
      <c r="AX365" s="0"/>
      <c r="AY365" s="0"/>
      <c r="AZ365" s="0"/>
      <c r="BA365" s="0"/>
      <c r="BB365" s="0"/>
      <c r="BC365" s="0"/>
      <c r="BD365" s="0"/>
      <c r="BE365" s="0"/>
      <c r="BF365" s="0"/>
      <c r="BG365" s="0"/>
      <c r="BH365" s="0"/>
      <c r="BI365" s="0"/>
      <c r="BJ365" s="0"/>
      <c r="BK365" s="0"/>
      <c r="BL365" s="0"/>
      <c r="BM365" s="0"/>
      <c r="BN365" s="0"/>
      <c r="BO365" s="0"/>
      <c r="BP365" s="0"/>
      <c r="BQ365" s="0"/>
      <c r="BR365" s="0"/>
      <c r="BS365" s="0"/>
      <c r="BT365" s="0"/>
      <c r="BU365" s="0"/>
      <c r="BV365" s="0"/>
      <c r="BW365" s="0"/>
      <c r="BX365" s="0"/>
      <c r="BY365" s="0"/>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c r="DO365" s="0"/>
      <c r="DP365" s="0"/>
      <c r="DQ365" s="0"/>
      <c r="DR365" s="0"/>
      <c r="DS365" s="0"/>
      <c r="DT365" s="0"/>
      <c r="DU365" s="0"/>
      <c r="DV365" s="0"/>
      <c r="DW365" s="0"/>
      <c r="DX365" s="0"/>
      <c r="DY365" s="0"/>
      <c r="DZ365" s="0"/>
      <c r="EA365" s="0"/>
      <c r="EB365" s="0"/>
      <c r="EC365" s="0"/>
      <c r="ED365" s="0"/>
      <c r="EE365" s="0"/>
      <c r="EF365" s="0"/>
      <c r="EG365" s="0"/>
      <c r="EH365" s="0"/>
      <c r="EI365" s="0"/>
      <c r="EJ365" s="0"/>
      <c r="EK365" s="0"/>
      <c r="EL365" s="0"/>
      <c r="EM365" s="0"/>
      <c r="EN365" s="0"/>
      <c r="EO365" s="0"/>
      <c r="EP365" s="0"/>
      <c r="EQ365" s="0"/>
      <c r="ER365" s="0"/>
      <c r="ES365" s="0"/>
      <c r="ET365" s="0"/>
      <c r="EU365" s="0"/>
      <c r="EV365" s="0"/>
      <c r="EW365" s="0"/>
      <c r="EX365" s="0"/>
      <c r="EY365" s="0"/>
      <c r="EZ365" s="0"/>
      <c r="FA365" s="0"/>
      <c r="FB365" s="0"/>
      <c r="FC365" s="0"/>
      <c r="FD365" s="0"/>
      <c r="FE365" s="0"/>
      <c r="FF365" s="0"/>
      <c r="FG365" s="0"/>
      <c r="FH365" s="0"/>
      <c r="FI365" s="0"/>
      <c r="FJ365" s="0"/>
      <c r="FK365" s="0"/>
      <c r="FL365" s="0"/>
      <c r="FM365" s="0"/>
      <c r="FN365" s="0"/>
      <c r="FO365" s="0"/>
      <c r="FP365" s="0"/>
      <c r="FQ365" s="0"/>
      <c r="FR365" s="0"/>
      <c r="FS365" s="0"/>
      <c r="FT365" s="0"/>
      <c r="FU365" s="0"/>
      <c r="FV365" s="0"/>
      <c r="FW365" s="0"/>
      <c r="FX365" s="0"/>
      <c r="FY365" s="0"/>
      <c r="FZ365" s="0"/>
      <c r="GA365" s="0"/>
      <c r="GB365" s="0"/>
      <c r="GC365" s="0"/>
      <c r="GD365" s="0"/>
      <c r="GE365" s="0"/>
      <c r="GF365" s="0"/>
      <c r="GG365" s="0"/>
      <c r="GH365" s="0"/>
      <c r="GI365" s="0"/>
      <c r="GJ365" s="0"/>
      <c r="GK365" s="0"/>
      <c r="GL365" s="0"/>
      <c r="GM365" s="0"/>
      <c r="GN365" s="0"/>
      <c r="GO365" s="0"/>
      <c r="GP365" s="0"/>
      <c r="GQ365" s="0"/>
      <c r="GR365" s="0"/>
      <c r="GS365" s="0"/>
      <c r="GT365" s="0"/>
      <c r="GU365" s="0"/>
      <c r="GV365" s="0"/>
      <c r="GW365" s="0"/>
      <c r="GX365" s="0"/>
      <c r="GY365" s="0"/>
      <c r="GZ365" s="0"/>
      <c r="HA365" s="0"/>
      <c r="HB365" s="0"/>
      <c r="HC365" s="0"/>
      <c r="HD365" s="0"/>
      <c r="HE365" s="0"/>
      <c r="HF365" s="0"/>
      <c r="HG365" s="0"/>
      <c r="HH365" s="0"/>
      <c r="HI365" s="0"/>
      <c r="HJ365" s="0"/>
      <c r="HK365" s="0"/>
      <c r="HL365" s="0"/>
      <c r="HM365" s="0"/>
      <c r="HN365" s="0"/>
      <c r="HO365" s="0"/>
      <c r="HP365" s="0"/>
      <c r="HQ365" s="0"/>
      <c r="HR365" s="0"/>
      <c r="HS365" s="0"/>
      <c r="HT365" s="0"/>
      <c r="HU365" s="0"/>
      <c r="HV365" s="0"/>
      <c r="HW365" s="0"/>
      <c r="HX365" s="0"/>
      <c r="HY365" s="0"/>
      <c r="HZ365" s="0"/>
      <c r="IA365" s="0"/>
      <c r="IB365" s="0"/>
      <c r="IC365" s="0"/>
      <c r="ID365" s="0"/>
      <c r="IE365" s="0"/>
      <c r="IF365" s="0"/>
      <c r="IG365" s="0"/>
      <c r="IH365" s="0"/>
      <c r="II365" s="0"/>
      <c r="IJ365" s="0"/>
      <c r="IK365" s="0"/>
      <c r="IL365" s="0"/>
      <c r="IM365" s="0"/>
      <c r="IN365" s="0"/>
      <c r="IO365" s="0"/>
      <c r="IP365" s="0"/>
      <c r="IQ365" s="0"/>
      <c r="IR365" s="0"/>
      <c r="IS365" s="0"/>
      <c r="IT365" s="0"/>
      <c r="IU365" s="0"/>
      <c r="IV365" s="0"/>
    </row>
    <row r="366" customFormat="false" ht="26.25" hidden="false" customHeight="true" outlineLevel="0" collapsed="false">
      <c r="A366" s="845" t="s">
        <v>1228</v>
      </c>
      <c r="B366" s="846"/>
      <c r="C366" s="846"/>
      <c r="D366" s="846"/>
      <c r="E366" s="822" t="n">
        <f aca="false">B366-C366+D366</f>
        <v>0</v>
      </c>
      <c r="F366" s="493" t="n">
        <v>15</v>
      </c>
      <c r="G366" s="846"/>
      <c r="H366" s="822" t="n">
        <f aca="false">E366*F366</f>
        <v>0</v>
      </c>
      <c r="I366" s="822" t="n">
        <f aca="false">H366*G366</f>
        <v>0</v>
      </c>
      <c r="J366" s="847" t="n">
        <f aca="false">D366*F366*G366</f>
        <v>0</v>
      </c>
      <c r="L366" s="0"/>
      <c r="M366" s="0"/>
      <c r="N366" s="0"/>
      <c r="O366" s="0"/>
      <c r="P366" s="0"/>
      <c r="Q366" s="0"/>
      <c r="R366" s="0"/>
      <c r="S366" s="0"/>
      <c r="T366" s="0"/>
      <c r="U366" s="0"/>
      <c r="V366" s="0"/>
      <c r="W366" s="0"/>
      <c r="X366" s="0"/>
      <c r="Y366" s="0"/>
      <c r="Z366" s="0"/>
      <c r="AA366" s="0"/>
      <c r="AB366" s="0"/>
      <c r="AC366" s="0"/>
      <c r="AD366" s="0"/>
      <c r="AE366" s="0"/>
      <c r="AF366" s="0"/>
      <c r="AG366" s="0"/>
      <c r="AH366" s="0"/>
      <c r="AI366" s="0"/>
      <c r="AJ366" s="0"/>
      <c r="AK366" s="0"/>
      <c r="AL366" s="0"/>
      <c r="AM366" s="0"/>
      <c r="AN366" s="0"/>
      <c r="AO366" s="0"/>
      <c r="AP366" s="0"/>
      <c r="AQ366" s="0"/>
      <c r="AR366" s="0"/>
      <c r="AS366" s="0"/>
      <c r="AT366" s="0"/>
      <c r="AU366" s="0"/>
      <c r="AV366" s="0"/>
      <c r="AW366" s="0"/>
      <c r="AX366" s="0"/>
      <c r="AY366" s="0"/>
      <c r="AZ366" s="0"/>
      <c r="BA366" s="0"/>
      <c r="BB366" s="0"/>
      <c r="BC366" s="0"/>
      <c r="BD366" s="0"/>
      <c r="BE366" s="0"/>
      <c r="BF366" s="0"/>
      <c r="BG366" s="0"/>
      <c r="BH366" s="0"/>
      <c r="BI366" s="0"/>
      <c r="BJ366" s="0"/>
      <c r="BK366" s="0"/>
      <c r="BL366" s="0"/>
      <c r="BM366" s="0"/>
      <c r="BN366" s="0"/>
      <c r="BO366" s="0"/>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c r="CP366" s="0"/>
      <c r="CQ366" s="0"/>
      <c r="CR366" s="0"/>
      <c r="CS366" s="0"/>
      <c r="CT366" s="0"/>
      <c r="CU366" s="0"/>
      <c r="CV366" s="0"/>
      <c r="CW366" s="0"/>
      <c r="CX366" s="0"/>
      <c r="CY366" s="0"/>
      <c r="CZ366" s="0"/>
      <c r="DA366" s="0"/>
      <c r="DB366" s="0"/>
      <c r="DC366" s="0"/>
      <c r="DD366" s="0"/>
      <c r="DE366" s="0"/>
      <c r="DF366" s="0"/>
      <c r="DG366" s="0"/>
      <c r="DH366" s="0"/>
      <c r="DI366" s="0"/>
      <c r="DJ366" s="0"/>
      <c r="DK366" s="0"/>
      <c r="DL366" s="0"/>
      <c r="DM366" s="0"/>
      <c r="DN366" s="0"/>
      <c r="DO366" s="0"/>
      <c r="DP366" s="0"/>
      <c r="DQ366" s="0"/>
      <c r="DR366" s="0"/>
      <c r="DS366" s="0"/>
      <c r="DT366" s="0"/>
      <c r="DU366" s="0"/>
      <c r="DV366" s="0"/>
      <c r="DW366" s="0"/>
      <c r="DX366" s="0"/>
      <c r="DY366" s="0"/>
      <c r="DZ366" s="0"/>
      <c r="EA366" s="0"/>
      <c r="EB366" s="0"/>
      <c r="EC366" s="0"/>
      <c r="ED366" s="0"/>
      <c r="EE366" s="0"/>
      <c r="EF366" s="0"/>
      <c r="EG366" s="0"/>
      <c r="EH366" s="0"/>
      <c r="EI366" s="0"/>
      <c r="EJ366" s="0"/>
      <c r="EK366" s="0"/>
      <c r="EL366" s="0"/>
      <c r="EM366" s="0"/>
      <c r="EN366" s="0"/>
      <c r="EO366" s="0"/>
      <c r="EP366" s="0"/>
      <c r="EQ366" s="0"/>
      <c r="ER366" s="0"/>
      <c r="ES366" s="0"/>
      <c r="ET366" s="0"/>
      <c r="EU366" s="0"/>
      <c r="EV366" s="0"/>
      <c r="EW366" s="0"/>
      <c r="EX366" s="0"/>
      <c r="EY366" s="0"/>
      <c r="EZ366" s="0"/>
      <c r="FA366" s="0"/>
      <c r="FB366" s="0"/>
      <c r="FC366" s="0"/>
      <c r="FD366" s="0"/>
      <c r="FE366" s="0"/>
      <c r="FF366" s="0"/>
      <c r="FG366" s="0"/>
      <c r="FH366" s="0"/>
      <c r="FI366" s="0"/>
      <c r="FJ366" s="0"/>
      <c r="FK366" s="0"/>
      <c r="FL366" s="0"/>
      <c r="FM366" s="0"/>
      <c r="FN366" s="0"/>
      <c r="FO366" s="0"/>
      <c r="FP366" s="0"/>
      <c r="FQ366" s="0"/>
      <c r="FR366" s="0"/>
      <c r="FS366" s="0"/>
      <c r="FT366" s="0"/>
      <c r="FU366" s="0"/>
      <c r="FV366" s="0"/>
      <c r="FW366" s="0"/>
      <c r="FX366" s="0"/>
      <c r="FY366" s="0"/>
      <c r="FZ366" s="0"/>
      <c r="GA366" s="0"/>
      <c r="GB366" s="0"/>
      <c r="GC366" s="0"/>
      <c r="GD366" s="0"/>
      <c r="GE366" s="0"/>
      <c r="GF366" s="0"/>
      <c r="GG366" s="0"/>
      <c r="GH366" s="0"/>
      <c r="GI366" s="0"/>
      <c r="GJ366" s="0"/>
      <c r="GK366" s="0"/>
      <c r="GL366" s="0"/>
      <c r="GM366" s="0"/>
      <c r="GN366" s="0"/>
      <c r="GO366" s="0"/>
      <c r="GP366" s="0"/>
      <c r="GQ366" s="0"/>
      <c r="GR366" s="0"/>
      <c r="GS366" s="0"/>
      <c r="GT366" s="0"/>
      <c r="GU366" s="0"/>
      <c r="GV366" s="0"/>
      <c r="GW366" s="0"/>
      <c r="GX366" s="0"/>
      <c r="GY366" s="0"/>
      <c r="GZ366" s="0"/>
      <c r="HA366" s="0"/>
      <c r="HB366" s="0"/>
      <c r="HC366" s="0"/>
      <c r="HD366" s="0"/>
      <c r="HE366" s="0"/>
      <c r="HF366" s="0"/>
      <c r="HG366" s="0"/>
      <c r="HH366" s="0"/>
      <c r="HI366" s="0"/>
      <c r="HJ366" s="0"/>
      <c r="HK366" s="0"/>
      <c r="HL366" s="0"/>
      <c r="HM366" s="0"/>
      <c r="HN366" s="0"/>
      <c r="HO366" s="0"/>
      <c r="HP366" s="0"/>
      <c r="HQ366" s="0"/>
      <c r="HR366" s="0"/>
      <c r="HS366" s="0"/>
      <c r="HT366" s="0"/>
      <c r="HU366" s="0"/>
      <c r="HV366" s="0"/>
      <c r="HW366" s="0"/>
      <c r="HX366" s="0"/>
      <c r="HY366" s="0"/>
      <c r="HZ366" s="0"/>
      <c r="IA366" s="0"/>
      <c r="IB366" s="0"/>
      <c r="IC366" s="0"/>
      <c r="ID366" s="0"/>
      <c r="IE366" s="0"/>
      <c r="IF366" s="0"/>
      <c r="IG366" s="0"/>
      <c r="IH366" s="0"/>
      <c r="II366" s="0"/>
      <c r="IJ366" s="0"/>
      <c r="IK366" s="0"/>
      <c r="IL366" s="0"/>
      <c r="IM366" s="0"/>
      <c r="IN366" s="0"/>
      <c r="IO366" s="0"/>
      <c r="IP366" s="0"/>
      <c r="IQ366" s="0"/>
      <c r="IR366" s="0"/>
      <c r="IS366" s="0"/>
      <c r="IT366" s="0"/>
      <c r="IU366" s="0"/>
      <c r="IV366" s="0"/>
    </row>
    <row r="367" customFormat="false" ht="20.1" hidden="false" customHeight="true" outlineLevel="0" collapsed="false">
      <c r="A367" s="851" t="s">
        <v>448</v>
      </c>
      <c r="B367" s="852"/>
      <c r="C367" s="852"/>
      <c r="D367" s="852"/>
      <c r="E367" s="853" t="n">
        <f aca="false">B367-C367+D367</f>
        <v>0</v>
      </c>
      <c r="F367" s="854" t="n">
        <v>27.5</v>
      </c>
      <c r="G367" s="855"/>
      <c r="H367" s="853" t="n">
        <f aca="false">E367*F367</f>
        <v>0</v>
      </c>
      <c r="I367" s="853" t="n">
        <f aca="false">H367*G367</f>
        <v>0</v>
      </c>
      <c r="J367" s="856" t="n">
        <f aca="false">D367*F367*G367</f>
        <v>0</v>
      </c>
      <c r="L367" s="0"/>
      <c r="M367" s="0"/>
      <c r="N367" s="0"/>
      <c r="O367" s="0"/>
      <c r="P367" s="0"/>
      <c r="Q367" s="0"/>
      <c r="R367" s="0"/>
      <c r="S367" s="0"/>
      <c r="T367" s="0"/>
      <c r="U367" s="0"/>
      <c r="V367" s="0"/>
      <c r="W367" s="0"/>
      <c r="X367" s="0"/>
      <c r="Y367" s="0"/>
      <c r="Z367" s="0"/>
      <c r="AA367" s="0"/>
      <c r="AB367" s="0"/>
      <c r="AC367" s="0"/>
      <c r="AD367" s="0"/>
      <c r="AE367" s="0"/>
      <c r="AF367" s="0"/>
      <c r="AG367" s="0"/>
      <c r="AH367" s="0"/>
      <c r="AI367" s="0"/>
      <c r="AJ367" s="0"/>
      <c r="AK367" s="0"/>
      <c r="AL367" s="0"/>
      <c r="AM367" s="0"/>
      <c r="AN367" s="0"/>
      <c r="AO367" s="0"/>
      <c r="AP367" s="0"/>
      <c r="AQ367" s="0"/>
      <c r="AR367" s="0"/>
      <c r="AS367" s="0"/>
      <c r="AT367" s="0"/>
      <c r="AU367" s="0"/>
      <c r="AV367" s="0"/>
      <c r="AW367" s="0"/>
      <c r="AX367" s="0"/>
      <c r="AY367" s="0"/>
      <c r="AZ367" s="0"/>
      <c r="BA367" s="0"/>
      <c r="BB367" s="0"/>
      <c r="BC367" s="0"/>
      <c r="BD367" s="0"/>
      <c r="BE367" s="0"/>
      <c r="BF367" s="0"/>
      <c r="BG367" s="0"/>
      <c r="BH367" s="0"/>
      <c r="BI367" s="0"/>
      <c r="BJ367" s="0"/>
      <c r="BK367" s="0"/>
      <c r="BL367" s="0"/>
      <c r="BM367" s="0"/>
      <c r="BN367" s="0"/>
      <c r="BO367" s="0"/>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c r="DO367" s="0"/>
      <c r="DP367" s="0"/>
      <c r="DQ367" s="0"/>
      <c r="DR367" s="0"/>
      <c r="DS367" s="0"/>
      <c r="DT367" s="0"/>
      <c r="DU367" s="0"/>
      <c r="DV367" s="0"/>
      <c r="DW367" s="0"/>
      <c r="DX367" s="0"/>
      <c r="DY367" s="0"/>
      <c r="DZ367" s="0"/>
      <c r="EA367" s="0"/>
      <c r="EB367" s="0"/>
      <c r="EC367" s="0"/>
      <c r="ED367" s="0"/>
      <c r="EE367" s="0"/>
      <c r="EF367" s="0"/>
      <c r="EG367" s="0"/>
      <c r="EH367" s="0"/>
      <c r="EI367" s="0"/>
      <c r="EJ367" s="0"/>
      <c r="EK367" s="0"/>
      <c r="EL367" s="0"/>
      <c r="EM367" s="0"/>
      <c r="EN367" s="0"/>
      <c r="EO367" s="0"/>
      <c r="EP367" s="0"/>
      <c r="EQ367" s="0"/>
      <c r="ER367" s="0"/>
      <c r="ES367" s="0"/>
      <c r="ET367" s="0"/>
      <c r="EU367" s="0"/>
      <c r="EV367" s="0"/>
      <c r="EW367" s="0"/>
      <c r="EX367" s="0"/>
      <c r="EY367" s="0"/>
      <c r="EZ367" s="0"/>
      <c r="FA367" s="0"/>
      <c r="FB367" s="0"/>
      <c r="FC367" s="0"/>
      <c r="FD367" s="0"/>
      <c r="FE367" s="0"/>
      <c r="FF367" s="0"/>
      <c r="FG367" s="0"/>
      <c r="FH367" s="0"/>
      <c r="FI367" s="0"/>
      <c r="FJ367" s="0"/>
      <c r="FK367" s="0"/>
      <c r="FL367" s="0"/>
      <c r="FM367" s="0"/>
      <c r="FN367" s="0"/>
      <c r="FO367" s="0"/>
      <c r="FP367" s="0"/>
      <c r="FQ367" s="0"/>
      <c r="FR367" s="0"/>
      <c r="FS367" s="0"/>
      <c r="FT367" s="0"/>
      <c r="FU367" s="0"/>
      <c r="FV367" s="0"/>
      <c r="FW367" s="0"/>
      <c r="FX367" s="0"/>
      <c r="FY367" s="0"/>
      <c r="FZ367" s="0"/>
      <c r="GA367" s="0"/>
      <c r="GB367" s="0"/>
      <c r="GC367" s="0"/>
      <c r="GD367" s="0"/>
      <c r="GE367" s="0"/>
      <c r="GF367" s="0"/>
      <c r="GG367" s="0"/>
      <c r="GH367" s="0"/>
      <c r="GI367" s="0"/>
      <c r="GJ367" s="0"/>
      <c r="GK367" s="0"/>
      <c r="GL367" s="0"/>
      <c r="GM367" s="0"/>
      <c r="GN367" s="0"/>
      <c r="GO367" s="0"/>
      <c r="GP367" s="0"/>
      <c r="GQ367" s="0"/>
      <c r="GR367" s="0"/>
      <c r="GS367" s="0"/>
      <c r="GT367" s="0"/>
      <c r="GU367" s="0"/>
      <c r="GV367" s="0"/>
      <c r="GW367" s="0"/>
      <c r="GX367" s="0"/>
      <c r="GY367" s="0"/>
      <c r="GZ367" s="0"/>
      <c r="HA367" s="0"/>
      <c r="HB367" s="0"/>
      <c r="HC367" s="0"/>
      <c r="HD367" s="0"/>
      <c r="HE367" s="0"/>
      <c r="HF367" s="0"/>
      <c r="HG367" s="0"/>
      <c r="HH367" s="0"/>
      <c r="HI367" s="0"/>
      <c r="HJ367" s="0"/>
      <c r="HK367" s="0"/>
      <c r="HL367" s="0"/>
      <c r="HM367" s="0"/>
      <c r="HN367" s="0"/>
      <c r="HO367" s="0"/>
      <c r="HP367" s="0"/>
      <c r="HQ367" s="0"/>
      <c r="HR367" s="0"/>
      <c r="HS367" s="0"/>
      <c r="HT367" s="0"/>
      <c r="HU367" s="0"/>
      <c r="HV367" s="0"/>
      <c r="HW367" s="0"/>
      <c r="HX367" s="0"/>
      <c r="HY367" s="0"/>
      <c r="HZ367" s="0"/>
      <c r="IA367" s="0"/>
      <c r="IB367" s="0"/>
      <c r="IC367" s="0"/>
      <c r="ID367" s="0"/>
      <c r="IE367" s="0"/>
      <c r="IF367" s="0"/>
      <c r="IG367" s="0"/>
      <c r="IH367" s="0"/>
      <c r="II367" s="0"/>
      <c r="IJ367" s="0"/>
      <c r="IK367" s="0"/>
      <c r="IL367" s="0"/>
      <c r="IM367" s="0"/>
      <c r="IN367" s="0"/>
      <c r="IO367" s="0"/>
      <c r="IP367" s="0"/>
      <c r="IQ367" s="0"/>
      <c r="IR367" s="0"/>
      <c r="IS367" s="0"/>
      <c r="IT367" s="0"/>
      <c r="IU367" s="0"/>
      <c r="IV367" s="0"/>
    </row>
    <row r="368" customFormat="false" ht="20.1" hidden="false" customHeight="true" outlineLevel="0" collapsed="false">
      <c r="J368" s="0"/>
      <c r="L368" s="0"/>
      <c r="M368" s="0"/>
      <c r="N368" s="0"/>
      <c r="O368" s="0"/>
      <c r="P368" s="0"/>
      <c r="Q368" s="0"/>
      <c r="R368" s="0"/>
      <c r="S368" s="0"/>
      <c r="T368" s="0"/>
      <c r="U368" s="0"/>
      <c r="V368" s="0"/>
      <c r="W368" s="0"/>
      <c r="X368" s="0"/>
      <c r="Y368" s="0"/>
      <c r="Z368" s="0"/>
      <c r="AA368" s="0"/>
      <c r="AB368" s="0"/>
      <c r="AC368" s="0"/>
      <c r="AD368" s="0"/>
      <c r="AE368" s="0"/>
      <c r="AF368" s="0"/>
      <c r="AG368" s="0"/>
      <c r="AH368" s="0"/>
      <c r="AI368" s="0"/>
      <c r="AJ368" s="0"/>
      <c r="AK368" s="0"/>
      <c r="AL368" s="0"/>
      <c r="AM368" s="0"/>
      <c r="AN368" s="0"/>
      <c r="AO368" s="0"/>
      <c r="AP368" s="0"/>
      <c r="AQ368" s="0"/>
      <c r="AR368" s="0"/>
      <c r="AS368" s="0"/>
      <c r="AT368" s="0"/>
      <c r="AU368" s="0"/>
      <c r="AV368" s="0"/>
      <c r="AW368" s="0"/>
      <c r="AX368" s="0"/>
      <c r="AY368" s="0"/>
      <c r="AZ368" s="0"/>
      <c r="BA368" s="0"/>
      <c r="BB368" s="0"/>
      <c r="BC368" s="0"/>
      <c r="BD368" s="0"/>
      <c r="BE368" s="0"/>
      <c r="BF368" s="0"/>
      <c r="BG368" s="0"/>
      <c r="BH368" s="0"/>
      <c r="BI368" s="0"/>
      <c r="BJ368" s="0"/>
      <c r="BK368" s="0"/>
      <c r="BL368" s="0"/>
      <c r="BM368" s="0"/>
      <c r="BN368" s="0"/>
      <c r="BO368" s="0"/>
      <c r="BP368" s="0"/>
      <c r="BQ368" s="0"/>
      <c r="BR368" s="0"/>
      <c r="BS368" s="0"/>
      <c r="BT368" s="0"/>
      <c r="BU368" s="0"/>
      <c r="BV368" s="0"/>
      <c r="BW368" s="0"/>
      <c r="BX368" s="0"/>
      <c r="BY368" s="0"/>
      <c r="BZ368" s="0"/>
      <c r="CA368" s="0"/>
      <c r="CB368" s="0"/>
      <c r="CC368" s="0"/>
      <c r="CD368" s="0"/>
      <c r="CE368" s="0"/>
      <c r="CF368" s="0"/>
      <c r="CG368" s="0"/>
      <c r="CH368" s="0"/>
      <c r="CI368" s="0"/>
      <c r="CJ368" s="0"/>
      <c r="CK368" s="0"/>
      <c r="CL368" s="0"/>
      <c r="CM368" s="0"/>
      <c r="CN368" s="0"/>
      <c r="CO368" s="0"/>
      <c r="CP368" s="0"/>
      <c r="CQ368" s="0"/>
      <c r="CR368" s="0"/>
      <c r="CS368" s="0"/>
      <c r="CT368" s="0"/>
      <c r="CU368" s="0"/>
      <c r="CV368" s="0"/>
      <c r="CW368" s="0"/>
      <c r="CX368" s="0"/>
      <c r="CY368" s="0"/>
      <c r="CZ368" s="0"/>
      <c r="DA368" s="0"/>
      <c r="DB368" s="0"/>
      <c r="DC368" s="0"/>
      <c r="DD368" s="0"/>
      <c r="DE368" s="0"/>
      <c r="DF368" s="0"/>
      <c r="DG368" s="0"/>
      <c r="DH368" s="0"/>
      <c r="DI368" s="0"/>
      <c r="DJ368" s="0"/>
      <c r="DK368" s="0"/>
      <c r="DL368" s="0"/>
      <c r="DM368" s="0"/>
      <c r="DN368" s="0"/>
      <c r="DO368" s="0"/>
      <c r="DP368" s="0"/>
      <c r="DQ368" s="0"/>
      <c r="DR368" s="0"/>
      <c r="DS368" s="0"/>
      <c r="DT368" s="0"/>
      <c r="DU368" s="0"/>
      <c r="DV368" s="0"/>
      <c r="DW368" s="0"/>
      <c r="DX368" s="0"/>
      <c r="DY368" s="0"/>
      <c r="DZ368" s="0"/>
      <c r="EA368" s="0"/>
      <c r="EB368" s="0"/>
      <c r="EC368" s="0"/>
      <c r="ED368" s="0"/>
      <c r="EE368" s="0"/>
      <c r="EF368" s="0"/>
      <c r="EG368" s="0"/>
      <c r="EH368" s="0"/>
      <c r="EI368" s="0"/>
      <c r="EJ368" s="0"/>
      <c r="EK368" s="0"/>
      <c r="EL368" s="0"/>
      <c r="EM368" s="0"/>
      <c r="EN368" s="0"/>
      <c r="EO368" s="0"/>
      <c r="EP368" s="0"/>
      <c r="EQ368" s="0"/>
      <c r="ER368" s="0"/>
      <c r="ES368" s="0"/>
      <c r="ET368" s="0"/>
      <c r="EU368" s="0"/>
      <c r="EV368" s="0"/>
      <c r="EW368" s="0"/>
      <c r="EX368" s="0"/>
      <c r="EY368" s="0"/>
      <c r="EZ368" s="0"/>
      <c r="FA368" s="0"/>
      <c r="FB368" s="0"/>
      <c r="FC368" s="0"/>
      <c r="FD368" s="0"/>
      <c r="FE368" s="0"/>
      <c r="FF368" s="0"/>
      <c r="FG368" s="0"/>
      <c r="FH368" s="0"/>
      <c r="FI368" s="0"/>
      <c r="FJ368" s="0"/>
      <c r="FK368" s="0"/>
      <c r="FL368" s="0"/>
      <c r="FM368" s="0"/>
      <c r="FN368" s="0"/>
      <c r="FO368" s="0"/>
      <c r="FP368" s="0"/>
      <c r="FQ368" s="0"/>
      <c r="FR368" s="0"/>
      <c r="FS368" s="0"/>
      <c r="FT368" s="0"/>
      <c r="FU368" s="0"/>
      <c r="FV368" s="0"/>
      <c r="FW368" s="0"/>
      <c r="FX368" s="0"/>
      <c r="FY368" s="0"/>
      <c r="FZ368" s="0"/>
      <c r="GA368" s="0"/>
      <c r="GB368" s="0"/>
      <c r="GC368" s="0"/>
      <c r="GD368" s="0"/>
      <c r="GE368" s="0"/>
      <c r="GF368" s="0"/>
      <c r="GG368" s="0"/>
      <c r="GH368" s="0"/>
      <c r="GI368" s="0"/>
      <c r="GJ368" s="0"/>
      <c r="GK368" s="0"/>
      <c r="GL368" s="0"/>
      <c r="GM368" s="0"/>
      <c r="GN368" s="0"/>
      <c r="GO368" s="0"/>
      <c r="GP368" s="0"/>
      <c r="GQ368" s="0"/>
      <c r="GR368" s="0"/>
      <c r="GS368" s="0"/>
      <c r="GT368" s="0"/>
      <c r="GU368" s="0"/>
      <c r="GV368" s="0"/>
      <c r="GW368" s="0"/>
      <c r="GX368" s="0"/>
      <c r="GY368" s="0"/>
      <c r="GZ368" s="0"/>
      <c r="HA368" s="0"/>
      <c r="HB368" s="0"/>
      <c r="HC368" s="0"/>
      <c r="HD368" s="0"/>
      <c r="HE368" s="0"/>
      <c r="HF368" s="0"/>
      <c r="HG368" s="0"/>
      <c r="HH368" s="0"/>
      <c r="HI368" s="0"/>
      <c r="HJ368" s="0"/>
      <c r="HK368" s="0"/>
      <c r="HL368" s="0"/>
      <c r="HM368" s="0"/>
      <c r="HN368" s="0"/>
      <c r="HO368" s="0"/>
      <c r="HP368" s="0"/>
      <c r="HQ368" s="0"/>
      <c r="HR368" s="0"/>
      <c r="HS368" s="0"/>
      <c r="HT368" s="0"/>
      <c r="HU368" s="0"/>
      <c r="HV368" s="0"/>
      <c r="HW368" s="0"/>
      <c r="HX368" s="0"/>
      <c r="HY368" s="0"/>
      <c r="HZ368" s="0"/>
      <c r="IA368" s="0"/>
      <c r="IB368" s="0"/>
      <c r="IC368" s="0"/>
      <c r="ID368" s="0"/>
      <c r="IE368" s="0"/>
      <c r="IF368" s="0"/>
      <c r="IG368" s="0"/>
      <c r="IH368" s="0"/>
      <c r="II368" s="0"/>
      <c r="IJ368" s="0"/>
      <c r="IK368" s="0"/>
      <c r="IL368" s="0"/>
      <c r="IM368" s="0"/>
      <c r="IN368" s="0"/>
      <c r="IO368" s="0"/>
      <c r="IP368" s="0"/>
      <c r="IQ368" s="0"/>
      <c r="IR368" s="0"/>
      <c r="IS368" s="0"/>
      <c r="IT368" s="0"/>
      <c r="IU368" s="0"/>
      <c r="IV368" s="0"/>
    </row>
    <row r="369" customFormat="false" ht="52.5" hidden="false" customHeight="true" outlineLevel="0" collapsed="false">
      <c r="A369" s="857"/>
      <c r="B369" s="858"/>
      <c r="C369" s="858"/>
      <c r="D369" s="859" t="s">
        <v>1229</v>
      </c>
      <c r="E369" s="859" t="s">
        <v>1230</v>
      </c>
      <c r="F369" s="860"/>
      <c r="G369" s="860"/>
      <c r="H369" s="859" t="s">
        <v>1217</v>
      </c>
      <c r="I369" s="859" t="s">
        <v>1231</v>
      </c>
      <c r="J369" s="859" t="s">
        <v>1232</v>
      </c>
      <c r="L369" s="0"/>
      <c r="M369" s="0"/>
      <c r="N369" s="0"/>
      <c r="O369" s="55"/>
      <c r="P369" s="55"/>
      <c r="Q369" s="0"/>
      <c r="R369" s="0"/>
      <c r="S369" s="0"/>
      <c r="T369" s="0"/>
      <c r="U369" s="0"/>
      <c r="V369" s="0"/>
      <c r="W369" s="0"/>
      <c r="X369" s="0"/>
      <c r="Y369" s="0"/>
      <c r="Z369" s="0"/>
      <c r="AA369" s="0"/>
      <c r="AB369" s="0"/>
      <c r="AC369" s="0"/>
      <c r="AD369" s="0"/>
      <c r="AE369" s="0"/>
      <c r="AF369" s="0"/>
      <c r="AG369" s="0"/>
      <c r="AH369" s="0"/>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c r="CP369" s="0"/>
      <c r="CQ369" s="0"/>
      <c r="CR369" s="0"/>
      <c r="CS369" s="0"/>
      <c r="CT369" s="0"/>
      <c r="CU369" s="0"/>
      <c r="CV369" s="0"/>
      <c r="CW369" s="0"/>
      <c r="CX369" s="0"/>
      <c r="CY369" s="0"/>
      <c r="CZ369" s="0"/>
      <c r="DA369" s="0"/>
      <c r="DB369" s="0"/>
      <c r="DC369" s="0"/>
      <c r="DD369" s="0"/>
      <c r="DE369" s="0"/>
      <c r="DF369" s="0"/>
      <c r="DG369" s="0"/>
      <c r="DH369" s="0"/>
      <c r="DI369" s="0"/>
      <c r="DJ369" s="0"/>
      <c r="DK369" s="0"/>
      <c r="DL369" s="0"/>
      <c r="DM369" s="0"/>
      <c r="DN369" s="0"/>
      <c r="DO369" s="0"/>
      <c r="DP369" s="0"/>
      <c r="DQ369" s="0"/>
      <c r="DR369" s="0"/>
      <c r="DS369" s="0"/>
      <c r="DT369" s="0"/>
      <c r="DU369" s="0"/>
      <c r="DV369" s="0"/>
      <c r="DW369" s="0"/>
      <c r="DX369" s="0"/>
      <c r="DY369" s="0"/>
      <c r="DZ369" s="0"/>
      <c r="EA369" s="0"/>
      <c r="EB369" s="0"/>
      <c r="EC369" s="0"/>
      <c r="ED369" s="0"/>
      <c r="EE369" s="0"/>
      <c r="EF369" s="0"/>
      <c r="EG369" s="0"/>
      <c r="EH369" s="0"/>
      <c r="EI369" s="0"/>
      <c r="EJ369" s="0"/>
      <c r="EK369" s="0"/>
      <c r="EL369" s="0"/>
      <c r="EM369" s="0"/>
      <c r="EN369" s="0"/>
      <c r="EO369" s="0"/>
      <c r="EP369" s="0"/>
      <c r="EQ369" s="0"/>
      <c r="ER369" s="0"/>
      <c r="ES369" s="0"/>
      <c r="ET369" s="0"/>
      <c r="EU369" s="0"/>
      <c r="EV369" s="0"/>
      <c r="EW369" s="0"/>
      <c r="EX369" s="0"/>
      <c r="EY369" s="0"/>
      <c r="EZ369" s="0"/>
      <c r="FA369" s="0"/>
      <c r="FB369" s="0"/>
      <c r="FC369" s="0"/>
      <c r="FD369" s="0"/>
      <c r="FE369" s="0"/>
      <c r="FF369" s="0"/>
      <c r="FG369" s="0"/>
      <c r="FH369" s="0"/>
      <c r="FI369" s="0"/>
      <c r="FJ369" s="0"/>
      <c r="FK369" s="0"/>
      <c r="FL369" s="0"/>
      <c r="FM369" s="0"/>
      <c r="FN369" s="0"/>
      <c r="FO369" s="0"/>
      <c r="FP369" s="0"/>
      <c r="FQ369" s="0"/>
      <c r="FR369" s="0"/>
      <c r="FS369" s="0"/>
      <c r="FT369" s="0"/>
      <c r="FU369" s="0"/>
      <c r="FV369" s="0"/>
      <c r="FW369" s="0"/>
      <c r="FX369" s="0"/>
      <c r="FY369" s="0"/>
      <c r="FZ369" s="0"/>
      <c r="GA369" s="0"/>
      <c r="GB369" s="0"/>
      <c r="GC369" s="0"/>
      <c r="GD369" s="0"/>
      <c r="GE369" s="0"/>
      <c r="GF369" s="0"/>
      <c r="GG369" s="0"/>
      <c r="GH369" s="0"/>
      <c r="GI369" s="0"/>
      <c r="GJ369" s="0"/>
      <c r="GK369" s="0"/>
      <c r="GL369" s="0"/>
      <c r="GM369" s="0"/>
      <c r="GN369" s="0"/>
      <c r="GO369" s="0"/>
      <c r="GP369" s="0"/>
      <c r="GQ369" s="0"/>
      <c r="GR369" s="0"/>
      <c r="GS369" s="0"/>
      <c r="GT369" s="0"/>
      <c r="GU369" s="0"/>
      <c r="GV369" s="0"/>
      <c r="GW369" s="0"/>
      <c r="GX369" s="0"/>
      <c r="GY369" s="0"/>
      <c r="GZ369" s="0"/>
      <c r="HA369" s="0"/>
      <c r="HB369" s="0"/>
      <c r="HC369" s="0"/>
      <c r="HD369" s="0"/>
      <c r="HE369" s="0"/>
      <c r="HF369" s="0"/>
      <c r="HG369" s="0"/>
      <c r="HH369" s="0"/>
      <c r="HI369" s="0"/>
      <c r="HJ369" s="0"/>
      <c r="HK369" s="0"/>
      <c r="HL369" s="0"/>
      <c r="HM369" s="0"/>
      <c r="HN369" s="0"/>
      <c r="HO369" s="0"/>
      <c r="HP369" s="0"/>
      <c r="HQ369" s="0"/>
      <c r="HR369" s="0"/>
      <c r="HS369" s="0"/>
      <c r="HT369" s="0"/>
      <c r="HU369" s="0"/>
      <c r="HV369" s="0"/>
      <c r="HW369" s="0"/>
      <c r="HX369" s="0"/>
      <c r="HY369" s="0"/>
      <c r="HZ369" s="0"/>
      <c r="IA369" s="0"/>
      <c r="IB369" s="0"/>
      <c r="IC369" s="0"/>
      <c r="ID369" s="0"/>
      <c r="IE369" s="0"/>
      <c r="IF369" s="0"/>
      <c r="IG369" s="0"/>
      <c r="IH369" s="0"/>
      <c r="II369" s="0"/>
      <c r="IJ369" s="0"/>
      <c r="IK369" s="0"/>
      <c r="IL369" s="0"/>
      <c r="IM369" s="0"/>
      <c r="IN369" s="0"/>
      <c r="IO369" s="0"/>
      <c r="IP369" s="0"/>
      <c r="IQ369" s="0"/>
      <c r="IR369" s="0"/>
      <c r="IS369" s="0"/>
      <c r="IT369" s="0"/>
      <c r="IU369" s="0"/>
      <c r="IV369" s="0"/>
    </row>
    <row r="370" customFormat="false" ht="20.1" hidden="false" customHeight="true" outlineLevel="0" collapsed="false">
      <c r="A370" s="857"/>
      <c r="B370" s="858"/>
      <c r="C370" s="858"/>
      <c r="D370" s="822" t="n">
        <f aca="false">SUM(D336:D367)</f>
        <v>0</v>
      </c>
      <c r="E370" s="822" t="n">
        <f aca="false">SUM(E336:E367)</f>
        <v>300</v>
      </c>
      <c r="F370" s="861" t="s">
        <v>1233</v>
      </c>
      <c r="G370" s="862" t="s">
        <v>551</v>
      </c>
      <c r="H370" s="738" t="n">
        <f aca="false">SUM(H336:H367)</f>
        <v>540</v>
      </c>
      <c r="I370" s="738" t="n">
        <f aca="false">SUM(I336:I367)</f>
        <v>378</v>
      </c>
      <c r="J370" s="738" t="n">
        <f aca="false">SUM(J336:J367)</f>
        <v>0</v>
      </c>
      <c r="L370" s="0"/>
      <c r="M370" s="0"/>
      <c r="N370" s="0"/>
      <c r="O370" s="0"/>
      <c r="P370" s="0"/>
      <c r="Q370" s="0"/>
      <c r="R370" s="0"/>
      <c r="S370" s="0"/>
      <c r="T370" s="0"/>
      <c r="U370" s="0"/>
      <c r="V370" s="0"/>
      <c r="W370" s="0"/>
      <c r="X370" s="0"/>
      <c r="Y370" s="0"/>
      <c r="Z370" s="0"/>
      <c r="AA370" s="0"/>
      <c r="AB370" s="0"/>
      <c r="AC370" s="0"/>
      <c r="AD370" s="0"/>
      <c r="AE370" s="0"/>
      <c r="AF370" s="0"/>
      <c r="AG370" s="0"/>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c r="BL370" s="0"/>
      <c r="BM370" s="0"/>
      <c r="BN370" s="0"/>
      <c r="BO370" s="0"/>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c r="CP370" s="0"/>
      <c r="CQ370" s="0"/>
      <c r="CR370" s="0"/>
      <c r="CS370" s="0"/>
      <c r="CT370" s="0"/>
      <c r="CU370" s="0"/>
      <c r="CV370" s="0"/>
      <c r="CW370" s="0"/>
      <c r="CX370" s="0"/>
      <c r="CY370" s="0"/>
      <c r="CZ370" s="0"/>
      <c r="DA370" s="0"/>
      <c r="DB370" s="0"/>
      <c r="DC370" s="0"/>
      <c r="DD370" s="0"/>
      <c r="DE370" s="0"/>
      <c r="DF370" s="0"/>
      <c r="DG370" s="0"/>
      <c r="DH370" s="0"/>
      <c r="DI370" s="0"/>
      <c r="DJ370" s="0"/>
      <c r="DK370" s="0"/>
      <c r="DL370" s="0"/>
      <c r="DM370" s="0"/>
      <c r="DN370" s="0"/>
      <c r="DO370" s="0"/>
      <c r="DP370" s="0"/>
      <c r="DQ370" s="0"/>
      <c r="DR370" s="0"/>
      <c r="DS370" s="0"/>
      <c r="DT370" s="0"/>
      <c r="DU370" s="0"/>
      <c r="DV370" s="0"/>
      <c r="DW370" s="0"/>
      <c r="DX370" s="0"/>
      <c r="DY370" s="0"/>
      <c r="DZ370" s="0"/>
      <c r="EA370" s="0"/>
      <c r="EB370" s="0"/>
      <c r="EC370" s="0"/>
      <c r="ED370" s="0"/>
      <c r="EE370" s="0"/>
      <c r="EF370" s="0"/>
      <c r="EG370" s="0"/>
      <c r="EH370" s="0"/>
      <c r="EI370" s="0"/>
      <c r="EJ370" s="0"/>
      <c r="EK370" s="0"/>
      <c r="EL370" s="0"/>
      <c r="EM370" s="0"/>
      <c r="EN370" s="0"/>
      <c r="EO370" s="0"/>
      <c r="EP370" s="0"/>
      <c r="EQ370" s="0"/>
      <c r="ER370" s="0"/>
      <c r="ES370" s="0"/>
      <c r="ET370" s="0"/>
      <c r="EU370" s="0"/>
      <c r="EV370" s="0"/>
      <c r="EW370" s="0"/>
      <c r="EX370" s="0"/>
      <c r="EY370" s="0"/>
      <c r="EZ370" s="0"/>
      <c r="FA370" s="0"/>
      <c r="FB370" s="0"/>
      <c r="FC370" s="0"/>
      <c r="FD370" s="0"/>
      <c r="FE370" s="0"/>
      <c r="FF370" s="0"/>
      <c r="FG370" s="0"/>
      <c r="FH370" s="0"/>
      <c r="FI370" s="0"/>
      <c r="FJ370" s="0"/>
      <c r="FK370" s="0"/>
      <c r="FL370" s="0"/>
      <c r="FM370" s="0"/>
      <c r="FN370" s="0"/>
      <c r="FO370" s="0"/>
      <c r="FP370" s="0"/>
      <c r="FQ370" s="0"/>
      <c r="FR370" s="0"/>
      <c r="FS370" s="0"/>
      <c r="FT370" s="0"/>
      <c r="FU370" s="0"/>
      <c r="FV370" s="0"/>
      <c r="FW370" s="0"/>
      <c r="FX370" s="0"/>
      <c r="FY370" s="0"/>
      <c r="FZ370" s="0"/>
      <c r="GA370" s="0"/>
      <c r="GB370" s="0"/>
      <c r="GC370" s="0"/>
      <c r="GD370" s="0"/>
      <c r="GE370" s="0"/>
      <c r="GF370" s="0"/>
      <c r="GG370" s="0"/>
      <c r="GH370" s="0"/>
      <c r="GI370" s="0"/>
      <c r="GJ370" s="0"/>
      <c r="GK370" s="0"/>
      <c r="GL370" s="0"/>
      <c r="GM370" s="0"/>
      <c r="GN370" s="0"/>
      <c r="GO370" s="0"/>
      <c r="GP370" s="0"/>
      <c r="GQ370" s="0"/>
      <c r="GR370" s="0"/>
      <c r="GS370" s="0"/>
      <c r="GT370" s="0"/>
      <c r="GU370" s="0"/>
      <c r="GV370" s="0"/>
      <c r="GW370" s="0"/>
      <c r="GX370" s="0"/>
      <c r="GY370" s="0"/>
      <c r="GZ370" s="0"/>
      <c r="HA370" s="0"/>
      <c r="HB370" s="0"/>
      <c r="HC370" s="0"/>
      <c r="HD370" s="0"/>
      <c r="HE370" s="0"/>
      <c r="HF370" s="0"/>
      <c r="HG370" s="0"/>
      <c r="HH370" s="0"/>
      <c r="HI370" s="0"/>
      <c r="HJ370" s="0"/>
      <c r="HK370" s="0"/>
      <c r="HL370" s="0"/>
      <c r="HM370" s="0"/>
      <c r="HN370" s="0"/>
      <c r="HO370" s="0"/>
      <c r="HP370" s="0"/>
      <c r="HQ370" s="0"/>
      <c r="HR370" s="0"/>
      <c r="HS370" s="0"/>
      <c r="HT370" s="0"/>
      <c r="HU370" s="0"/>
      <c r="HV370" s="0"/>
      <c r="HW370" s="0"/>
      <c r="HX370" s="0"/>
      <c r="HY370" s="0"/>
      <c r="HZ370" s="0"/>
      <c r="IA370" s="0"/>
      <c r="IB370" s="0"/>
      <c r="IC370" s="0"/>
      <c r="ID370" s="0"/>
      <c r="IE370" s="0"/>
      <c r="IF370" s="0"/>
      <c r="IG370" s="0"/>
      <c r="IH370" s="0"/>
      <c r="II370" s="0"/>
      <c r="IJ370" s="0"/>
      <c r="IK370" s="0"/>
      <c r="IL370" s="0"/>
      <c r="IM370" s="0"/>
      <c r="IN370" s="0"/>
      <c r="IO370" s="0"/>
      <c r="IP370" s="0"/>
      <c r="IQ370" s="0"/>
      <c r="IR370" s="0"/>
      <c r="IS370" s="0"/>
      <c r="IT370" s="0"/>
      <c r="IU370" s="0"/>
      <c r="IV370" s="0"/>
    </row>
    <row r="371" customFormat="false" ht="20.1" hidden="false" customHeight="true" outlineLevel="0" collapsed="false">
      <c r="W371" s="12"/>
    </row>
    <row r="372" customFormat="false" ht="20.1" hidden="false" customHeight="true" outlineLevel="0" collapsed="false">
      <c r="A372" s="863" t="s">
        <v>449</v>
      </c>
      <c r="B372" s="863"/>
      <c r="C372" s="863"/>
      <c r="D372" s="863"/>
      <c r="F372" s="864"/>
      <c r="J372" s="0"/>
      <c r="T372" s="12"/>
      <c r="U372" s="0"/>
      <c r="V372" s="0"/>
      <c r="W372" s="0"/>
      <c r="X372" s="0"/>
      <c r="Y372" s="0"/>
      <c r="Z372" s="0"/>
      <c r="AA372" s="0"/>
      <c r="AB372" s="0"/>
      <c r="AC372" s="0"/>
      <c r="AD372" s="0"/>
      <c r="AE372" s="0"/>
      <c r="AF372" s="0"/>
      <c r="AG372" s="0"/>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c r="DK372" s="0"/>
      <c r="DL372" s="0"/>
      <c r="DM372" s="0"/>
      <c r="DN372" s="0"/>
      <c r="DO372" s="0"/>
      <c r="DP372" s="0"/>
      <c r="DQ372" s="0"/>
      <c r="DR372" s="0"/>
      <c r="DS372" s="0"/>
      <c r="DT372" s="0"/>
      <c r="DU372" s="0"/>
      <c r="DV372" s="0"/>
      <c r="DW372" s="0"/>
      <c r="DX372" s="0"/>
      <c r="DY372" s="0"/>
      <c r="DZ372" s="0"/>
      <c r="EA372" s="0"/>
      <c r="EB372" s="0"/>
      <c r="EC372" s="0"/>
      <c r="ED372" s="0"/>
      <c r="EE372" s="0"/>
      <c r="EF372" s="0"/>
      <c r="EG372" s="0"/>
      <c r="EH372" s="0"/>
      <c r="EI372" s="0"/>
      <c r="EJ372" s="0"/>
      <c r="EK372" s="0"/>
      <c r="EL372" s="0"/>
      <c r="EM372" s="0"/>
      <c r="EN372" s="0"/>
      <c r="EO372" s="0"/>
      <c r="EP372" s="0"/>
      <c r="EQ372" s="0"/>
      <c r="ER372" s="0"/>
      <c r="ES372" s="0"/>
      <c r="ET372" s="0"/>
      <c r="EU372" s="0"/>
      <c r="EV372" s="0"/>
      <c r="EW372" s="0"/>
      <c r="EX372" s="0"/>
      <c r="EY372" s="0"/>
      <c r="EZ372" s="0"/>
      <c r="FA372" s="0"/>
      <c r="FB372" s="0"/>
      <c r="FC372" s="0"/>
      <c r="FD372" s="0"/>
      <c r="FE372" s="0"/>
      <c r="FF372" s="0"/>
      <c r="FG372" s="0"/>
      <c r="FH372" s="0"/>
      <c r="FI372" s="0"/>
      <c r="FJ372" s="0"/>
      <c r="FK372" s="0"/>
      <c r="FL372" s="0"/>
      <c r="FM372" s="0"/>
      <c r="FN372" s="0"/>
      <c r="FO372" s="0"/>
      <c r="FP372" s="0"/>
      <c r="FQ372" s="0"/>
      <c r="FR372" s="0"/>
      <c r="FS372" s="0"/>
      <c r="FT372" s="0"/>
      <c r="FU372" s="0"/>
      <c r="FV372" s="0"/>
      <c r="FW372" s="0"/>
      <c r="FX372" s="0"/>
      <c r="FY372" s="0"/>
      <c r="FZ372" s="0"/>
      <c r="GA372" s="0"/>
      <c r="GB372" s="0"/>
      <c r="GC372" s="0"/>
      <c r="GD372" s="0"/>
      <c r="GE372" s="0"/>
      <c r="GF372" s="0"/>
      <c r="GG372" s="0"/>
      <c r="GH372" s="0"/>
      <c r="GI372" s="0"/>
      <c r="GJ372" s="0"/>
      <c r="GK372" s="0"/>
      <c r="GL372" s="0"/>
      <c r="GM372" s="0"/>
      <c r="GN372" s="0"/>
      <c r="GO372" s="0"/>
      <c r="GP372" s="0"/>
      <c r="GQ372" s="0"/>
      <c r="GR372" s="0"/>
      <c r="GS372" s="0"/>
      <c r="GT372" s="0"/>
      <c r="GU372" s="0"/>
      <c r="GV372" s="0"/>
      <c r="GW372" s="0"/>
      <c r="GX372" s="0"/>
      <c r="GY372" s="0"/>
      <c r="GZ372" s="0"/>
      <c r="HA372" s="0"/>
      <c r="HB372" s="0"/>
      <c r="HC372" s="0"/>
      <c r="HD372" s="0"/>
      <c r="HE372" s="0"/>
      <c r="HF372" s="0"/>
      <c r="HG372" s="0"/>
      <c r="HH372" s="0"/>
      <c r="HI372" s="0"/>
      <c r="HJ372" s="0"/>
      <c r="HK372" s="0"/>
      <c r="HL372" s="0"/>
      <c r="HM372" s="0"/>
      <c r="HN372" s="0"/>
      <c r="HO372" s="0"/>
      <c r="HP372" s="0"/>
      <c r="HQ372" s="0"/>
      <c r="HR372" s="0"/>
      <c r="HS372" s="0"/>
      <c r="HT372" s="0"/>
      <c r="HU372" s="0"/>
      <c r="HV372" s="0"/>
      <c r="HW372" s="0"/>
      <c r="HX372" s="0"/>
      <c r="HY372" s="0"/>
      <c r="HZ372" s="0"/>
      <c r="IA372" s="0"/>
      <c r="IB372" s="0"/>
      <c r="IC372" s="0"/>
      <c r="ID372" s="0"/>
      <c r="IE372" s="0"/>
      <c r="IF372" s="0"/>
      <c r="IG372" s="0"/>
      <c r="IH372" s="0"/>
      <c r="II372" s="0"/>
      <c r="IJ372" s="0"/>
      <c r="IK372" s="0"/>
      <c r="IL372" s="0"/>
      <c r="IM372" s="0"/>
      <c r="IN372" s="0"/>
      <c r="IO372" s="0"/>
      <c r="IP372" s="0"/>
      <c r="IQ372" s="0"/>
      <c r="IR372" s="0"/>
      <c r="IS372" s="0"/>
      <c r="IT372" s="0"/>
      <c r="IU372" s="0"/>
      <c r="IV372" s="0"/>
    </row>
    <row r="373" customFormat="false" ht="20.1" hidden="false" customHeight="true" outlineLevel="0" collapsed="false">
      <c r="A373" s="863" t="s">
        <v>1234</v>
      </c>
      <c r="B373" s="863"/>
      <c r="C373" s="863"/>
      <c r="D373" s="863"/>
      <c r="F373" s="824"/>
      <c r="J373" s="0"/>
      <c r="T373" s="12"/>
      <c r="U373" s="0"/>
      <c r="V373" s="0"/>
      <c r="W373" s="0"/>
      <c r="X373" s="0"/>
      <c r="Y373" s="0"/>
      <c r="Z373" s="0"/>
      <c r="AA373" s="0"/>
      <c r="AB373" s="0"/>
      <c r="AC373" s="0"/>
      <c r="AD373" s="0"/>
      <c r="AE373" s="0"/>
      <c r="AF373" s="0"/>
      <c r="AG373" s="0"/>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c r="DM373" s="0"/>
      <c r="DN373" s="0"/>
      <c r="DO373" s="0"/>
      <c r="DP373" s="0"/>
      <c r="DQ373" s="0"/>
      <c r="DR373" s="0"/>
      <c r="DS373" s="0"/>
      <c r="DT373" s="0"/>
      <c r="DU373" s="0"/>
      <c r="DV373" s="0"/>
      <c r="DW373" s="0"/>
      <c r="DX373" s="0"/>
      <c r="DY373" s="0"/>
      <c r="DZ373" s="0"/>
      <c r="EA373" s="0"/>
      <c r="EB373" s="0"/>
      <c r="EC373" s="0"/>
      <c r="ED373" s="0"/>
      <c r="EE373" s="0"/>
      <c r="EF373" s="0"/>
      <c r="EG373" s="0"/>
      <c r="EH373" s="0"/>
      <c r="EI373" s="0"/>
      <c r="EJ373" s="0"/>
      <c r="EK373" s="0"/>
      <c r="EL373" s="0"/>
      <c r="EM373" s="0"/>
      <c r="EN373" s="0"/>
      <c r="EO373" s="0"/>
      <c r="EP373" s="0"/>
      <c r="EQ373" s="0"/>
      <c r="ER373" s="0"/>
      <c r="ES373" s="0"/>
      <c r="ET373" s="0"/>
      <c r="EU373" s="0"/>
      <c r="EV373" s="0"/>
      <c r="EW373" s="0"/>
      <c r="EX373" s="0"/>
      <c r="EY373" s="0"/>
      <c r="EZ373" s="0"/>
      <c r="FA373" s="0"/>
      <c r="FB373" s="0"/>
      <c r="FC373" s="0"/>
      <c r="FD373" s="0"/>
      <c r="FE373" s="0"/>
      <c r="FF373" s="0"/>
      <c r="FG373" s="0"/>
      <c r="FH373" s="0"/>
      <c r="FI373" s="0"/>
      <c r="FJ373" s="0"/>
      <c r="FK373" s="0"/>
      <c r="FL373" s="0"/>
      <c r="FM373" s="0"/>
      <c r="FN373" s="0"/>
      <c r="FO373" s="0"/>
      <c r="FP373" s="0"/>
      <c r="FQ373" s="0"/>
      <c r="FR373" s="0"/>
      <c r="FS373" s="0"/>
      <c r="FT373" s="0"/>
      <c r="FU373" s="0"/>
      <c r="FV373" s="0"/>
      <c r="FW373" s="0"/>
      <c r="FX373" s="0"/>
      <c r="FY373" s="0"/>
      <c r="FZ373" s="0"/>
      <c r="GA373" s="0"/>
      <c r="GB373" s="0"/>
      <c r="GC373" s="0"/>
      <c r="GD373" s="0"/>
      <c r="GE373" s="0"/>
      <c r="GF373" s="0"/>
      <c r="GG373" s="0"/>
      <c r="GH373" s="0"/>
      <c r="GI373" s="0"/>
      <c r="GJ373" s="0"/>
      <c r="GK373" s="0"/>
      <c r="GL373" s="0"/>
      <c r="GM373" s="0"/>
      <c r="GN373" s="0"/>
      <c r="GO373" s="0"/>
      <c r="GP373" s="0"/>
      <c r="GQ373" s="0"/>
      <c r="GR373" s="0"/>
      <c r="GS373" s="0"/>
      <c r="GT373" s="0"/>
      <c r="GU373" s="0"/>
      <c r="GV373" s="0"/>
      <c r="GW373" s="0"/>
      <c r="GX373" s="0"/>
      <c r="GY373" s="0"/>
      <c r="GZ373" s="0"/>
      <c r="HA373" s="0"/>
      <c r="HB373" s="0"/>
      <c r="HC373" s="0"/>
      <c r="HD373" s="0"/>
      <c r="HE373" s="0"/>
      <c r="HF373" s="0"/>
      <c r="HG373" s="0"/>
      <c r="HH373" s="0"/>
      <c r="HI373" s="0"/>
      <c r="HJ373" s="0"/>
      <c r="HK373" s="0"/>
      <c r="HL373" s="0"/>
      <c r="HM373" s="0"/>
      <c r="HN373" s="0"/>
      <c r="HO373" s="0"/>
      <c r="HP373" s="0"/>
      <c r="HQ373" s="0"/>
      <c r="HR373" s="0"/>
      <c r="HS373" s="0"/>
      <c r="HT373" s="0"/>
      <c r="HU373" s="0"/>
      <c r="HV373" s="0"/>
      <c r="HW373" s="0"/>
      <c r="HX373" s="0"/>
      <c r="HY373" s="0"/>
      <c r="HZ373" s="0"/>
      <c r="IA373" s="0"/>
      <c r="IB373" s="0"/>
      <c r="IC373" s="0"/>
      <c r="ID373" s="0"/>
      <c r="IE373" s="0"/>
      <c r="IF373" s="0"/>
      <c r="IG373" s="0"/>
      <c r="IH373" s="0"/>
      <c r="II373" s="0"/>
      <c r="IJ373" s="0"/>
      <c r="IK373" s="0"/>
      <c r="IL373" s="0"/>
      <c r="IM373" s="0"/>
      <c r="IN373" s="0"/>
      <c r="IO373" s="0"/>
      <c r="IP373" s="0"/>
      <c r="IQ373" s="0"/>
      <c r="IR373" s="0"/>
      <c r="IS373" s="0"/>
      <c r="IT373" s="0"/>
      <c r="IU373" s="0"/>
      <c r="IV373" s="0"/>
    </row>
    <row r="374" customFormat="false" ht="20.1" hidden="false" customHeight="true" outlineLevel="0" collapsed="false">
      <c r="A374" s="0"/>
      <c r="F374" s="0"/>
      <c r="J374" s="0"/>
      <c r="T374" s="12"/>
      <c r="U374" s="0"/>
      <c r="V374" s="0"/>
      <c r="W374" s="0"/>
      <c r="X374" s="0"/>
      <c r="Y374" s="0"/>
      <c r="Z374" s="0"/>
      <c r="AA374" s="0"/>
      <c r="AB374" s="0"/>
      <c r="AC374" s="0"/>
      <c r="AD374" s="0"/>
      <c r="AE374" s="0"/>
      <c r="AF374" s="0"/>
      <c r="AG374" s="0"/>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c r="DK374" s="0"/>
      <c r="DL374" s="0"/>
      <c r="DM374" s="0"/>
      <c r="DN374" s="0"/>
      <c r="DO374" s="0"/>
      <c r="DP374" s="0"/>
      <c r="DQ374" s="0"/>
      <c r="DR374" s="0"/>
      <c r="DS374" s="0"/>
      <c r="DT374" s="0"/>
      <c r="DU374" s="0"/>
      <c r="DV374" s="0"/>
      <c r="DW374" s="0"/>
      <c r="DX374" s="0"/>
      <c r="DY374" s="0"/>
      <c r="DZ374" s="0"/>
      <c r="EA374" s="0"/>
      <c r="EB374" s="0"/>
      <c r="EC374" s="0"/>
      <c r="ED374" s="0"/>
      <c r="EE374" s="0"/>
      <c r="EF374" s="0"/>
      <c r="EG374" s="0"/>
      <c r="EH374" s="0"/>
      <c r="EI374" s="0"/>
      <c r="EJ374" s="0"/>
      <c r="EK374" s="0"/>
      <c r="EL374" s="0"/>
      <c r="EM374" s="0"/>
      <c r="EN374" s="0"/>
      <c r="EO374" s="0"/>
      <c r="EP374" s="0"/>
      <c r="EQ374" s="0"/>
      <c r="ER374" s="0"/>
      <c r="ES374" s="0"/>
      <c r="ET374" s="0"/>
      <c r="EU374" s="0"/>
      <c r="EV374" s="0"/>
      <c r="EW374" s="0"/>
      <c r="EX374" s="0"/>
      <c r="EY374" s="0"/>
      <c r="EZ374" s="0"/>
      <c r="FA374" s="0"/>
      <c r="FB374" s="0"/>
      <c r="FC374" s="0"/>
      <c r="FD374" s="0"/>
      <c r="FE374" s="0"/>
      <c r="FF374" s="0"/>
      <c r="FG374" s="0"/>
      <c r="FH374" s="0"/>
      <c r="FI374" s="0"/>
      <c r="FJ374" s="0"/>
      <c r="FK374" s="0"/>
      <c r="FL374" s="0"/>
      <c r="FM374" s="0"/>
      <c r="FN374" s="0"/>
      <c r="FO374" s="0"/>
      <c r="FP374" s="0"/>
      <c r="FQ374" s="0"/>
      <c r="FR374" s="0"/>
      <c r="FS374" s="0"/>
      <c r="FT374" s="0"/>
      <c r="FU374" s="0"/>
      <c r="FV374" s="0"/>
      <c r="FW374" s="0"/>
      <c r="FX374" s="0"/>
      <c r="FY374" s="0"/>
      <c r="FZ374" s="0"/>
      <c r="GA374" s="0"/>
      <c r="GB374" s="0"/>
      <c r="GC374" s="0"/>
      <c r="GD374" s="0"/>
      <c r="GE374" s="0"/>
      <c r="GF374" s="0"/>
      <c r="GG374" s="0"/>
      <c r="GH374" s="0"/>
      <c r="GI374" s="0"/>
      <c r="GJ374" s="0"/>
      <c r="GK374" s="0"/>
      <c r="GL374" s="0"/>
      <c r="GM374" s="0"/>
      <c r="GN374" s="0"/>
      <c r="GO374" s="0"/>
      <c r="GP374" s="0"/>
      <c r="GQ374" s="0"/>
      <c r="GR374" s="0"/>
      <c r="GS374" s="0"/>
      <c r="GT374" s="0"/>
      <c r="GU374" s="0"/>
      <c r="GV374" s="0"/>
      <c r="GW374" s="0"/>
      <c r="GX374" s="0"/>
      <c r="GY374" s="0"/>
      <c r="GZ374" s="0"/>
      <c r="HA374" s="0"/>
      <c r="HB374" s="0"/>
      <c r="HC374" s="0"/>
      <c r="HD374" s="0"/>
      <c r="HE374" s="0"/>
      <c r="HF374" s="0"/>
      <c r="HG374" s="0"/>
      <c r="HH374" s="0"/>
      <c r="HI374" s="0"/>
      <c r="HJ374" s="0"/>
      <c r="HK374" s="0"/>
      <c r="HL374" s="0"/>
      <c r="HM374" s="0"/>
      <c r="HN374" s="0"/>
      <c r="HO374" s="0"/>
      <c r="HP374" s="0"/>
      <c r="HQ374" s="0"/>
      <c r="HR374" s="0"/>
      <c r="HS374" s="0"/>
      <c r="HT374" s="0"/>
      <c r="HU374" s="0"/>
      <c r="HV374" s="0"/>
      <c r="HW374" s="0"/>
      <c r="HX374" s="0"/>
      <c r="HY374" s="0"/>
      <c r="HZ374" s="0"/>
      <c r="IA374" s="0"/>
      <c r="IB374" s="0"/>
      <c r="IC374" s="0"/>
      <c r="ID374" s="0"/>
      <c r="IE374" s="0"/>
      <c r="IF374" s="0"/>
      <c r="IG374" s="0"/>
      <c r="IH374" s="0"/>
      <c r="II374" s="0"/>
      <c r="IJ374" s="0"/>
      <c r="IK374" s="0"/>
      <c r="IL374" s="0"/>
      <c r="IM374" s="0"/>
      <c r="IN374" s="0"/>
      <c r="IO374" s="0"/>
      <c r="IP374" s="0"/>
      <c r="IQ374" s="0"/>
      <c r="IR374" s="0"/>
      <c r="IS374" s="0"/>
      <c r="IT374" s="0"/>
      <c r="IU374" s="0"/>
      <c r="IV374" s="0"/>
    </row>
    <row r="375" customFormat="false" ht="20.1" hidden="false" customHeight="true" outlineLevel="0" collapsed="false">
      <c r="A375" s="0"/>
      <c r="F375" s="0"/>
      <c r="K375" s="0"/>
      <c r="L375" s="0"/>
      <c r="M375" s="0"/>
      <c r="N375" s="0"/>
      <c r="O375" s="0"/>
      <c r="P375" s="0"/>
      <c r="Q375" s="0"/>
      <c r="R375" s="0"/>
      <c r="S375" s="0"/>
      <c r="T375" s="0"/>
      <c r="U375" s="0"/>
      <c r="V375" s="0"/>
      <c r="W375" s="12"/>
      <c r="X375" s="0"/>
      <c r="Y375" s="0"/>
      <c r="Z375" s="0"/>
      <c r="AA375" s="0"/>
      <c r="AB375" s="0"/>
      <c r="AC375" s="0"/>
      <c r="AD375" s="0"/>
      <c r="AE375" s="0"/>
      <c r="AF375" s="0"/>
      <c r="AG375" s="0"/>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c r="BL375" s="0"/>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c r="DM375" s="0"/>
      <c r="DN375" s="0"/>
      <c r="DO375" s="0"/>
      <c r="DP375" s="0"/>
      <c r="DQ375" s="0"/>
      <c r="DR375" s="0"/>
      <c r="DS375" s="0"/>
      <c r="DT375" s="0"/>
      <c r="DU375" s="0"/>
      <c r="DV375" s="0"/>
      <c r="DW375" s="0"/>
      <c r="DX375" s="0"/>
      <c r="DY375" s="0"/>
      <c r="DZ375" s="0"/>
      <c r="EA375" s="0"/>
      <c r="EB375" s="0"/>
      <c r="EC375" s="0"/>
      <c r="ED375" s="0"/>
      <c r="EE375" s="0"/>
      <c r="EF375" s="0"/>
      <c r="EG375" s="0"/>
      <c r="EH375" s="0"/>
      <c r="EI375" s="0"/>
      <c r="EJ375" s="0"/>
      <c r="EK375" s="0"/>
      <c r="EL375" s="0"/>
      <c r="EM375" s="0"/>
      <c r="EN375" s="0"/>
      <c r="EO375" s="0"/>
      <c r="EP375" s="0"/>
      <c r="EQ375" s="0"/>
      <c r="ER375" s="0"/>
      <c r="ES375" s="0"/>
      <c r="ET375" s="0"/>
      <c r="EU375" s="0"/>
      <c r="EV375" s="0"/>
      <c r="EW375" s="0"/>
      <c r="EX375" s="0"/>
      <c r="EY375" s="0"/>
      <c r="EZ375" s="0"/>
      <c r="FA375" s="0"/>
      <c r="FB375" s="0"/>
      <c r="FC375" s="0"/>
      <c r="FD375" s="0"/>
      <c r="FE375" s="0"/>
      <c r="FF375" s="0"/>
      <c r="FG375" s="0"/>
      <c r="FH375" s="0"/>
      <c r="FI375" s="0"/>
      <c r="FJ375" s="0"/>
      <c r="FK375" s="0"/>
      <c r="FL375" s="0"/>
      <c r="FM375" s="0"/>
      <c r="FN375" s="0"/>
      <c r="FO375" s="0"/>
      <c r="FP375" s="0"/>
      <c r="FQ375" s="0"/>
      <c r="FR375" s="0"/>
      <c r="FS375" s="0"/>
      <c r="FT375" s="0"/>
      <c r="FU375" s="0"/>
      <c r="FV375" s="0"/>
      <c r="FW375" s="0"/>
      <c r="FX375" s="0"/>
      <c r="FY375" s="0"/>
      <c r="FZ375" s="0"/>
      <c r="GA375" s="0"/>
      <c r="GB375" s="0"/>
      <c r="GC375" s="0"/>
      <c r="GD375" s="0"/>
      <c r="GE375" s="0"/>
      <c r="GF375" s="0"/>
      <c r="GG375" s="0"/>
      <c r="GH375" s="0"/>
      <c r="GI375" s="0"/>
      <c r="GJ375" s="0"/>
      <c r="GK375" s="0"/>
      <c r="GL375" s="0"/>
      <c r="GM375" s="0"/>
      <c r="GN375" s="0"/>
      <c r="GO375" s="0"/>
      <c r="GP375" s="0"/>
      <c r="GQ375" s="0"/>
      <c r="GR375" s="0"/>
      <c r="GS375" s="0"/>
      <c r="GT375" s="0"/>
      <c r="GU375" s="0"/>
      <c r="GV375" s="0"/>
      <c r="GW375" s="0"/>
      <c r="GX375" s="0"/>
      <c r="GY375" s="0"/>
      <c r="GZ375" s="0"/>
      <c r="HA375" s="0"/>
      <c r="HB375" s="0"/>
      <c r="HC375" s="0"/>
      <c r="HD375" s="0"/>
      <c r="HE375" s="0"/>
      <c r="HF375" s="0"/>
      <c r="HG375" s="0"/>
      <c r="HH375" s="0"/>
      <c r="HI375" s="0"/>
      <c r="HJ375" s="0"/>
      <c r="HK375" s="0"/>
      <c r="HL375" s="0"/>
      <c r="HM375" s="0"/>
      <c r="HN375" s="0"/>
      <c r="HO375" s="0"/>
      <c r="HP375" s="0"/>
      <c r="HQ375" s="0"/>
      <c r="HR375" s="0"/>
      <c r="HS375" s="0"/>
      <c r="HT375" s="0"/>
      <c r="HU375" s="0"/>
      <c r="HV375" s="0"/>
      <c r="HW375" s="0"/>
      <c r="HX375" s="0"/>
      <c r="HY375" s="0"/>
      <c r="HZ375" s="0"/>
      <c r="IA375" s="0"/>
      <c r="IB375" s="0"/>
      <c r="IC375" s="0"/>
      <c r="ID375" s="0"/>
      <c r="IE375" s="0"/>
      <c r="IF375" s="0"/>
      <c r="IG375" s="0"/>
      <c r="IH375" s="0"/>
      <c r="II375" s="0"/>
      <c r="IJ375" s="0"/>
      <c r="IK375" s="0"/>
      <c r="IL375" s="0"/>
      <c r="IM375" s="0"/>
      <c r="IN375" s="0"/>
      <c r="IO375" s="0"/>
      <c r="IP375" s="0"/>
      <c r="IQ375" s="0"/>
      <c r="IR375" s="0"/>
      <c r="IS375" s="0"/>
      <c r="IT375" s="0"/>
      <c r="IU375" s="0"/>
      <c r="IV375" s="0"/>
    </row>
    <row r="376" customFormat="false" ht="20.1" hidden="false" customHeight="true" outlineLevel="0" collapsed="false">
      <c r="A376" s="0"/>
      <c r="F376" s="0"/>
      <c r="K376" s="0"/>
      <c r="L376" s="0"/>
      <c r="M376" s="0"/>
      <c r="N376" s="55"/>
      <c r="O376" s="55"/>
      <c r="P376" s="55"/>
      <c r="Q376" s="55"/>
      <c r="R376" s="55"/>
      <c r="T376" s="0"/>
      <c r="U376" s="0"/>
      <c r="V376" s="0"/>
      <c r="W376" s="0"/>
      <c r="X376" s="0"/>
      <c r="Y376" s="0"/>
      <c r="Z376" s="0"/>
      <c r="AA376" s="0"/>
      <c r="AB376" s="0"/>
      <c r="AC376" s="0"/>
      <c r="AD376" s="0"/>
      <c r="AE376" s="0"/>
      <c r="AF376" s="0"/>
      <c r="AG376" s="0"/>
      <c r="AH376" s="0"/>
      <c r="AI376" s="0"/>
      <c r="AJ376" s="0"/>
      <c r="AK376" s="0"/>
      <c r="AL376" s="0"/>
      <c r="AM376" s="0"/>
      <c r="AN376" s="0"/>
      <c r="AO376" s="0"/>
      <c r="AP376" s="0"/>
      <c r="AQ376" s="0"/>
      <c r="AR376" s="0"/>
      <c r="AS376" s="0"/>
      <c r="AT376" s="0"/>
      <c r="AU376" s="0"/>
      <c r="AV376" s="0"/>
      <c r="AW376" s="0"/>
      <c r="AX376" s="0"/>
      <c r="AY376" s="0"/>
      <c r="AZ376" s="0"/>
      <c r="BA376" s="0"/>
      <c r="BB376" s="0"/>
      <c r="BC376" s="0"/>
      <c r="BD376" s="0"/>
      <c r="BE376" s="0"/>
      <c r="BF376" s="0"/>
      <c r="BG376" s="0"/>
      <c r="BH376" s="0"/>
      <c r="BI376" s="0"/>
      <c r="BJ376" s="0"/>
      <c r="BK376" s="0"/>
      <c r="BL376" s="0"/>
      <c r="BM376" s="0"/>
      <c r="BN376" s="0"/>
      <c r="BO376" s="0"/>
      <c r="BP376" s="0"/>
      <c r="BQ376" s="0"/>
      <c r="BR376" s="0"/>
      <c r="BS376" s="0"/>
      <c r="BT376" s="0"/>
      <c r="BU376" s="0"/>
      <c r="BV376" s="0"/>
      <c r="BW376" s="0"/>
      <c r="BX376" s="0"/>
      <c r="BY376" s="0"/>
      <c r="BZ376" s="0"/>
      <c r="CA376" s="0"/>
      <c r="CB376" s="0"/>
      <c r="CC376" s="0"/>
      <c r="CD376" s="0"/>
      <c r="CE376" s="0"/>
      <c r="CF376" s="0"/>
      <c r="CG376" s="0"/>
      <c r="CH376" s="0"/>
      <c r="CI376" s="0"/>
      <c r="CJ376" s="0"/>
      <c r="CK376" s="0"/>
      <c r="CL376" s="0"/>
      <c r="CM376" s="0"/>
      <c r="CN376" s="0"/>
      <c r="CO376" s="0"/>
      <c r="CP376" s="0"/>
      <c r="CQ376" s="0"/>
      <c r="CR376" s="0"/>
      <c r="CS376" s="0"/>
      <c r="CT376" s="0"/>
      <c r="CU376" s="0"/>
      <c r="CV376" s="0"/>
      <c r="CW376" s="0"/>
      <c r="CX376" s="0"/>
      <c r="CY376" s="0"/>
      <c r="CZ376" s="0"/>
      <c r="DA376" s="0"/>
      <c r="DB376" s="0"/>
      <c r="DC376" s="0"/>
      <c r="DD376" s="0"/>
      <c r="DE376" s="0"/>
      <c r="DF376" s="0"/>
      <c r="DG376" s="0"/>
      <c r="DH376" s="0"/>
      <c r="DI376" s="0"/>
      <c r="DJ376" s="0"/>
      <c r="DK376" s="0"/>
      <c r="DL376" s="0"/>
      <c r="DM376" s="0"/>
      <c r="DN376" s="0"/>
      <c r="DO376" s="0"/>
      <c r="DP376" s="0"/>
      <c r="DQ376" s="0"/>
      <c r="DR376" s="0"/>
      <c r="DS376" s="0"/>
      <c r="DT376" s="0"/>
      <c r="DU376" s="0"/>
      <c r="DV376" s="0"/>
      <c r="DW376" s="0"/>
      <c r="DX376" s="0"/>
      <c r="DY376" s="0"/>
      <c r="DZ376" s="0"/>
      <c r="EA376" s="0"/>
      <c r="EB376" s="0"/>
      <c r="EC376" s="0"/>
      <c r="ED376" s="0"/>
      <c r="EE376" s="0"/>
      <c r="EF376" s="0"/>
      <c r="EG376" s="0"/>
      <c r="EH376" s="0"/>
      <c r="EI376" s="0"/>
      <c r="EJ376" s="0"/>
      <c r="EK376" s="0"/>
      <c r="EL376" s="0"/>
      <c r="EM376" s="0"/>
      <c r="EN376" s="0"/>
      <c r="EO376" s="0"/>
      <c r="EP376" s="0"/>
      <c r="EQ376" s="0"/>
      <c r="ER376" s="0"/>
      <c r="ES376" s="0"/>
      <c r="ET376" s="0"/>
      <c r="EU376" s="0"/>
      <c r="EV376" s="0"/>
      <c r="EW376" s="0"/>
      <c r="EX376" s="0"/>
      <c r="EY376" s="0"/>
      <c r="EZ376" s="0"/>
      <c r="FA376" s="0"/>
      <c r="FB376" s="0"/>
      <c r="FC376" s="0"/>
      <c r="FD376" s="0"/>
      <c r="FE376" s="0"/>
      <c r="FF376" s="0"/>
      <c r="FG376" s="0"/>
      <c r="FH376" s="0"/>
      <c r="FI376" s="0"/>
      <c r="FJ376" s="0"/>
      <c r="FK376" s="0"/>
      <c r="FL376" s="0"/>
      <c r="FM376" s="0"/>
      <c r="FN376" s="0"/>
      <c r="FO376" s="0"/>
      <c r="FP376" s="0"/>
      <c r="FQ376" s="0"/>
      <c r="FR376" s="0"/>
      <c r="FS376" s="0"/>
      <c r="FT376" s="0"/>
      <c r="FU376" s="0"/>
      <c r="FV376" s="0"/>
      <c r="FW376" s="0"/>
      <c r="FX376" s="0"/>
      <c r="FY376" s="0"/>
      <c r="FZ376" s="0"/>
      <c r="GA376" s="0"/>
      <c r="GB376" s="0"/>
      <c r="GC376" s="0"/>
      <c r="GD376" s="0"/>
      <c r="GE376" s="0"/>
      <c r="GF376" s="0"/>
      <c r="GG376" s="0"/>
      <c r="GH376" s="0"/>
      <c r="GI376" s="0"/>
      <c r="GJ376" s="0"/>
      <c r="GK376" s="0"/>
      <c r="GL376" s="0"/>
      <c r="GM376" s="0"/>
      <c r="GN376" s="0"/>
      <c r="GO376" s="0"/>
      <c r="GP376" s="0"/>
      <c r="GQ376" s="0"/>
      <c r="GR376" s="0"/>
      <c r="GS376" s="0"/>
      <c r="GT376" s="0"/>
      <c r="GU376" s="0"/>
      <c r="GV376" s="0"/>
      <c r="GW376" s="0"/>
      <c r="GX376" s="0"/>
      <c r="GY376" s="0"/>
      <c r="GZ376" s="0"/>
      <c r="HA376" s="0"/>
      <c r="HB376" s="0"/>
      <c r="HC376" s="0"/>
      <c r="HD376" s="0"/>
      <c r="HE376" s="0"/>
      <c r="HF376" s="0"/>
      <c r="HG376" s="0"/>
      <c r="HH376" s="0"/>
      <c r="HI376" s="0"/>
      <c r="HJ376" s="0"/>
      <c r="HK376" s="0"/>
      <c r="HL376" s="0"/>
      <c r="HM376" s="0"/>
      <c r="HN376" s="0"/>
      <c r="HO376" s="0"/>
      <c r="HP376" s="0"/>
      <c r="HQ376" s="0"/>
      <c r="HR376" s="0"/>
      <c r="HS376" s="0"/>
      <c r="HT376" s="0"/>
      <c r="HU376" s="0"/>
      <c r="HV376" s="0"/>
      <c r="HW376" s="0"/>
      <c r="HX376" s="0"/>
      <c r="HY376" s="0"/>
      <c r="HZ376" s="0"/>
      <c r="IA376" s="0"/>
      <c r="IB376" s="0"/>
      <c r="IC376" s="0"/>
      <c r="ID376" s="0"/>
      <c r="IE376" s="0"/>
      <c r="IF376" s="0"/>
      <c r="IG376" s="0"/>
      <c r="IH376" s="0"/>
      <c r="II376" s="0"/>
      <c r="IJ376" s="0"/>
      <c r="IK376" s="0"/>
      <c r="IL376" s="0"/>
      <c r="IM376" s="0"/>
      <c r="IN376" s="0"/>
      <c r="IO376" s="0"/>
      <c r="IP376" s="0"/>
      <c r="IQ376" s="0"/>
      <c r="IR376" s="0"/>
      <c r="IS376" s="0"/>
      <c r="IT376" s="0"/>
      <c r="IU376" s="0"/>
      <c r="IV376" s="0"/>
    </row>
    <row r="377" customFormat="false" ht="24" hidden="false" customHeight="true" outlineLevel="0" collapsed="false">
      <c r="A377" s="865" t="s">
        <v>1235</v>
      </c>
      <c r="B377" s="865"/>
      <c r="C377" s="865"/>
      <c r="D377" s="865"/>
      <c r="E377" s="865"/>
      <c r="F377" s="865"/>
      <c r="G377" s="865"/>
      <c r="H377" s="865"/>
      <c r="I377" s="865"/>
      <c r="J377" s="865"/>
      <c r="K377" s="866"/>
      <c r="L377" s="867" t="s">
        <v>1236</v>
      </c>
      <c r="M377" s="0"/>
      <c r="N377" s="0"/>
      <c r="O377" s="0"/>
      <c r="P377" s="0"/>
      <c r="Q377" s="55"/>
      <c r="R377" s="55"/>
      <c r="S377" s="0"/>
      <c r="T377" s="0"/>
      <c r="U377" s="0"/>
      <c r="V377" s="0"/>
      <c r="W377" s="0"/>
      <c r="X377" s="0"/>
      <c r="Y377" s="0"/>
      <c r="Z377" s="0"/>
      <c r="AA377" s="0"/>
      <c r="AB377" s="0"/>
      <c r="AC377" s="0"/>
      <c r="AD377" s="0"/>
      <c r="AE377" s="0"/>
      <c r="AF377" s="0"/>
      <c r="AG377" s="0"/>
      <c r="AH377" s="0"/>
      <c r="AI377" s="0"/>
      <c r="AJ377" s="0"/>
      <c r="AK377" s="0"/>
      <c r="AL377" s="0"/>
      <c r="AM377" s="0"/>
      <c r="AN377" s="0"/>
      <c r="AO377" s="0"/>
      <c r="AP377" s="0"/>
      <c r="AQ377" s="0"/>
      <c r="AR377" s="0"/>
      <c r="AS377" s="0"/>
      <c r="AT377" s="0"/>
      <c r="AU377" s="0"/>
      <c r="AV377" s="0"/>
      <c r="AW377" s="0"/>
      <c r="AX377" s="0"/>
      <c r="AY377" s="0"/>
      <c r="AZ377" s="0"/>
      <c r="BA377" s="0"/>
      <c r="BB377" s="0"/>
      <c r="BC377" s="0"/>
      <c r="BD377" s="0"/>
      <c r="BE377" s="0"/>
      <c r="BF377" s="0"/>
      <c r="BG377" s="0"/>
      <c r="BH377" s="0"/>
      <c r="BI377" s="0"/>
      <c r="BJ377" s="0"/>
      <c r="BK377" s="0"/>
      <c r="BL377" s="0"/>
      <c r="BM377" s="0"/>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c r="DC377" s="0"/>
      <c r="DD377" s="0"/>
      <c r="DE377" s="0"/>
      <c r="DF377" s="0"/>
      <c r="DG377" s="0"/>
      <c r="DH377" s="0"/>
      <c r="DI377" s="0"/>
      <c r="DJ377" s="0"/>
      <c r="DK377" s="0"/>
      <c r="DL377" s="0"/>
      <c r="DM377" s="0"/>
      <c r="DN377" s="0"/>
      <c r="DO377" s="0"/>
      <c r="DP377" s="0"/>
      <c r="DQ377" s="0"/>
      <c r="DR377" s="0"/>
      <c r="DS377" s="0"/>
      <c r="DT377" s="0"/>
      <c r="DU377" s="0"/>
      <c r="DV377" s="0"/>
      <c r="DW377" s="0"/>
      <c r="DX377" s="0"/>
      <c r="DY377" s="0"/>
      <c r="DZ377" s="0"/>
      <c r="EA377" s="0"/>
      <c r="EB377" s="0"/>
      <c r="EC377" s="0"/>
      <c r="ED377" s="0"/>
      <c r="EE377" s="0"/>
      <c r="EF377" s="0"/>
      <c r="EG377" s="0"/>
      <c r="EH377" s="0"/>
      <c r="EI377" s="0"/>
      <c r="EJ377" s="0"/>
      <c r="EK377" s="0"/>
      <c r="EL377" s="0"/>
      <c r="EM377" s="0"/>
      <c r="EN377" s="0"/>
      <c r="EO377" s="0"/>
      <c r="EP377" s="0"/>
      <c r="EQ377" s="0"/>
      <c r="ER377" s="0"/>
      <c r="ES377" s="0"/>
      <c r="ET377" s="0"/>
      <c r="EU377" s="0"/>
      <c r="EV377" s="0"/>
      <c r="EW377" s="0"/>
      <c r="EX377" s="0"/>
      <c r="EY377" s="0"/>
      <c r="EZ377" s="0"/>
      <c r="FA377" s="0"/>
      <c r="FB377" s="0"/>
      <c r="FC377" s="0"/>
      <c r="FD377" s="0"/>
      <c r="FE377" s="0"/>
      <c r="FF377" s="0"/>
      <c r="FG377" s="0"/>
      <c r="FH377" s="0"/>
      <c r="FI377" s="0"/>
      <c r="FJ377" s="0"/>
      <c r="FK377" s="0"/>
      <c r="FL377" s="0"/>
      <c r="FM377" s="0"/>
      <c r="FN377" s="0"/>
      <c r="FO377" s="0"/>
      <c r="FP377" s="0"/>
      <c r="FQ377" s="0"/>
      <c r="FR377" s="0"/>
      <c r="FS377" s="0"/>
      <c r="FT377" s="0"/>
      <c r="FU377" s="0"/>
      <c r="FV377" s="0"/>
      <c r="FW377" s="0"/>
      <c r="FX377" s="0"/>
      <c r="FY377" s="0"/>
      <c r="FZ377" s="0"/>
      <c r="GA377" s="0"/>
      <c r="GB377" s="0"/>
      <c r="GC377" s="0"/>
      <c r="GD377" s="0"/>
      <c r="GE377" s="0"/>
      <c r="GF377" s="0"/>
      <c r="GG377" s="0"/>
      <c r="GH377" s="0"/>
      <c r="GI377" s="0"/>
      <c r="GJ377" s="0"/>
      <c r="GK377" s="0"/>
      <c r="GL377" s="0"/>
      <c r="GM377" s="0"/>
      <c r="GN377" s="0"/>
      <c r="GO377" s="0"/>
      <c r="GP377" s="0"/>
      <c r="GQ377" s="0"/>
      <c r="GR377" s="0"/>
      <c r="GS377" s="0"/>
      <c r="GT377" s="0"/>
      <c r="GU377" s="0"/>
      <c r="GV377" s="0"/>
      <c r="GW377" s="0"/>
      <c r="GX377" s="0"/>
      <c r="GY377" s="0"/>
      <c r="GZ377" s="0"/>
      <c r="HA377" s="0"/>
      <c r="HB377" s="0"/>
      <c r="HC377" s="0"/>
      <c r="HD377" s="0"/>
      <c r="HE377" s="0"/>
      <c r="HF377" s="0"/>
      <c r="HG377" s="0"/>
      <c r="HH377" s="0"/>
      <c r="HI377" s="0"/>
      <c r="HJ377" s="0"/>
      <c r="HK377" s="0"/>
      <c r="HL377" s="0"/>
      <c r="HM377" s="0"/>
      <c r="HN377" s="0"/>
      <c r="HO377" s="0"/>
      <c r="HP377" s="0"/>
      <c r="HQ377" s="0"/>
      <c r="HR377" s="0"/>
      <c r="HS377" s="0"/>
      <c r="HT377" s="0"/>
      <c r="HU377" s="0"/>
      <c r="HV377" s="0"/>
      <c r="HW377" s="0"/>
      <c r="HX377" s="0"/>
      <c r="HY377" s="0"/>
      <c r="HZ377" s="0"/>
      <c r="IA377" s="0"/>
      <c r="IB377" s="0"/>
      <c r="IC377" s="0"/>
      <c r="ID377" s="0"/>
      <c r="IE377" s="0"/>
      <c r="IF377" s="0"/>
      <c r="IG377" s="0"/>
      <c r="IH377" s="0"/>
      <c r="II377" s="0"/>
      <c r="IJ377" s="0"/>
      <c r="IK377" s="0"/>
      <c r="IL377" s="0"/>
      <c r="IM377" s="0"/>
      <c r="IN377" s="0"/>
      <c r="IO377" s="0"/>
      <c r="IP377" s="0"/>
      <c r="IQ377" s="0"/>
      <c r="IR377" s="0"/>
      <c r="IS377" s="0"/>
      <c r="IT377" s="0"/>
      <c r="IU377" s="0"/>
      <c r="IV377" s="0"/>
    </row>
    <row r="378" customFormat="false" ht="19.5" hidden="false" customHeight="true" outlineLevel="0" collapsed="false">
      <c r="A378" s="408"/>
      <c r="B378" s="408"/>
      <c r="C378" s="409"/>
      <c r="D378" s="409"/>
      <c r="E378" s="409"/>
      <c r="F378" s="409"/>
      <c r="G378" s="409"/>
      <c r="H378" s="410"/>
      <c r="I378" s="411"/>
      <c r="J378" s="412"/>
      <c r="K378" s="866"/>
      <c r="L378" s="868"/>
      <c r="M378" s="0"/>
      <c r="N378" s="0"/>
      <c r="O378" s="0"/>
      <c r="P378" s="0"/>
      <c r="Q378" s="55"/>
      <c r="R378" s="55"/>
      <c r="S378" s="0"/>
      <c r="T378" s="0"/>
      <c r="U378" s="0"/>
      <c r="V378" s="0"/>
      <c r="W378" s="0"/>
      <c r="X378" s="0"/>
      <c r="Y378" s="0"/>
      <c r="Z378" s="0"/>
      <c r="AA378" s="0"/>
      <c r="AB378" s="0"/>
      <c r="AC378" s="0"/>
      <c r="AD378" s="0"/>
      <c r="AE378" s="0"/>
      <c r="AF378" s="0"/>
      <c r="AG378" s="0"/>
      <c r="AH378" s="0"/>
      <c r="AI378" s="0"/>
      <c r="AJ378" s="0"/>
      <c r="AK378" s="0"/>
      <c r="AL378" s="0"/>
      <c r="AM378" s="0"/>
      <c r="AN378" s="0"/>
      <c r="AO378" s="0"/>
      <c r="AP378" s="0"/>
      <c r="AQ378" s="0"/>
      <c r="AR378" s="0"/>
      <c r="AS378" s="0"/>
      <c r="AT378" s="0"/>
      <c r="AU378" s="0"/>
      <c r="AV378" s="0"/>
      <c r="AW378" s="0"/>
      <c r="AX378" s="0"/>
      <c r="AY378" s="0"/>
      <c r="AZ378" s="0"/>
      <c r="BA378" s="0"/>
      <c r="BB378" s="0"/>
      <c r="BC378" s="0"/>
      <c r="BD378" s="0"/>
      <c r="BE378" s="0"/>
      <c r="BF378" s="0"/>
      <c r="BG378" s="0"/>
      <c r="BH378" s="0"/>
      <c r="BI378" s="0"/>
      <c r="BJ378" s="0"/>
      <c r="BK378" s="0"/>
      <c r="BL378" s="0"/>
      <c r="BM378" s="0"/>
      <c r="BN378" s="0"/>
      <c r="BO378" s="0"/>
      <c r="BP378" s="0"/>
      <c r="BQ378" s="0"/>
      <c r="BR378" s="0"/>
      <c r="BS378" s="0"/>
      <c r="BT378" s="0"/>
      <c r="BU378" s="0"/>
      <c r="BV378" s="0"/>
      <c r="BW378" s="0"/>
      <c r="BX378" s="0"/>
      <c r="BY378" s="0"/>
      <c r="BZ378" s="0"/>
      <c r="CA378" s="0"/>
      <c r="CB378" s="0"/>
      <c r="CC378" s="0"/>
      <c r="CD378" s="0"/>
      <c r="CE378" s="0"/>
      <c r="CF378" s="0"/>
      <c r="CG378" s="0"/>
      <c r="CH378" s="0"/>
      <c r="CI378" s="0"/>
      <c r="CJ378" s="0"/>
      <c r="CK378" s="0"/>
      <c r="CL378" s="0"/>
      <c r="CM378" s="0"/>
      <c r="CN378" s="0"/>
      <c r="CO378" s="0"/>
      <c r="CP378" s="0"/>
      <c r="CQ378" s="0"/>
      <c r="CR378" s="0"/>
      <c r="CS378" s="0"/>
      <c r="CT378" s="0"/>
      <c r="CU378" s="0"/>
      <c r="CV378" s="0"/>
      <c r="CW378" s="0"/>
      <c r="CX378" s="0"/>
      <c r="CY378" s="0"/>
      <c r="CZ378" s="0"/>
      <c r="DA378" s="0"/>
      <c r="DB378" s="0"/>
      <c r="DC378" s="0"/>
      <c r="DD378" s="0"/>
      <c r="DE378" s="0"/>
      <c r="DF378" s="0"/>
      <c r="DG378" s="0"/>
      <c r="DH378" s="0"/>
      <c r="DI378" s="0"/>
      <c r="DJ378" s="0"/>
      <c r="DK378" s="0"/>
      <c r="DL378" s="0"/>
      <c r="DM378" s="0"/>
      <c r="DN378" s="0"/>
      <c r="DO378" s="0"/>
      <c r="DP378" s="0"/>
      <c r="DQ378" s="0"/>
      <c r="DR378" s="0"/>
      <c r="DS378" s="0"/>
      <c r="DT378" s="0"/>
      <c r="DU378" s="0"/>
      <c r="DV378" s="0"/>
      <c r="DW378" s="0"/>
      <c r="DX378" s="0"/>
      <c r="DY378" s="0"/>
      <c r="DZ378" s="0"/>
      <c r="EA378" s="0"/>
      <c r="EB378" s="0"/>
      <c r="EC378" s="0"/>
      <c r="ED378" s="0"/>
      <c r="EE378" s="0"/>
      <c r="EF378" s="0"/>
      <c r="EG378" s="0"/>
      <c r="EH378" s="0"/>
      <c r="EI378" s="0"/>
      <c r="EJ378" s="0"/>
      <c r="EK378" s="0"/>
      <c r="EL378" s="0"/>
      <c r="EM378" s="0"/>
      <c r="EN378" s="0"/>
      <c r="EO378" s="0"/>
      <c r="EP378" s="0"/>
      <c r="EQ378" s="0"/>
      <c r="ER378" s="0"/>
      <c r="ES378" s="0"/>
      <c r="ET378" s="0"/>
      <c r="EU378" s="0"/>
      <c r="EV378" s="0"/>
      <c r="EW378" s="0"/>
      <c r="EX378" s="0"/>
      <c r="EY378" s="0"/>
      <c r="EZ378" s="0"/>
      <c r="FA378" s="0"/>
      <c r="FB378" s="0"/>
      <c r="FC378" s="0"/>
      <c r="FD378" s="0"/>
      <c r="FE378" s="0"/>
      <c r="FF378" s="0"/>
      <c r="FG378" s="0"/>
      <c r="FH378" s="0"/>
      <c r="FI378" s="0"/>
      <c r="FJ378" s="0"/>
      <c r="FK378" s="0"/>
      <c r="FL378" s="0"/>
      <c r="FM378" s="0"/>
      <c r="FN378" s="0"/>
      <c r="FO378" s="0"/>
      <c r="FP378" s="0"/>
      <c r="FQ378" s="0"/>
      <c r="FR378" s="0"/>
      <c r="FS378" s="0"/>
      <c r="FT378" s="0"/>
      <c r="FU378" s="0"/>
      <c r="FV378" s="0"/>
      <c r="FW378" s="0"/>
      <c r="FX378" s="0"/>
      <c r="FY378" s="0"/>
      <c r="FZ378" s="0"/>
      <c r="GA378" s="0"/>
      <c r="GB378" s="0"/>
      <c r="GC378" s="0"/>
      <c r="GD378" s="0"/>
      <c r="GE378" s="0"/>
      <c r="GF378" s="0"/>
      <c r="GG378" s="0"/>
      <c r="GH378" s="0"/>
      <c r="GI378" s="0"/>
      <c r="GJ378" s="0"/>
      <c r="GK378" s="0"/>
      <c r="GL378" s="0"/>
      <c r="GM378" s="0"/>
      <c r="GN378" s="0"/>
      <c r="GO378" s="0"/>
      <c r="GP378" s="0"/>
      <c r="GQ378" s="0"/>
      <c r="GR378" s="0"/>
      <c r="GS378" s="0"/>
      <c r="GT378" s="0"/>
      <c r="GU378" s="0"/>
      <c r="GV378" s="0"/>
      <c r="GW378" s="0"/>
      <c r="GX378" s="0"/>
      <c r="GY378" s="0"/>
      <c r="GZ378" s="0"/>
      <c r="HA378" s="0"/>
      <c r="HB378" s="0"/>
      <c r="HC378" s="0"/>
      <c r="HD378" s="0"/>
      <c r="HE378" s="0"/>
      <c r="HF378" s="0"/>
      <c r="HG378" s="0"/>
      <c r="HH378" s="0"/>
      <c r="HI378" s="0"/>
      <c r="HJ378" s="0"/>
      <c r="HK378" s="0"/>
      <c r="HL378" s="0"/>
      <c r="HM378" s="0"/>
      <c r="HN378" s="0"/>
      <c r="HO378" s="0"/>
      <c r="HP378" s="0"/>
      <c r="HQ378" s="0"/>
      <c r="HR378" s="0"/>
      <c r="HS378" s="0"/>
      <c r="HT378" s="0"/>
      <c r="HU378" s="0"/>
      <c r="HV378" s="0"/>
      <c r="HW378" s="0"/>
      <c r="HX378" s="0"/>
      <c r="HY378" s="0"/>
      <c r="HZ378" s="0"/>
      <c r="IA378" s="0"/>
      <c r="IB378" s="0"/>
      <c r="IC378" s="0"/>
      <c r="ID378" s="0"/>
      <c r="IE378" s="0"/>
      <c r="IF378" s="0"/>
      <c r="IG378" s="0"/>
      <c r="IH378" s="0"/>
      <c r="II378" s="0"/>
      <c r="IJ378" s="0"/>
      <c r="IK378" s="0"/>
      <c r="IL378" s="0"/>
      <c r="IM378" s="0"/>
      <c r="IN378" s="0"/>
      <c r="IO378" s="0"/>
      <c r="IP378" s="0"/>
      <c r="IQ378" s="0"/>
      <c r="IR378" s="0"/>
      <c r="IS378" s="0"/>
      <c r="IT378" s="0"/>
      <c r="IU378" s="0"/>
      <c r="IV378" s="0"/>
    </row>
    <row r="379" customFormat="false" ht="19.5" hidden="false" customHeight="true" outlineLevel="0" collapsed="false">
      <c r="A379" s="408"/>
      <c r="B379" s="408"/>
      <c r="C379" s="409"/>
      <c r="D379" s="409"/>
      <c r="E379" s="409"/>
      <c r="F379" s="409"/>
      <c r="G379" s="409"/>
      <c r="H379" s="410"/>
      <c r="I379" s="411"/>
      <c r="J379" s="412"/>
      <c r="K379" s="866"/>
      <c r="L379" s="868"/>
      <c r="Q379" s="55"/>
      <c r="R379" s="55"/>
    </row>
    <row r="380" customFormat="false" ht="20.1" hidden="false" customHeight="true" outlineLevel="0" collapsed="false">
      <c r="A380" s="869" t="s">
        <v>1237</v>
      </c>
      <c r="B380" s="869"/>
      <c r="C380" s="869"/>
      <c r="D380" s="869"/>
      <c r="E380" s="869"/>
      <c r="F380" s="869"/>
      <c r="G380" s="869"/>
      <c r="H380" s="53"/>
      <c r="I380" s="53"/>
      <c r="J380" s="53"/>
      <c r="K380" s="870"/>
      <c r="L380" s="871" t="s">
        <v>1238</v>
      </c>
      <c r="Q380" s="55"/>
      <c r="R380" s="55"/>
    </row>
    <row r="381" customFormat="false" ht="20.1" hidden="false" customHeight="true" outlineLevel="0" collapsed="false">
      <c r="A381" s="408"/>
      <c r="B381" s="408"/>
      <c r="C381" s="409"/>
      <c r="D381" s="409"/>
      <c r="E381" s="409"/>
      <c r="F381" s="409"/>
      <c r="G381" s="409"/>
      <c r="H381" s="410"/>
      <c r="I381" s="411"/>
      <c r="J381" s="412"/>
      <c r="K381" s="866"/>
      <c r="L381" s="868"/>
      <c r="Q381" s="55"/>
      <c r="R381" s="55"/>
    </row>
    <row r="382" customFormat="false" ht="33" hidden="false" customHeight="true" outlineLevel="0" collapsed="false">
      <c r="A382" s="872"/>
      <c r="B382" s="873" t="s">
        <v>1239</v>
      </c>
      <c r="C382" s="873"/>
      <c r="D382" s="19"/>
      <c r="E382" s="55"/>
      <c r="F382" s="55"/>
      <c r="G382" s="14"/>
      <c r="H382" s="55"/>
      <c r="I382" s="55"/>
      <c r="J382" s="55"/>
      <c r="K382" s="0"/>
      <c r="L382" s="0" t="s">
        <v>1240</v>
      </c>
      <c r="Q382" s="55"/>
      <c r="R382" s="55"/>
    </row>
    <row r="383" customFormat="false" ht="20.1" hidden="false" customHeight="true" outlineLevel="0" collapsed="false">
      <c r="A383" s="874"/>
      <c r="D383" s="812"/>
      <c r="E383" s="812" t="s">
        <v>1241</v>
      </c>
      <c r="F383" s="812"/>
      <c r="G383" s="875" t="e">
        <f aca="false">IF(LARGE(D265:D309,1)&gt;LARGE(C216:C245,1),LARGE(D265:D309,1),LARGE(C216:C245,1))/(B24-B27)</f>
        <v>#VALUE!</v>
      </c>
      <c r="H383" s="19" t="s">
        <v>1242</v>
      </c>
      <c r="I383" s="19"/>
      <c r="J383" s="667"/>
      <c r="K383" s="876"/>
      <c r="L383" s="877"/>
      <c r="Q383" s="55"/>
      <c r="R383" s="55"/>
    </row>
    <row r="384" customFormat="false" ht="20.1" hidden="false" customHeight="true" outlineLevel="0" collapsed="false">
      <c r="A384" s="874"/>
      <c r="B384" s="19"/>
      <c r="D384" s="812"/>
      <c r="E384" s="812" t="s">
        <v>1243</v>
      </c>
      <c r="F384" s="812"/>
      <c r="G384" s="875" t="e">
        <f aca="false">IF(LARGE(D265:D309,1)&gt;LARGE(C216:C245,1),MAX(LARGE(D265:D309,2),LARGE(C216:C245,1)),MAX(LARGE(D265:D309,1),LARGE(C216:C245,2)))/(B24-B27)</f>
        <v>#VALUE!</v>
      </c>
      <c r="H384" s="19"/>
      <c r="I384" s="19"/>
      <c r="J384" s="667"/>
      <c r="K384" s="876"/>
      <c r="L384" s="877"/>
      <c r="Q384" s="55"/>
      <c r="R384" s="55"/>
    </row>
    <row r="385" customFormat="false" ht="20.1" hidden="false" customHeight="true" outlineLevel="0" collapsed="false">
      <c r="A385" s="874"/>
      <c r="B385" s="19"/>
      <c r="C385" s="19"/>
      <c r="D385" s="19"/>
      <c r="E385" s="19"/>
      <c r="F385" s="451" t="s">
        <v>1244</v>
      </c>
      <c r="G385" s="878" t="e">
        <f aca="false">(G383+G384)</f>
        <v>#VALUE!</v>
      </c>
      <c r="H385" s="19"/>
      <c r="I385" s="19"/>
      <c r="J385" s="667"/>
      <c r="K385" s="876"/>
      <c r="Q385" s="55"/>
      <c r="R385" s="55"/>
    </row>
    <row r="386" customFormat="false" ht="19.5" hidden="false" customHeight="true" outlineLevel="0" collapsed="false">
      <c r="A386" s="0"/>
      <c r="B386" s="0"/>
      <c r="C386" s="667"/>
      <c r="D386" s="667"/>
      <c r="E386" s="879"/>
      <c r="F386" s="880" t="s">
        <v>1245</v>
      </c>
      <c r="G386" s="880"/>
      <c r="H386" s="880"/>
      <c r="I386" s="881"/>
      <c r="J386" s="667"/>
      <c r="K386" s="876"/>
      <c r="Q386" s="55"/>
      <c r="R386" s="55"/>
    </row>
    <row r="387" customFormat="false" ht="29.25" hidden="false" customHeight="true" outlineLevel="0" collapsed="false">
      <c r="A387" s="882"/>
      <c r="B387" s="19"/>
      <c r="C387" s="667"/>
      <c r="D387" s="667"/>
      <c r="E387" s="19"/>
      <c r="F387" s="883" t="s">
        <v>1246</v>
      </c>
      <c r="G387" s="884" t="s">
        <v>1247</v>
      </c>
      <c r="H387" s="885" t="s">
        <v>1248</v>
      </c>
      <c r="I387" s="0"/>
      <c r="K387" s="877"/>
      <c r="Q387" s="55"/>
      <c r="R387" s="55"/>
    </row>
    <row r="388" customFormat="false" ht="47.25" hidden="false" customHeight="true" outlineLevel="0" collapsed="false">
      <c r="D388" s="886" t="s">
        <v>1249</v>
      </c>
      <c r="E388" s="887" t="s">
        <v>1250</v>
      </c>
      <c r="F388" s="888" t="n">
        <v>0</v>
      </c>
      <c r="G388" s="889" t="n">
        <v>1</v>
      </c>
      <c r="H388" s="890"/>
      <c r="I388" s="667"/>
      <c r="K388" s="877"/>
      <c r="Q388" s="55"/>
      <c r="R388" s="55"/>
    </row>
    <row r="389" customFormat="false" ht="33" hidden="false" customHeight="true" outlineLevel="0" collapsed="false">
      <c r="A389" s="891" t="s">
        <v>1251</v>
      </c>
      <c r="B389" s="879" t="s">
        <v>1252</v>
      </c>
      <c r="C389" s="892" t="n">
        <v>4</v>
      </c>
      <c r="D389" s="886"/>
      <c r="E389" s="893" t="s">
        <v>1253</v>
      </c>
      <c r="F389" s="888"/>
      <c r="G389" s="894" t="n">
        <v>2</v>
      </c>
      <c r="H389" s="895" t="n">
        <v>3</v>
      </c>
      <c r="I389" s="0"/>
      <c r="K389" s="876"/>
      <c r="Q389" s="55"/>
      <c r="R389" s="55"/>
    </row>
    <row r="390" customFormat="false" ht="48" hidden="false" customHeight="true" outlineLevel="0" collapsed="false">
      <c r="A390" s="891" t="s">
        <v>1254</v>
      </c>
      <c r="B390" s="879" t="s">
        <v>1255</v>
      </c>
      <c r="C390" s="892" t="n">
        <v>0</v>
      </c>
      <c r="D390" s="886"/>
      <c r="E390" s="893" t="s">
        <v>1256</v>
      </c>
      <c r="F390" s="888"/>
      <c r="G390" s="894" t="n">
        <v>3</v>
      </c>
      <c r="H390" s="895" t="n">
        <v>4</v>
      </c>
      <c r="K390" s="877"/>
      <c r="L390" s="0"/>
      <c r="Q390" s="55"/>
      <c r="R390" s="55"/>
    </row>
    <row r="391" customFormat="false" ht="33" hidden="false" customHeight="true" outlineLevel="0" collapsed="false">
      <c r="A391" s="896" t="s">
        <v>1249</v>
      </c>
      <c r="B391" s="896"/>
      <c r="C391" s="897" t="n">
        <f aca="false">SUM(C389:C390)</f>
        <v>4</v>
      </c>
      <c r="D391" s="886"/>
      <c r="E391" s="898" t="s">
        <v>1257</v>
      </c>
      <c r="F391" s="888"/>
      <c r="G391" s="899" t="n">
        <v>4</v>
      </c>
      <c r="H391" s="900" t="n">
        <v>5</v>
      </c>
      <c r="I391" s="901" t="s">
        <v>1258</v>
      </c>
      <c r="J391" s="902" t="n">
        <v>3</v>
      </c>
      <c r="K391" s="877"/>
      <c r="L391" s="0"/>
      <c r="Q391" s="55"/>
      <c r="R391" s="55"/>
    </row>
    <row r="392" customFormat="false" ht="19.5" hidden="false" customHeight="true" outlineLevel="0" collapsed="false">
      <c r="A392" s="409"/>
      <c r="B392" s="0"/>
      <c r="C392" s="0"/>
      <c r="D392" s="667"/>
      <c r="E392" s="667"/>
      <c r="F392" s="667"/>
      <c r="G392" s="667"/>
      <c r="K392" s="903"/>
      <c r="L392" s="0"/>
      <c r="Q392" s="55"/>
      <c r="R392" s="55"/>
    </row>
    <row r="393" customFormat="false" ht="19.5" hidden="false" customHeight="true" outlineLevel="0" collapsed="false">
      <c r="A393" s="409"/>
      <c r="B393" s="0"/>
      <c r="C393" s="0"/>
      <c r="D393" s="667"/>
      <c r="E393" s="667"/>
      <c r="F393" s="667"/>
      <c r="G393" s="667"/>
      <c r="K393" s="903"/>
      <c r="L393" s="0"/>
      <c r="Q393" s="55"/>
      <c r="R393" s="55"/>
    </row>
    <row r="394" customFormat="false" ht="19.5" hidden="false" customHeight="true" outlineLevel="0" collapsed="false">
      <c r="A394" s="409"/>
      <c r="B394" s="904" t="s">
        <v>100</v>
      </c>
      <c r="C394" s="904"/>
      <c r="D394" s="905" t="s">
        <v>472</v>
      </c>
      <c r="E394" s="905"/>
      <c r="F394" s="905"/>
      <c r="G394" s="905"/>
      <c r="H394" s="906" t="s">
        <v>1259</v>
      </c>
      <c r="K394" s="903"/>
      <c r="L394" s="0" t="s">
        <v>1260</v>
      </c>
      <c r="Q394" s="55"/>
      <c r="R394" s="55"/>
    </row>
    <row r="395" customFormat="false" ht="19.5" hidden="false" customHeight="true" outlineLevel="0" collapsed="false">
      <c r="A395" s="409"/>
      <c r="B395" s="0"/>
      <c r="C395" s="0"/>
      <c r="D395" s="667"/>
      <c r="E395" s="667"/>
      <c r="F395" s="667"/>
      <c r="G395" s="850" t="s">
        <v>1261</v>
      </c>
      <c r="H395" s="907"/>
      <c r="K395" s="903"/>
      <c r="L395" s="0"/>
      <c r="Q395" s="55"/>
      <c r="R395" s="55"/>
    </row>
    <row r="396" customFormat="false" ht="19.5" hidden="false" customHeight="true" outlineLevel="0" collapsed="false">
      <c r="A396" s="409"/>
      <c r="B396" s="0"/>
      <c r="C396" s="0"/>
      <c r="D396" s="905" t="s">
        <v>473</v>
      </c>
      <c r="E396" s="905"/>
      <c r="F396" s="905"/>
      <c r="G396" s="905"/>
      <c r="H396" s="906" t="s">
        <v>254</v>
      </c>
      <c r="K396" s="903"/>
      <c r="L396" s="0"/>
      <c r="Q396" s="55"/>
      <c r="R396" s="55"/>
    </row>
    <row r="397" customFormat="false" ht="19.5" hidden="false" customHeight="true" outlineLevel="0" collapsed="false">
      <c r="A397" s="409"/>
      <c r="B397" s="0"/>
      <c r="C397" s="0"/>
      <c r="D397" s="451"/>
      <c r="E397" s="451"/>
      <c r="F397" s="451"/>
      <c r="G397" s="850" t="s">
        <v>1261</v>
      </c>
      <c r="K397" s="903"/>
      <c r="L397" s="0"/>
      <c r="Q397" s="55"/>
      <c r="R397" s="55"/>
    </row>
    <row r="398" customFormat="false" ht="19.5" hidden="false" customHeight="true" outlineLevel="0" collapsed="false">
      <c r="A398" s="409"/>
      <c r="B398" s="0"/>
      <c r="C398" s="0"/>
      <c r="D398" s="905" t="s">
        <v>1262</v>
      </c>
      <c r="E398" s="905"/>
      <c r="F398" s="905"/>
      <c r="G398" s="905"/>
      <c r="H398" s="906" t="s">
        <v>254</v>
      </c>
      <c r="K398" s="903"/>
      <c r="L398" s="0"/>
      <c r="Q398" s="55"/>
      <c r="R398" s="55"/>
    </row>
    <row r="399" customFormat="false" ht="19.5" hidden="false" customHeight="true" outlineLevel="0" collapsed="false">
      <c r="A399" s="409"/>
      <c r="B399" s="0"/>
      <c r="C399" s="0"/>
      <c r="D399" s="451"/>
      <c r="E399" s="908" t="s">
        <v>1263</v>
      </c>
      <c r="F399" s="908"/>
      <c r="G399" s="908"/>
      <c r="K399" s="903"/>
      <c r="L399" s="0"/>
      <c r="Q399" s="55"/>
      <c r="R399" s="55"/>
    </row>
    <row r="400" customFormat="false" ht="19.5" hidden="false" customHeight="true" outlineLevel="0" collapsed="false">
      <c r="A400" s="409"/>
      <c r="B400" s="0"/>
      <c r="C400" s="0"/>
      <c r="D400" s="451"/>
      <c r="E400" s="908"/>
      <c r="F400" s="908"/>
      <c r="G400" s="850" t="s">
        <v>1261</v>
      </c>
      <c r="K400" s="903"/>
      <c r="L400" s="0"/>
      <c r="Q400" s="55"/>
      <c r="R400" s="55"/>
    </row>
    <row r="401" customFormat="false" ht="19.5" hidden="false" customHeight="true" outlineLevel="0" collapsed="false">
      <c r="A401" s="409"/>
      <c r="B401" s="0"/>
      <c r="C401" s="0"/>
      <c r="D401" s="667"/>
      <c r="E401" s="667"/>
      <c r="F401" s="667"/>
      <c r="G401" s="667"/>
      <c r="K401" s="903"/>
      <c r="L401" s="0"/>
      <c r="Q401" s="55"/>
      <c r="R401" s="55"/>
    </row>
    <row r="402" customFormat="false" ht="20.1" hidden="false" customHeight="true" outlineLevel="0" collapsed="false">
      <c r="A402" s="909" t="s">
        <v>1264</v>
      </c>
      <c r="B402" s="909"/>
      <c r="C402" s="909"/>
      <c r="D402" s="910" t="n">
        <f aca="false">B27/B24</f>
        <v>0.012987012987013</v>
      </c>
      <c r="E402" s="0"/>
      <c r="F402" s="409"/>
      <c r="G402" s="412"/>
      <c r="H402" s="412"/>
      <c r="I402" s="411"/>
      <c r="J402" s="412"/>
      <c r="K402" s="0"/>
      <c r="L402" s="0"/>
      <c r="Q402" s="55"/>
      <c r="R402" s="55"/>
    </row>
    <row r="403" customFormat="false" ht="20.1" hidden="false" customHeight="true" outlineLevel="0" collapsed="false">
      <c r="A403" s="408"/>
      <c r="B403" s="408"/>
      <c r="C403" s="409"/>
      <c r="D403" s="409"/>
      <c r="E403" s="409"/>
      <c r="F403" s="409"/>
      <c r="G403" s="412"/>
      <c r="H403" s="412"/>
      <c r="I403" s="411"/>
      <c r="J403" s="412"/>
      <c r="K403" s="866"/>
      <c r="L403" s="868"/>
      <c r="Q403" s="55"/>
      <c r="R403" s="55"/>
    </row>
    <row r="404" customFormat="false" ht="20.1" hidden="false" customHeight="true" outlineLevel="0" collapsed="false">
      <c r="A404" s="408"/>
      <c r="B404" s="408"/>
      <c r="C404" s="409"/>
      <c r="D404" s="409"/>
      <c r="E404" s="409"/>
      <c r="F404" s="409"/>
      <c r="G404" s="412"/>
      <c r="H404" s="412"/>
      <c r="I404" s="411"/>
      <c r="J404" s="412"/>
      <c r="K404" s="866"/>
      <c r="L404" s="868"/>
      <c r="Q404" s="55"/>
      <c r="R404" s="55"/>
    </row>
    <row r="405" customFormat="false" ht="20.1" hidden="false" customHeight="true" outlineLevel="0" collapsed="false">
      <c r="A405" s="869" t="s">
        <v>1265</v>
      </c>
      <c r="B405" s="869"/>
      <c r="C405" s="869"/>
      <c r="D405" s="869"/>
      <c r="E405" s="869"/>
      <c r="F405" s="869"/>
      <c r="G405" s="869"/>
      <c r="H405" s="53"/>
      <c r="I405" s="53"/>
      <c r="J405" s="53"/>
      <c r="K405" s="870"/>
      <c r="L405" s="871" t="s">
        <v>1266</v>
      </c>
      <c r="Q405" s="55"/>
      <c r="R405" s="55"/>
    </row>
    <row r="406" customFormat="false" ht="20.1" hidden="false" customHeight="true" outlineLevel="0" collapsed="false">
      <c r="A406" s="911"/>
      <c r="B406" s="911"/>
      <c r="C406" s="911"/>
      <c r="D406" s="911"/>
      <c r="E406" s="911"/>
      <c r="F406" s="912"/>
      <c r="G406" s="57"/>
      <c r="H406" s="913"/>
      <c r="I406" s="912"/>
      <c r="J406" s="914"/>
      <c r="K406" s="903"/>
      <c r="L406" s="877"/>
      <c r="Q406" s="55"/>
      <c r="R406" s="55"/>
    </row>
    <row r="407" customFormat="false" ht="26.25" hidden="false" customHeight="true" outlineLevel="0" collapsed="false">
      <c r="A407" s="915" t="s">
        <v>1267</v>
      </c>
      <c r="B407" s="915"/>
      <c r="C407" s="915"/>
      <c r="D407" s="915"/>
      <c r="E407" s="915"/>
      <c r="F407" s="915"/>
      <c r="G407" s="915"/>
      <c r="H407" s="915"/>
      <c r="I407" s="915"/>
      <c r="J407" s="916" t="s">
        <v>254</v>
      </c>
      <c r="K407" s="0"/>
      <c r="L407" s="0" t="s">
        <v>1268</v>
      </c>
      <c r="Q407" s="55"/>
      <c r="R407" s="55"/>
    </row>
    <row r="408" customFormat="false" ht="20.1" hidden="false" customHeight="true" outlineLevel="0" collapsed="false">
      <c r="A408" s="917" t="s">
        <v>454</v>
      </c>
      <c r="B408" s="918"/>
      <c r="C408" s="918"/>
      <c r="D408" s="879"/>
      <c r="E408" s="879"/>
      <c r="F408" s="912"/>
      <c r="G408" s="57"/>
      <c r="H408" s="913"/>
      <c r="I408" s="912"/>
      <c r="J408" s="914"/>
      <c r="K408" s="0"/>
      <c r="L408" s="0"/>
      <c r="Q408" s="55"/>
      <c r="R408" s="55"/>
    </row>
    <row r="409" customFormat="false" ht="20.1" hidden="false" customHeight="true" outlineLevel="0" collapsed="false">
      <c r="A409" s="0"/>
      <c r="B409" s="0"/>
      <c r="C409" s="0"/>
      <c r="D409" s="879"/>
      <c r="E409" s="879"/>
      <c r="F409" s="912"/>
      <c r="G409" s="57"/>
      <c r="H409" s="913"/>
      <c r="I409" s="912"/>
      <c r="J409" s="914"/>
      <c r="K409" s="0"/>
      <c r="L409" s="0"/>
      <c r="Q409" s="55"/>
      <c r="R409" s="55"/>
    </row>
    <row r="410" customFormat="false" ht="20.1" hidden="false" customHeight="true" outlineLevel="0" collapsed="false">
      <c r="Q410" s="55"/>
      <c r="R410" s="55"/>
    </row>
    <row r="411" customFormat="false" ht="20.1" hidden="false" customHeight="true" outlineLevel="0" collapsed="false">
      <c r="A411" s="55"/>
      <c r="B411" s="904" t="s">
        <v>1269</v>
      </c>
      <c r="C411" s="904"/>
      <c r="D411" s="429"/>
      <c r="E411" s="55"/>
      <c r="F411" s="537"/>
      <c r="G411" s="537"/>
      <c r="H411" s="537"/>
      <c r="I411" s="451"/>
      <c r="Q411" s="55"/>
      <c r="R411" s="55"/>
    </row>
    <row r="412" customFormat="false" ht="32.25" hidden="false" customHeight="true" outlineLevel="0" collapsed="false">
      <c r="A412" s="919" t="s">
        <v>1270</v>
      </c>
      <c r="B412" s="919"/>
      <c r="C412" s="919"/>
      <c r="D412" s="919"/>
      <c r="E412" s="919"/>
      <c r="F412" s="906" t="s">
        <v>253</v>
      </c>
      <c r="G412" s="0"/>
      <c r="H412" s="428"/>
      <c r="I412" s="0"/>
      <c r="Q412" s="55"/>
      <c r="R412" s="55"/>
    </row>
    <row r="413" customFormat="false" ht="20.1" hidden="false" customHeight="true" outlineLevel="0" collapsed="false">
      <c r="A413" s="920" t="s">
        <v>1271</v>
      </c>
      <c r="B413" s="445"/>
      <c r="C413" s="445"/>
      <c r="D413" s="921"/>
      <c r="E413" s="921"/>
      <c r="F413" s="921"/>
      <c r="G413" s="921"/>
      <c r="H413" s="921"/>
      <c r="I413" s="922"/>
      <c r="Q413" s="55"/>
      <c r="R413" s="55"/>
    </row>
    <row r="414" customFormat="false" ht="20.1" hidden="false" customHeight="true" outlineLevel="0" collapsed="false">
      <c r="A414" s="55"/>
      <c r="B414" s="620"/>
      <c r="C414" s="0"/>
      <c r="D414" s="429"/>
      <c r="E414" s="55"/>
      <c r="F414" s="537"/>
      <c r="G414" s="537"/>
      <c r="H414" s="537"/>
      <c r="I414" s="451"/>
      <c r="J414" s="451"/>
      <c r="K414" s="451"/>
      <c r="L414" s="451"/>
      <c r="Q414" s="55"/>
      <c r="R414" s="55"/>
    </row>
    <row r="415" customFormat="false" ht="20.1" hidden="false" customHeight="true" outlineLevel="0" collapsed="false">
      <c r="A415" s="14"/>
      <c r="B415" s="918"/>
      <c r="C415" s="918"/>
      <c r="D415" s="923" t="s">
        <v>1272</v>
      </c>
      <c r="E415" s="923"/>
      <c r="F415" s="14"/>
      <c r="H415" s="55"/>
      <c r="I415" s="55"/>
      <c r="J415" s="667"/>
      <c r="K415" s="0"/>
      <c r="L415" s="0"/>
      <c r="Q415" s="55"/>
      <c r="R415" s="55"/>
    </row>
    <row r="416" customFormat="false" ht="19.5" hidden="false" customHeight="true" outlineLevel="0" collapsed="false">
      <c r="A416" s="14"/>
      <c r="B416" s="0"/>
      <c r="C416" s="0"/>
      <c r="D416" s="923"/>
      <c r="E416" s="923"/>
      <c r="J416" s="667"/>
      <c r="K416" s="0"/>
      <c r="L416" s="0"/>
      <c r="Q416" s="55"/>
      <c r="R416" s="55"/>
    </row>
    <row r="417" customFormat="false" ht="19.5" hidden="false" customHeight="true" outlineLevel="0" collapsed="false">
      <c r="A417" s="55"/>
      <c r="B417" s="924" t="s">
        <v>1273</v>
      </c>
      <c r="C417" s="924"/>
      <c r="D417" s="924" t="s">
        <v>1274</v>
      </c>
      <c r="E417" s="924" t="s">
        <v>1275</v>
      </c>
      <c r="J417" s="667"/>
      <c r="K417" s="0"/>
      <c r="L417" s="0"/>
      <c r="Q417" s="55"/>
      <c r="R417" s="55"/>
    </row>
    <row r="418" customFormat="false" ht="20.1" hidden="false" customHeight="true" outlineLevel="0" collapsed="false">
      <c r="A418" s="0"/>
      <c r="B418" s="925" t="s">
        <v>1276</v>
      </c>
      <c r="C418" s="925"/>
      <c r="D418" s="619" t="n">
        <f aca="false">IF(B418=0,0,1)</f>
        <v>1</v>
      </c>
      <c r="E418" s="926" t="n">
        <v>33</v>
      </c>
      <c r="G418" s="927"/>
      <c r="H418" s="927"/>
      <c r="J418" s="667"/>
      <c r="K418" s="0"/>
      <c r="L418" s="0"/>
      <c r="Q418" s="55"/>
      <c r="R418" s="55"/>
    </row>
    <row r="419" customFormat="false" ht="20.1" hidden="false" customHeight="true" outlineLevel="0" collapsed="false">
      <c r="A419" s="0"/>
      <c r="B419" s="925"/>
      <c r="C419" s="925"/>
      <c r="D419" s="619" t="n">
        <f aca="false">IF(B419=0,0,1)</f>
        <v>0</v>
      </c>
      <c r="E419" s="926"/>
      <c r="F419" s="0"/>
      <c r="G419" s="0"/>
      <c r="H419" s="0"/>
      <c r="I419" s="0"/>
      <c r="J419" s="19"/>
      <c r="K419" s="0"/>
      <c r="L419" s="0"/>
      <c r="Q419" s="55"/>
      <c r="R419" s="55"/>
    </row>
    <row r="420" customFormat="false" ht="19.5" hidden="false" customHeight="true" outlineLevel="0" collapsed="false">
      <c r="A420" s="0"/>
      <c r="B420" s="925"/>
      <c r="C420" s="925"/>
      <c r="D420" s="619" t="n">
        <f aca="false">IF(B420=0,0,1)</f>
        <v>0</v>
      </c>
      <c r="E420" s="926"/>
      <c r="J420" s="0"/>
      <c r="K420" s="0"/>
      <c r="L420" s="0"/>
      <c r="Q420" s="55"/>
      <c r="R420" s="55"/>
    </row>
    <row r="421" customFormat="false" ht="20.1" hidden="false" customHeight="true" outlineLevel="0" collapsed="false">
      <c r="A421" s="0"/>
      <c r="B421" s="925"/>
      <c r="C421" s="925"/>
      <c r="D421" s="619" t="n">
        <f aca="false">IF(B421=0,0,1)</f>
        <v>0</v>
      </c>
      <c r="E421" s="926"/>
      <c r="F421" s="55"/>
      <c r="G421" s="0"/>
      <c r="H421" s="928"/>
      <c r="I421" s="928"/>
      <c r="J421" s="0"/>
      <c r="K421" s="903"/>
      <c r="L421" s="877"/>
      <c r="Q421" s="55"/>
      <c r="R421" s="55"/>
    </row>
    <row r="422" customFormat="false" ht="20.1" hidden="false" customHeight="true" outlineLevel="0" collapsed="false">
      <c r="A422" s="0"/>
      <c r="B422" s="925"/>
      <c r="C422" s="925"/>
      <c r="D422" s="619" t="n">
        <f aca="false">IF(B422=0,0,1)</f>
        <v>0</v>
      </c>
      <c r="E422" s="926"/>
      <c r="F422" s="55"/>
      <c r="G422" s="0"/>
      <c r="H422" s="928"/>
      <c r="I422" s="928"/>
      <c r="J422" s="0"/>
      <c r="K422" s="903"/>
      <c r="L422" s="877"/>
      <c r="Q422" s="55"/>
      <c r="R422" s="55"/>
    </row>
    <row r="423" customFormat="false" ht="20.1" hidden="false" customHeight="true" outlineLevel="0" collapsed="false">
      <c r="A423" s="0"/>
      <c r="B423" s="925"/>
      <c r="C423" s="925"/>
      <c r="D423" s="619" t="n">
        <f aca="false">IF(B423=0,0,1)</f>
        <v>0</v>
      </c>
      <c r="E423" s="926"/>
      <c r="F423" s="55"/>
      <c r="G423" s="0"/>
      <c r="H423" s="12"/>
      <c r="I423" s="12"/>
      <c r="K423" s="459"/>
      <c r="L423" s="459"/>
      <c r="Q423" s="55"/>
      <c r="R423" s="55"/>
    </row>
    <row r="424" customFormat="false" ht="20.1" hidden="false" customHeight="true" outlineLevel="0" collapsed="false">
      <c r="A424" s="0"/>
      <c r="B424" s="925"/>
      <c r="C424" s="925"/>
      <c r="D424" s="619" t="n">
        <f aca="false">IF(B424=0,0,1)</f>
        <v>0</v>
      </c>
      <c r="E424" s="926"/>
      <c r="F424" s="55"/>
      <c r="G424" s="0"/>
      <c r="H424" s="12"/>
      <c r="I424" s="12"/>
      <c r="K424" s="459"/>
      <c r="L424" s="459"/>
      <c r="Q424" s="55"/>
      <c r="R424" s="55"/>
    </row>
    <row r="425" customFormat="false" ht="20.1" hidden="false" customHeight="true" outlineLevel="0" collapsed="false">
      <c r="A425" s="0"/>
      <c r="B425" s="0"/>
      <c r="C425" s="15" t="s">
        <v>1233</v>
      </c>
      <c r="D425" s="619" t="n">
        <f aca="false">SUM(D418:D423)</f>
        <v>1</v>
      </c>
      <c r="E425" s="619" t="n">
        <f aca="false">SUM(E418:E424)</f>
        <v>33</v>
      </c>
      <c r="F425" s="55"/>
      <c r="G425" s="929"/>
      <c r="H425" s="12"/>
      <c r="I425" s="12"/>
      <c r="J425" s="0"/>
      <c r="K425" s="459"/>
      <c r="L425" s="459"/>
      <c r="Q425" s="55"/>
      <c r="R425" s="55"/>
    </row>
    <row r="426" customFormat="false" ht="20.1" hidden="false" customHeight="true" outlineLevel="0" collapsed="false">
      <c r="A426" s="0"/>
      <c r="B426" s="0"/>
      <c r="C426" s="15"/>
      <c r="D426" s="55"/>
      <c r="E426" s="55"/>
      <c r="F426" s="55"/>
      <c r="G426" s="929"/>
      <c r="H426" s="12"/>
      <c r="I426" s="12"/>
      <c r="J426" s="0"/>
      <c r="K426" s="459"/>
      <c r="L426" s="459"/>
      <c r="Q426" s="55"/>
      <c r="R426" s="55"/>
    </row>
    <row r="427" customFormat="false" ht="20.1" hidden="false" customHeight="true" outlineLevel="0" collapsed="false">
      <c r="A427" s="0"/>
      <c r="B427" s="19"/>
      <c r="C427" s="451" t="s">
        <v>1277</v>
      </c>
      <c r="D427" s="451"/>
      <c r="E427" s="930" t="s">
        <v>254</v>
      </c>
      <c r="F427" s="55"/>
      <c r="G427" s="929"/>
      <c r="H427" s="12"/>
      <c r="I427" s="12"/>
      <c r="J427" s="0"/>
      <c r="K427" s="459"/>
      <c r="L427" s="459"/>
      <c r="Q427" s="55"/>
      <c r="R427" s="55"/>
    </row>
    <row r="428" customFormat="false" ht="20.1" hidden="false" customHeight="true" outlineLevel="0" collapsed="false">
      <c r="A428" s="931"/>
      <c r="B428" s="932" t="s">
        <v>1278</v>
      </c>
      <c r="C428" s="932"/>
      <c r="D428" s="932"/>
      <c r="E428" s="933" t="s">
        <v>254</v>
      </c>
      <c r="F428" s="55"/>
      <c r="G428" s="929"/>
      <c r="H428" s="12"/>
      <c r="I428" s="12"/>
      <c r="J428" s="0"/>
      <c r="K428" s="459"/>
      <c r="L428" s="459"/>
      <c r="Q428" s="55"/>
      <c r="R428" s="55"/>
    </row>
    <row r="429" customFormat="false" ht="20.1" hidden="false" customHeight="true" outlineLevel="0" collapsed="false">
      <c r="A429" s="0"/>
      <c r="B429" s="0"/>
      <c r="C429" s="15"/>
      <c r="D429" s="55"/>
      <c r="E429" s="55"/>
      <c r="F429" s="55"/>
      <c r="G429" s="929"/>
      <c r="H429" s="12"/>
      <c r="I429" s="12"/>
      <c r="J429" s="0"/>
      <c r="K429" s="459"/>
      <c r="L429" s="459"/>
      <c r="Q429" s="55"/>
      <c r="R429" s="55"/>
    </row>
    <row r="430" customFormat="false" ht="20.1" hidden="false" customHeight="true" outlineLevel="0" collapsed="false">
      <c r="A430" s="452" t="s">
        <v>1279</v>
      </c>
      <c r="B430" s="452"/>
      <c r="C430" s="452"/>
      <c r="D430" s="452"/>
      <c r="E430" s="934" t="e">
        <f aca="false">(MAX(E418:E424)+LARGE(E418:E424,2))/E425</f>
        <v>#VALUE!</v>
      </c>
      <c r="F430" s="55"/>
      <c r="G430" s="929"/>
      <c r="H430" s="12"/>
      <c r="I430" s="12"/>
      <c r="J430" s="0"/>
      <c r="K430" s="459"/>
      <c r="L430" s="459"/>
      <c r="Q430" s="55"/>
      <c r="R430" s="55"/>
    </row>
    <row r="431" customFormat="false" ht="20.1" hidden="false" customHeight="true" outlineLevel="0" collapsed="false">
      <c r="A431" s="0"/>
      <c r="B431" s="0"/>
      <c r="C431" s="0"/>
      <c r="D431" s="935"/>
      <c r="E431" s="935"/>
      <c r="F431" s="55"/>
      <c r="G431" s="929"/>
      <c r="H431" s="12"/>
      <c r="I431" s="12"/>
      <c r="K431" s="459"/>
      <c r="L431" s="459"/>
      <c r="Q431" s="55"/>
      <c r="R431" s="55"/>
    </row>
    <row r="432" customFormat="false" ht="20.1" hidden="false" customHeight="true" outlineLevel="0" collapsed="false">
      <c r="A432" s="0"/>
      <c r="B432" s="936"/>
      <c r="C432" s="937" t="s">
        <v>1280</v>
      </c>
      <c r="D432" s="937"/>
      <c r="E432" s="937"/>
      <c r="F432" s="937"/>
      <c r="G432" s="929"/>
      <c r="H432" s="12"/>
      <c r="I432" s="12"/>
      <c r="K432" s="459"/>
      <c r="L432" s="459"/>
      <c r="Q432" s="55"/>
      <c r="R432" s="55"/>
    </row>
    <row r="433" customFormat="false" ht="48" hidden="false" customHeight="true" outlineLevel="0" collapsed="false">
      <c r="A433" s="938" t="s">
        <v>1281</v>
      </c>
      <c r="B433" s="939" t="s">
        <v>1282</v>
      </c>
      <c r="C433" s="940"/>
      <c r="D433" s="941" t="s">
        <v>1283</v>
      </c>
      <c r="E433" s="941"/>
      <c r="F433" s="942" t="s">
        <v>1248</v>
      </c>
      <c r="G433" s="929"/>
      <c r="H433" s="12"/>
      <c r="I433" s="12"/>
      <c r="K433" s="459"/>
      <c r="L433" s="459"/>
      <c r="Q433" s="55"/>
      <c r="R433" s="55"/>
    </row>
    <row r="434" customFormat="false" ht="20.1" hidden="false" customHeight="true" outlineLevel="0" collapsed="false">
      <c r="A434" s="943" t="n">
        <f aca="false">D425+IF(E427="oui",2,0)+IF(E428="oui",2,0)</f>
        <v>1</v>
      </c>
      <c r="B434" s="939"/>
      <c r="C434" s="944" t="s">
        <v>1284</v>
      </c>
      <c r="D434" s="945" t="n">
        <v>0</v>
      </c>
      <c r="E434" s="945"/>
      <c r="F434" s="946" t="n">
        <v>1</v>
      </c>
      <c r="G434" s="929"/>
      <c r="H434" s="12"/>
      <c r="I434" s="12"/>
      <c r="K434" s="459"/>
      <c r="L434" s="459"/>
      <c r="Q434" s="55"/>
      <c r="R434" s="55"/>
    </row>
    <row r="435" customFormat="false" ht="20.1" hidden="false" customHeight="true" outlineLevel="0" collapsed="false">
      <c r="B435" s="939"/>
      <c r="C435" s="944" t="s">
        <v>1285</v>
      </c>
      <c r="D435" s="945" t="n">
        <v>1</v>
      </c>
      <c r="E435" s="945"/>
      <c r="F435" s="946" t="n">
        <v>2</v>
      </c>
      <c r="G435" s="929"/>
      <c r="H435" s="12"/>
      <c r="I435" s="12"/>
      <c r="K435" s="459"/>
      <c r="L435" s="459"/>
      <c r="Q435" s="55"/>
      <c r="R435" s="55"/>
    </row>
    <row r="436" customFormat="false" ht="20.1" hidden="false" customHeight="true" outlineLevel="0" collapsed="false">
      <c r="A436" s="0"/>
      <c r="B436" s="939"/>
      <c r="C436" s="947" t="s">
        <v>1286</v>
      </c>
      <c r="D436" s="948" t="n">
        <v>2</v>
      </c>
      <c r="E436" s="948"/>
      <c r="F436" s="949" t="n">
        <v>3</v>
      </c>
      <c r="G436" s="929"/>
      <c r="H436" s="12"/>
      <c r="I436" s="12"/>
      <c r="K436" s="459"/>
      <c r="L436" s="459"/>
      <c r="Q436" s="55"/>
      <c r="R436" s="55"/>
    </row>
    <row r="437" customFormat="false" ht="20.1" hidden="false" customHeight="true" outlineLevel="0" collapsed="false">
      <c r="A437" s="0"/>
      <c r="B437" s="342"/>
      <c r="C437" s="342"/>
      <c r="D437" s="342"/>
      <c r="E437" s="342"/>
      <c r="F437" s="342"/>
      <c r="G437" s="906" t="s">
        <v>1287</v>
      </c>
      <c r="H437" s="906"/>
      <c r="I437" s="950" t="n">
        <v>1</v>
      </c>
      <c r="K437" s="459"/>
      <c r="L437" s="459"/>
      <c r="Q437" s="55"/>
      <c r="R437" s="55"/>
    </row>
    <row r="438" customFormat="false" ht="20.1" hidden="false" customHeight="true" outlineLevel="0" collapsed="false">
      <c r="A438" s="0"/>
      <c r="B438" s="0"/>
      <c r="C438" s="0"/>
      <c r="D438" s="935"/>
      <c r="E438" s="935"/>
      <c r="F438" s="55"/>
      <c r="G438" s="929"/>
      <c r="H438" s="12"/>
      <c r="I438" s="12"/>
      <c r="K438" s="459"/>
      <c r="L438" s="459"/>
      <c r="Q438" s="55"/>
      <c r="R438" s="55"/>
    </row>
    <row r="439" customFormat="false" ht="19.5" hidden="false" customHeight="true" outlineLevel="0" collapsed="false">
      <c r="A439" s="0"/>
      <c r="B439" s="0"/>
      <c r="C439" s="0"/>
      <c r="D439" s="0"/>
      <c r="E439" s="55"/>
      <c r="F439" s="0"/>
      <c r="G439" s="951"/>
      <c r="H439" s="12"/>
      <c r="I439" s="12"/>
      <c r="K439" s="459"/>
      <c r="L439" s="459"/>
      <c r="Q439" s="55"/>
      <c r="R439" s="55"/>
    </row>
    <row r="440" customFormat="false" ht="19.5" hidden="false" customHeight="true" outlineLevel="0" collapsed="false">
      <c r="A440" s="0"/>
      <c r="B440" s="0"/>
      <c r="C440" s="0"/>
      <c r="D440" s="952" t="s">
        <v>1288</v>
      </c>
      <c r="E440" s="952"/>
      <c r="F440" s="0"/>
      <c r="G440" s="951"/>
      <c r="H440" s="12"/>
      <c r="I440" s="12"/>
      <c r="K440" s="459"/>
      <c r="L440" s="459"/>
      <c r="Q440" s="55"/>
      <c r="R440" s="55"/>
    </row>
    <row r="441" customFormat="false" ht="20.1" hidden="false" customHeight="true" outlineLevel="0" collapsed="false">
      <c r="A441" s="0"/>
      <c r="B441" s="0"/>
      <c r="C441" s="0"/>
      <c r="D441" s="952"/>
      <c r="E441" s="952"/>
      <c r="F441" s="0"/>
      <c r="G441" s="0"/>
      <c r="H441" s="12"/>
      <c r="I441" s="12"/>
      <c r="K441" s="459"/>
      <c r="L441" s="459"/>
      <c r="Q441" s="55"/>
      <c r="R441" s="55"/>
    </row>
    <row r="442" customFormat="false" ht="20.1" hidden="false" customHeight="true" outlineLevel="0" collapsed="false">
      <c r="A442" s="0"/>
      <c r="B442" s="953" t="s">
        <v>1289</v>
      </c>
      <c r="D442" s="954" t="n">
        <f aca="false">SUMIF(D297:D303,I443,C297:C303)</f>
        <v>0</v>
      </c>
      <c r="E442" s="953"/>
      <c r="F442" s="953" t="s">
        <v>1290</v>
      </c>
      <c r="H442" s="955"/>
      <c r="I442" s="956"/>
      <c r="K442" s="459"/>
      <c r="L442" s="459"/>
      <c r="Q442" s="55"/>
      <c r="R442" s="55"/>
    </row>
    <row r="443" customFormat="false" ht="19.5" hidden="false" customHeight="true" outlineLevel="0" collapsed="false">
      <c r="A443" s="0"/>
      <c r="B443" s="953" t="s">
        <v>1291</v>
      </c>
      <c r="D443" s="956"/>
      <c r="E443" s="955"/>
      <c r="F443" s="957" t="s">
        <v>1292</v>
      </c>
      <c r="G443" s="957"/>
      <c r="H443" s="958" t="e">
        <f aca="false">INDEX(A297:A303,MATCH(I443,D297:D303,0))</f>
        <v>#N/A</v>
      </c>
      <c r="I443" s="954" t="n">
        <f aca="false">MAX(D297:D303)</f>
        <v>0</v>
      </c>
      <c r="J443" s="12" t="s">
        <v>94</v>
      </c>
      <c r="K443" s="459"/>
      <c r="L443" s="459"/>
      <c r="Q443" s="55"/>
      <c r="R443" s="55"/>
    </row>
    <row r="444" customFormat="false" ht="20.1" hidden="false" customHeight="true" outlineLevel="0" collapsed="false">
      <c r="A444" s="0"/>
      <c r="B444" s="953" t="s">
        <v>1293</v>
      </c>
      <c r="D444" s="954" t="n">
        <f aca="false">D442+IF(D443="oui",2,0)</f>
        <v>0</v>
      </c>
      <c r="E444" s="953"/>
      <c r="F444" s="959" t="s">
        <v>1279</v>
      </c>
      <c r="G444" s="959"/>
      <c r="H444" s="959"/>
      <c r="I444" s="960" t="e">
        <f aca="false">I442/I443</f>
        <v>#DIV/0!</v>
      </c>
      <c r="K444" s="459"/>
      <c r="L444" s="459"/>
      <c r="Q444" s="55"/>
      <c r="R444" s="55"/>
    </row>
    <row r="445" customFormat="false" ht="15" hidden="false" customHeight="true" outlineLevel="0" collapsed="false">
      <c r="A445" s="0"/>
      <c r="B445" s="0"/>
      <c r="C445" s="961"/>
      <c r="D445" s="961"/>
      <c r="E445" s="962"/>
      <c r="F445" s="961"/>
      <c r="G445" s="891"/>
      <c r="H445" s="891"/>
      <c r="I445" s="12"/>
      <c r="J445" s="54"/>
      <c r="K445" s="903"/>
      <c r="L445" s="877"/>
      <c r="Q445" s="55"/>
      <c r="R445" s="55"/>
    </row>
    <row r="446" customFormat="false" ht="20.1" hidden="false" customHeight="true" outlineLevel="0" collapsed="false">
      <c r="A446" s="0"/>
      <c r="B446" s="0"/>
      <c r="C446" s="0"/>
      <c r="D446" s="0"/>
      <c r="E446" s="55"/>
      <c r="F446" s="0"/>
      <c r="G446" s="0"/>
      <c r="H446" s="0"/>
      <c r="I446" s="0"/>
      <c r="J446" s="54"/>
      <c r="K446" s="903"/>
      <c r="L446" s="877"/>
      <c r="Q446" s="55"/>
      <c r="R446" s="55"/>
    </row>
    <row r="447" customFormat="false" ht="20.1" hidden="false" customHeight="true" outlineLevel="0" collapsed="false">
      <c r="A447" s="0"/>
      <c r="B447" s="963"/>
      <c r="C447" s="964" t="s">
        <v>1280</v>
      </c>
      <c r="D447" s="964"/>
      <c r="E447" s="964"/>
      <c r="F447" s="964"/>
      <c r="G447" s="0"/>
      <c r="H447" s="0"/>
      <c r="I447" s="12"/>
      <c r="J447" s="54"/>
      <c r="K447" s="903"/>
      <c r="L447" s="877"/>
      <c r="Q447" s="55"/>
      <c r="R447" s="55"/>
    </row>
    <row r="448" customFormat="false" ht="55.5" hidden="false" customHeight="true" outlineLevel="0" collapsed="false">
      <c r="A448" s="0"/>
      <c r="B448" s="964" t="s">
        <v>1294</v>
      </c>
      <c r="C448" s="944"/>
      <c r="D448" s="941" t="s">
        <v>1283</v>
      </c>
      <c r="E448" s="941"/>
      <c r="F448" s="944" t="s">
        <v>1248</v>
      </c>
      <c r="G448" s="0"/>
      <c r="H448" s="0"/>
      <c r="I448" s="12"/>
      <c r="J448" s="54"/>
      <c r="K448" s="876"/>
      <c r="L448" s="877"/>
      <c r="Q448" s="55"/>
      <c r="R448" s="55"/>
    </row>
    <row r="449" customFormat="false" ht="20.1" hidden="false" customHeight="true" outlineLevel="0" collapsed="false">
      <c r="A449" s="0"/>
      <c r="B449" s="964"/>
      <c r="C449" s="944" t="s">
        <v>1295</v>
      </c>
      <c r="D449" s="945" t="n">
        <v>0</v>
      </c>
      <c r="E449" s="945"/>
      <c r="F449" s="965" t="n">
        <v>1</v>
      </c>
      <c r="G449" s="0"/>
      <c r="H449" s="0"/>
      <c r="I449" s="12"/>
      <c r="J449" s="54"/>
      <c r="K449" s="903"/>
      <c r="L449" s="877"/>
      <c r="Q449" s="55"/>
      <c r="R449" s="55"/>
    </row>
    <row r="450" customFormat="false" ht="20.1" hidden="false" customHeight="true" outlineLevel="0" collapsed="false">
      <c r="A450" s="0"/>
      <c r="B450" s="964"/>
      <c r="C450" s="944" t="s">
        <v>1296</v>
      </c>
      <c r="D450" s="945" t="n">
        <v>1</v>
      </c>
      <c r="E450" s="945"/>
      <c r="F450" s="965" t="n">
        <v>2</v>
      </c>
      <c r="G450" s="0"/>
      <c r="H450" s="0"/>
      <c r="I450" s="12"/>
      <c r="J450" s="54"/>
      <c r="K450" s="903"/>
      <c r="L450" s="877"/>
      <c r="Q450" s="55"/>
      <c r="R450" s="55"/>
    </row>
    <row r="451" customFormat="false" ht="20.1" hidden="false" customHeight="true" outlineLevel="0" collapsed="false">
      <c r="A451" s="0"/>
      <c r="B451" s="964"/>
      <c r="C451" s="944" t="s">
        <v>1297</v>
      </c>
      <c r="D451" s="945" t="n">
        <v>2</v>
      </c>
      <c r="E451" s="945"/>
      <c r="F451" s="965" t="n">
        <v>3</v>
      </c>
      <c r="G451" s="0"/>
      <c r="H451" s="0"/>
      <c r="I451" s="12"/>
      <c r="J451" s="54"/>
      <c r="K451" s="903"/>
      <c r="L451" s="877"/>
      <c r="Q451" s="55"/>
      <c r="R451" s="55"/>
    </row>
    <row r="452" customFormat="false" ht="20.1" hidden="false" customHeight="true" outlineLevel="0" collapsed="false">
      <c r="A452" s="0"/>
      <c r="B452" s="342"/>
      <c r="C452" s="342"/>
      <c r="D452" s="342"/>
      <c r="E452" s="342"/>
      <c r="F452" s="342"/>
      <c r="G452" s="966" t="s">
        <v>1298</v>
      </c>
      <c r="H452" s="966"/>
      <c r="I452" s="967"/>
      <c r="J452" s="54"/>
      <c r="K452" s="903"/>
      <c r="L452" s="877"/>
      <c r="Q452" s="55"/>
      <c r="R452" s="55"/>
    </row>
    <row r="453" customFormat="false" ht="20.1" hidden="false" customHeight="true" outlineLevel="0" collapsed="false">
      <c r="A453" s="0"/>
      <c r="B453" s="0"/>
      <c r="C453" s="0"/>
      <c r="D453" s="0"/>
      <c r="E453" s="55"/>
      <c r="F453" s="0"/>
      <c r="G453" s="0"/>
      <c r="H453" s="0"/>
      <c r="I453" s="12"/>
      <c r="J453" s="54"/>
      <c r="K453" s="903"/>
      <c r="L453" s="877"/>
      <c r="Q453" s="55"/>
      <c r="R453" s="55"/>
    </row>
    <row r="454" customFormat="false" ht="20.1" hidden="false" customHeight="true" outlineLevel="0" collapsed="false">
      <c r="A454" s="0"/>
      <c r="B454" s="0"/>
      <c r="C454" s="0"/>
      <c r="D454" s="0"/>
      <c r="E454" s="55"/>
      <c r="F454" s="0"/>
      <c r="G454" s="0"/>
      <c r="H454" s="0"/>
      <c r="I454" s="12"/>
      <c r="J454" s="54"/>
      <c r="K454" s="903"/>
      <c r="L454" s="877"/>
      <c r="Q454" s="55"/>
      <c r="R454" s="55"/>
    </row>
    <row r="455" customFormat="false" ht="20.1" hidden="false" customHeight="true" outlineLevel="0" collapsed="false">
      <c r="A455" s="0"/>
      <c r="B455" s="0"/>
      <c r="C455" s="0"/>
      <c r="D455" s="952" t="s">
        <v>98</v>
      </c>
      <c r="E455" s="952"/>
      <c r="F455" s="0"/>
      <c r="G455" s="0"/>
      <c r="H455" s="0"/>
      <c r="I455" s="12"/>
      <c r="J455" s="54"/>
      <c r="K455" s="903"/>
      <c r="L455" s="877"/>
      <c r="Q455" s="55"/>
      <c r="R455" s="55"/>
    </row>
    <row r="456" customFormat="false" ht="20.1" hidden="false" customHeight="true" outlineLevel="0" collapsed="false">
      <c r="A456" s="0"/>
      <c r="B456" s="0"/>
      <c r="C456" s="0"/>
      <c r="D456" s="952"/>
      <c r="E456" s="952"/>
      <c r="F456" s="0"/>
      <c r="G456" s="0"/>
      <c r="H456" s="0"/>
      <c r="I456" s="12"/>
      <c r="J456" s="968"/>
      <c r="K456" s="0"/>
      <c r="L456" s="0"/>
      <c r="Q456" s="55"/>
      <c r="R456" s="55"/>
    </row>
    <row r="457" customFormat="false" ht="20.1" hidden="false" customHeight="true" outlineLevel="0" collapsed="false">
      <c r="A457" s="0"/>
      <c r="B457" s="0"/>
      <c r="D457" s="905" t="s">
        <v>467</v>
      </c>
      <c r="E457" s="905"/>
      <c r="F457" s="906"/>
      <c r="G457" s="0"/>
      <c r="H457" s="968"/>
      <c r="I457" s="0"/>
      <c r="J457" s="0"/>
      <c r="K457" s="0"/>
      <c r="L457" s="0"/>
      <c r="Q457" s="55"/>
      <c r="R457" s="55"/>
    </row>
    <row r="458" customFormat="false" ht="20.1" hidden="false" customHeight="true" outlineLevel="0" collapsed="false">
      <c r="A458" s="0"/>
      <c r="B458" s="0"/>
      <c r="C458" s="969"/>
      <c r="D458" s="969"/>
      <c r="E458" s="863"/>
      <c r="F458" s="907" t="n">
        <f aca="false">IF(F457&gt;=8,2,IF(F457&gt;=4,1,0))</f>
        <v>0</v>
      </c>
      <c r="J458" s="0"/>
      <c r="K458" s="0"/>
      <c r="L458" s="0"/>
      <c r="Q458" s="55"/>
      <c r="R458" s="55"/>
    </row>
    <row r="459" customFormat="false" ht="15.75" hidden="false" customHeight="true" outlineLevel="0" collapsed="false">
      <c r="A459" s="919" t="s">
        <v>468</v>
      </c>
      <c r="B459" s="919"/>
      <c r="C459" s="919"/>
      <c r="D459" s="919"/>
      <c r="E459" s="919"/>
      <c r="F459" s="906"/>
      <c r="G459" s="0"/>
      <c r="H459" s="968"/>
      <c r="I459" s="931"/>
      <c r="J459" s="927"/>
      <c r="K459" s="0"/>
      <c r="L459" s="0"/>
      <c r="Q459" s="55"/>
      <c r="R459" s="55"/>
    </row>
    <row r="460" customFormat="false" ht="15.75" hidden="false" customHeight="true" outlineLevel="0" collapsed="false">
      <c r="A460" s="0"/>
      <c r="B460" s="0"/>
      <c r="F460" s="907" t="n">
        <f aca="false">IF(F459="oui",1,0)</f>
        <v>0</v>
      </c>
      <c r="I460" s="970"/>
      <c r="J460" s="19"/>
      <c r="K460" s="0"/>
      <c r="L460" s="0"/>
      <c r="Q460" s="55"/>
      <c r="R460" s="55"/>
    </row>
    <row r="461" customFormat="false" ht="20.1" hidden="false" customHeight="true" outlineLevel="0" collapsed="false">
      <c r="A461" s="971" t="s">
        <v>469</v>
      </c>
      <c r="B461" s="971"/>
      <c r="C461" s="971"/>
      <c r="D461" s="971"/>
      <c r="E461" s="971"/>
      <c r="F461" s="906"/>
      <c r="G461" s="905" t="s">
        <v>1299</v>
      </c>
      <c r="H461" s="905"/>
      <c r="I461" s="972" t="n">
        <f aca="false">MIN(3,SUM(F458,F460,F462))</f>
        <v>0</v>
      </c>
      <c r="J461" s="437"/>
      <c r="K461" s="0"/>
      <c r="L461" s="0"/>
      <c r="Q461" s="55"/>
      <c r="R461" s="55"/>
    </row>
    <row r="462" customFormat="false" ht="20.1" hidden="false" customHeight="true" outlineLevel="0" collapsed="false">
      <c r="A462" s="0"/>
      <c r="B462" s="0"/>
      <c r="D462" s="973"/>
      <c r="E462" s="973"/>
      <c r="F462" s="907" t="n">
        <f aca="false">IF(F461="oui",1,0)</f>
        <v>0</v>
      </c>
      <c r="G462" s="973"/>
      <c r="H462" s="973"/>
      <c r="I462" s="973"/>
      <c r="J462" s="19"/>
      <c r="K462" s="0"/>
      <c r="L462" s="0"/>
      <c r="Q462" s="55"/>
      <c r="R462" s="55"/>
    </row>
    <row r="463" customFormat="false" ht="20.1" hidden="false" customHeight="true" outlineLevel="0" collapsed="false">
      <c r="A463" s="0"/>
      <c r="B463" s="0"/>
      <c r="C463" s="0"/>
      <c r="D463" s="0"/>
      <c r="E463" s="55"/>
      <c r="F463" s="0"/>
      <c r="G463" s="0"/>
      <c r="H463" s="0"/>
      <c r="I463" s="12"/>
      <c r="J463" s="54"/>
      <c r="K463" s="0"/>
      <c r="L463" s="0"/>
      <c r="Q463" s="55"/>
      <c r="R463" s="55"/>
    </row>
    <row r="464" customFormat="false" ht="20.1" hidden="false" customHeight="true" outlineLevel="0" collapsed="false">
      <c r="A464" s="0"/>
      <c r="B464" s="0"/>
      <c r="C464" s="0"/>
      <c r="D464" s="952" t="s">
        <v>100</v>
      </c>
      <c r="E464" s="952"/>
      <c r="F464" s="0"/>
      <c r="G464" s="0"/>
      <c r="H464" s="0"/>
      <c r="I464" s="12"/>
      <c r="J464" s="54"/>
      <c r="K464" s="0"/>
      <c r="L464" s="0"/>
      <c r="Q464" s="55"/>
      <c r="R464" s="55"/>
    </row>
    <row r="465" customFormat="false" ht="20.1" hidden="false" customHeight="true" outlineLevel="0" collapsed="false">
      <c r="A465" s="0"/>
      <c r="B465" s="0"/>
      <c r="C465" s="0"/>
      <c r="D465" s="952"/>
      <c r="E465" s="952"/>
      <c r="F465" s="0"/>
      <c r="G465" s="0"/>
      <c r="H465" s="0"/>
      <c r="I465" s="12"/>
      <c r="J465" s="54"/>
      <c r="K465" s="0"/>
      <c r="L465" s="0"/>
      <c r="Q465" s="55"/>
      <c r="R465" s="55"/>
    </row>
    <row r="466" customFormat="false" ht="20.1" hidden="false" customHeight="true" outlineLevel="0" collapsed="false">
      <c r="A466" s="0"/>
      <c r="B466" s="0"/>
      <c r="C466" s="905" t="s">
        <v>1300</v>
      </c>
      <c r="D466" s="905"/>
      <c r="E466" s="905"/>
      <c r="F466" s="906"/>
      <c r="G466" s="0"/>
      <c r="H466" s="0"/>
      <c r="I466" s="12"/>
      <c r="J466" s="54"/>
      <c r="K466" s="0"/>
      <c r="L466" s="0"/>
      <c r="Q466" s="55"/>
      <c r="R466" s="55"/>
    </row>
    <row r="467" customFormat="false" ht="20.1" hidden="false" customHeight="true" outlineLevel="0" collapsed="false">
      <c r="A467" s="0"/>
      <c r="B467" s="0"/>
      <c r="C467" s="969"/>
      <c r="D467" s="969"/>
      <c r="E467" s="850" t="s">
        <v>1261</v>
      </c>
      <c r="F467" s="907" t="n">
        <f aca="false">IF(F466=1,1,IF(F466=2,2,IF(F466&gt;=3,3,0)))</f>
        <v>0</v>
      </c>
      <c r="G467" s="0"/>
      <c r="H467" s="0"/>
      <c r="I467" s="12"/>
      <c r="J467" s="54"/>
      <c r="K467" s="0"/>
      <c r="L467" s="0"/>
      <c r="Q467" s="55"/>
      <c r="R467" s="55"/>
    </row>
    <row r="468" customFormat="false" ht="20.1" hidden="false" customHeight="true" outlineLevel="0" collapsed="false">
      <c r="A468" s="971" t="s">
        <v>476</v>
      </c>
      <c r="B468" s="971"/>
      <c r="C468" s="971"/>
      <c r="D468" s="971"/>
      <c r="E468" s="971"/>
      <c r="F468" s="906"/>
      <c r="G468" s="905" t="s">
        <v>1301</v>
      </c>
      <c r="H468" s="905"/>
      <c r="I468" s="972" t="n">
        <f aca="false">MIN(3,SUM(F467,F469))</f>
        <v>0</v>
      </c>
      <c r="J468" s="54"/>
      <c r="K468" s="0"/>
      <c r="L468" s="0"/>
      <c r="Q468" s="55"/>
      <c r="R468" s="55"/>
    </row>
    <row r="469" customFormat="false" ht="19.5" hidden="false" customHeight="true" outlineLevel="0" collapsed="false">
      <c r="A469" s="0"/>
      <c r="B469" s="0"/>
      <c r="C469" s="0"/>
      <c r="D469" s="0"/>
      <c r="E469" s="0"/>
      <c r="F469" s="907" t="n">
        <f aca="false">IF(F468="oui",1,0)</f>
        <v>0</v>
      </c>
      <c r="G469" s="0"/>
      <c r="H469" s="0"/>
      <c r="I469" s="12"/>
      <c r="J469" s="54"/>
      <c r="K469" s="0"/>
      <c r="L469" s="0"/>
      <c r="Q469" s="55"/>
      <c r="R469" s="55"/>
    </row>
    <row r="470" customFormat="false" ht="19.5" hidden="false" customHeight="true" outlineLevel="0" collapsed="false">
      <c r="A470" s="0"/>
      <c r="B470" s="0"/>
      <c r="C470" s="0"/>
      <c r="D470" s="0"/>
      <c r="E470" s="0"/>
      <c r="F470" s="907"/>
      <c r="G470" s="0"/>
      <c r="H470" s="0"/>
      <c r="I470" s="12"/>
      <c r="J470" s="54"/>
      <c r="K470" s="0"/>
      <c r="L470" s="0"/>
      <c r="Q470" s="55"/>
      <c r="R470" s="55"/>
    </row>
    <row r="471" customFormat="false" ht="19.5" hidden="false" customHeight="true" outlineLevel="0" collapsed="false">
      <c r="A471" s="0"/>
      <c r="B471" s="904" t="s">
        <v>1302</v>
      </c>
      <c r="C471" s="904"/>
      <c r="D471" s="0" t="s">
        <v>1303</v>
      </c>
      <c r="E471" s="0"/>
      <c r="F471" s="907"/>
      <c r="G471" s="0"/>
      <c r="H471" s="0"/>
      <c r="I471" s="12"/>
      <c r="J471" s="54"/>
      <c r="K471" s="0"/>
      <c r="L471" s="0"/>
      <c r="Q471" s="55"/>
      <c r="R471" s="55"/>
    </row>
    <row r="472" customFormat="false" ht="31.5" hidden="false" customHeight="true" outlineLevel="0" collapsed="false">
      <c r="B472" s="974"/>
      <c r="C472" s="919" t="s">
        <v>1304</v>
      </c>
      <c r="D472" s="919"/>
      <c r="E472" s="919"/>
      <c r="F472" s="906" t="s">
        <v>254</v>
      </c>
      <c r="H472" s="913"/>
      <c r="I472" s="912"/>
      <c r="J472" s="914"/>
      <c r="K472" s="0"/>
      <c r="Q472" s="55"/>
      <c r="R472" s="55"/>
    </row>
    <row r="473" customFormat="false" ht="19.5" hidden="false" customHeight="true" outlineLevel="0" collapsed="false">
      <c r="A473" s="975"/>
      <c r="B473" s="0"/>
      <c r="C473" s="0"/>
      <c r="D473" s="879"/>
      <c r="E473" s="879"/>
      <c r="F473" s="912"/>
      <c r="G473" s="57"/>
      <c r="H473" s="913"/>
      <c r="I473" s="912"/>
      <c r="J473" s="914"/>
      <c r="K473" s="0"/>
      <c r="Q473" s="55"/>
      <c r="R473" s="55"/>
    </row>
    <row r="474" customFormat="false" ht="19.5" hidden="false" customHeight="true" outlineLevel="0" collapsed="false">
      <c r="A474" s="55"/>
      <c r="B474" s="976"/>
      <c r="C474" s="55"/>
      <c r="D474" s="977" t="s">
        <v>1305</v>
      </c>
      <c r="E474" s="978" t="n">
        <f aca="false">F100</f>
        <v>0</v>
      </c>
      <c r="F474" s="55"/>
      <c r="G474" s="977" t="s">
        <v>1306</v>
      </c>
      <c r="H474" s="943" t="n">
        <f aca="false">D100</f>
        <v>0</v>
      </c>
      <c r="I474" s="977" t="s">
        <v>1307</v>
      </c>
      <c r="J474" s="979" t="n">
        <f aca="false">IF(H474&gt;0,E474/H474,0)</f>
        <v>0</v>
      </c>
      <c r="K474" s="0"/>
      <c r="L474" s="0" t="s">
        <v>1308</v>
      </c>
      <c r="Q474" s="55"/>
      <c r="R474" s="55"/>
    </row>
    <row r="475" customFormat="false" ht="19.5" hidden="false" customHeight="true" outlineLevel="0" collapsed="false">
      <c r="A475" s="55"/>
      <c r="B475" s="620"/>
      <c r="C475" s="55"/>
      <c r="D475" s="429"/>
      <c r="E475" s="55"/>
      <c r="F475" s="55"/>
      <c r="G475" s="14"/>
      <c r="H475" s="55"/>
      <c r="I475" s="55"/>
      <c r="J475" s="55"/>
      <c r="K475" s="0"/>
      <c r="L475" s="0"/>
      <c r="Q475" s="55"/>
      <c r="R475" s="55"/>
    </row>
    <row r="476" customFormat="false" ht="19.5" hidden="false" customHeight="true" outlineLevel="0" collapsed="false">
      <c r="A476" s="55"/>
      <c r="B476" s="620"/>
      <c r="C476" s="0"/>
      <c r="D476" s="429"/>
      <c r="E476" s="55"/>
      <c r="F476" s="905" t="s">
        <v>1309</v>
      </c>
      <c r="G476" s="905"/>
      <c r="H476" s="905"/>
      <c r="I476" s="905"/>
      <c r="J476" s="906" t="s">
        <v>1310</v>
      </c>
      <c r="K476" s="0"/>
      <c r="L476" s="0"/>
      <c r="Q476" s="55"/>
      <c r="R476" s="55"/>
    </row>
    <row r="477" customFormat="false" ht="19.5" hidden="false" customHeight="true" outlineLevel="0" collapsed="false">
      <c r="A477" s="0"/>
      <c r="B477" s="0"/>
      <c r="C477" s="0"/>
      <c r="D477" s="0"/>
      <c r="E477" s="0"/>
      <c r="F477" s="907"/>
      <c r="G477" s="0"/>
      <c r="H477" s="0"/>
      <c r="I477" s="12"/>
      <c r="J477" s="54"/>
      <c r="K477" s="0"/>
      <c r="L477" s="0"/>
      <c r="Q477" s="55"/>
      <c r="R477" s="55"/>
    </row>
    <row r="478" customFormat="false" ht="19.5" hidden="false" customHeight="true" outlineLevel="0" collapsed="false">
      <c r="A478" s="0"/>
      <c r="B478" s="0"/>
      <c r="C478" s="0"/>
      <c r="D478" s="0"/>
      <c r="E478" s="0"/>
      <c r="F478" s="907"/>
      <c r="G478" s="0"/>
      <c r="H478" s="0"/>
      <c r="I478" s="12"/>
      <c r="J478" s="54"/>
      <c r="K478" s="0"/>
      <c r="L478" s="0"/>
      <c r="Q478" s="55"/>
      <c r="R478" s="55"/>
    </row>
    <row r="479" customFormat="false" ht="20.1" hidden="false" customHeight="true" outlineLevel="0" collapsed="false">
      <c r="A479" s="869" t="s">
        <v>1311</v>
      </c>
      <c r="B479" s="869"/>
      <c r="C479" s="869"/>
      <c r="D479" s="869"/>
      <c r="E479" s="869"/>
      <c r="F479" s="869"/>
      <c r="G479" s="869"/>
      <c r="H479" s="53"/>
      <c r="I479" s="53"/>
      <c r="J479" s="53"/>
      <c r="K479" s="870"/>
      <c r="L479" s="871" t="s">
        <v>1312</v>
      </c>
      <c r="Q479" s="55"/>
      <c r="R479" s="55"/>
    </row>
    <row r="480" customFormat="false" ht="20.1" hidden="false" customHeight="true" outlineLevel="0" collapsed="false">
      <c r="A480" s="408"/>
      <c r="B480" s="408"/>
      <c r="C480" s="409"/>
      <c r="D480" s="409"/>
      <c r="E480" s="409"/>
      <c r="F480" s="409"/>
      <c r="G480" s="409"/>
      <c r="H480" s="410"/>
      <c r="I480" s="980"/>
      <c r="J480" s="981"/>
      <c r="K480" s="866"/>
      <c r="L480" s="982"/>
      <c r="Q480" s="55"/>
      <c r="R480" s="55"/>
    </row>
    <row r="481" customFormat="false" ht="20.1" hidden="false" customHeight="true" outlineLevel="0" collapsed="false">
      <c r="A481" s="408"/>
      <c r="B481" s="408"/>
      <c r="C481" s="409"/>
      <c r="D481" s="983" t="s">
        <v>1313</v>
      </c>
      <c r="E481" s="983"/>
      <c r="F481" s="905" t="s">
        <v>1314</v>
      </c>
      <c r="G481" s="905"/>
      <c r="H481" s="905"/>
      <c r="I481" s="984" t="n">
        <f aca="false">IF(F322="","REMPLIR TABLEAU Ligne 304",L321/(B25+B26))</f>
        <v>0.960526315789474</v>
      </c>
      <c r="J481" s="984"/>
      <c r="K481" s="866"/>
      <c r="L481" s="982"/>
      <c r="Q481" s="55"/>
      <c r="R481" s="55"/>
    </row>
    <row r="482" customFormat="false" ht="20.1" hidden="false" customHeight="true" outlineLevel="0" collapsed="false">
      <c r="A482" s="408"/>
      <c r="B482" s="408"/>
      <c r="C482" s="409"/>
      <c r="D482" s="983"/>
      <c r="E482" s="983"/>
      <c r="F482" s="985"/>
      <c r="G482" s="985"/>
      <c r="H482" s="985"/>
      <c r="I482" s="986"/>
      <c r="J482" s="879"/>
      <c r="K482" s="866"/>
      <c r="L482" s="982"/>
      <c r="Q482" s="55"/>
      <c r="R482" s="55"/>
    </row>
    <row r="483" customFormat="false" ht="20.1" hidden="false" customHeight="true" outlineLevel="0" collapsed="false">
      <c r="A483" s="408"/>
      <c r="B483" s="408"/>
      <c r="C483" s="409"/>
      <c r="D483" s="983"/>
      <c r="E483" s="983"/>
      <c r="F483" s="905" t="s">
        <v>1315</v>
      </c>
      <c r="G483" s="905"/>
      <c r="H483" s="905"/>
      <c r="I483" s="905"/>
      <c r="J483" s="906" t="s">
        <v>254</v>
      </c>
      <c r="K483" s="866"/>
      <c r="L483" s="982" t="s">
        <v>1192</v>
      </c>
      <c r="Q483" s="55"/>
      <c r="R483" s="55"/>
    </row>
    <row r="484" customFormat="false" ht="20.1" hidden="false" customHeight="true" outlineLevel="0" collapsed="false">
      <c r="A484" s="408"/>
      <c r="B484" s="408"/>
      <c r="C484" s="409"/>
      <c r="D484" s="983"/>
      <c r="E484" s="983"/>
      <c r="F484" s="987"/>
      <c r="G484" s="987"/>
      <c r="H484" s="988"/>
      <c r="I484" s="989" t="s">
        <v>1316</v>
      </c>
      <c r="J484" s="412"/>
      <c r="K484" s="866"/>
      <c r="L484" s="982"/>
      <c r="Q484" s="55"/>
      <c r="R484" s="55"/>
    </row>
    <row r="485" customFormat="false" ht="20.1" hidden="false" customHeight="true" outlineLevel="0" collapsed="false">
      <c r="A485" s="408"/>
      <c r="B485" s="408"/>
      <c r="C485" s="409"/>
      <c r="D485" s="990"/>
      <c r="E485" s="990"/>
      <c r="F485" s="987"/>
      <c r="G485" s="987"/>
      <c r="H485" s="988"/>
      <c r="I485" s="989"/>
      <c r="J485" s="412"/>
      <c r="K485" s="866"/>
      <c r="L485" s="982"/>
      <c r="Q485" s="55"/>
      <c r="R485" s="55"/>
    </row>
    <row r="486" customFormat="false" ht="20.1" hidden="false" customHeight="true" outlineLevel="0" collapsed="false">
      <c r="A486" s="408"/>
      <c r="B486" s="408"/>
      <c r="C486" s="409"/>
      <c r="D486" s="990"/>
      <c r="E486" s="990"/>
      <c r="F486" s="987"/>
      <c r="G486" s="987"/>
      <c r="H486" s="988"/>
      <c r="I486" s="876"/>
      <c r="J486" s="412"/>
      <c r="K486" s="866"/>
      <c r="L486" s="982"/>
      <c r="Q486" s="55"/>
      <c r="R486" s="55"/>
    </row>
    <row r="487" customFormat="false" ht="20.1" hidden="false" customHeight="true" outlineLevel="0" collapsed="false">
      <c r="A487" s="408"/>
      <c r="B487" s="408"/>
      <c r="C487" s="409"/>
      <c r="D487" s="983" t="s">
        <v>1317</v>
      </c>
      <c r="E487" s="983"/>
      <c r="F487" s="905" t="s">
        <v>1318</v>
      </c>
      <c r="G487" s="905"/>
      <c r="H487" s="905"/>
      <c r="I487" s="905"/>
      <c r="J487" s="906"/>
      <c r="K487" s="866"/>
      <c r="L487" s="982" t="s">
        <v>1260</v>
      </c>
      <c r="Q487" s="55"/>
      <c r="R487" s="55"/>
    </row>
    <row r="488" customFormat="false" ht="20.1" hidden="false" customHeight="true" outlineLevel="0" collapsed="false">
      <c r="A488" s="408"/>
      <c r="B488" s="408"/>
      <c r="C488" s="409"/>
      <c r="D488" s="983"/>
      <c r="E488" s="983"/>
      <c r="F488" s="987"/>
      <c r="G488" s="987"/>
      <c r="H488" s="988"/>
      <c r="I488" s="876"/>
      <c r="J488" s="412"/>
      <c r="K488" s="866"/>
      <c r="L488" s="982"/>
      <c r="Q488" s="55"/>
      <c r="R488" s="55"/>
    </row>
    <row r="489" customFormat="false" ht="20.1" hidden="false" customHeight="true" outlineLevel="0" collapsed="false">
      <c r="A489" s="408"/>
      <c r="B489" s="408"/>
      <c r="C489" s="409"/>
      <c r="D489" s="983"/>
      <c r="E489" s="983"/>
      <c r="F489" s="905" t="s">
        <v>462</v>
      </c>
      <c r="G489" s="905"/>
      <c r="H489" s="905"/>
      <c r="I489" s="905"/>
      <c r="J489" s="906"/>
      <c r="K489" s="866"/>
      <c r="L489" s="982"/>
      <c r="Q489" s="55"/>
      <c r="R489" s="55"/>
    </row>
    <row r="490" customFormat="false" ht="20.1" hidden="false" customHeight="true" outlineLevel="0" collapsed="false">
      <c r="A490" s="408"/>
      <c r="B490" s="408"/>
      <c r="C490" s="409"/>
      <c r="D490" s="983"/>
      <c r="E490" s="983"/>
      <c r="F490" s="987"/>
      <c r="G490" s="987"/>
      <c r="H490" s="988"/>
      <c r="I490" s="876"/>
      <c r="J490" s="412"/>
      <c r="K490" s="866"/>
      <c r="L490" s="982"/>
      <c r="Q490" s="55"/>
      <c r="R490" s="55"/>
    </row>
    <row r="491" customFormat="false" ht="20.1" hidden="false" customHeight="true" outlineLevel="0" collapsed="false">
      <c r="A491" s="408"/>
      <c r="B491" s="408"/>
      <c r="C491" s="409"/>
      <c r="D491" s="983"/>
      <c r="E491" s="983"/>
      <c r="F491" s="905" t="s">
        <v>463</v>
      </c>
      <c r="G491" s="905"/>
      <c r="H491" s="905"/>
      <c r="I491" s="905"/>
      <c r="J491" s="906"/>
      <c r="K491" s="866"/>
      <c r="L491" s="982"/>
      <c r="Q491" s="55"/>
      <c r="R491" s="55"/>
    </row>
    <row r="492" customFormat="false" ht="20.1" hidden="false" customHeight="true" outlineLevel="0" collapsed="false">
      <c r="A492" s="408"/>
      <c r="B492" s="408"/>
      <c r="C492" s="409"/>
      <c r="D492" s="990"/>
      <c r="E492" s="990"/>
      <c r="F492" s="991"/>
      <c r="G492" s="991"/>
      <c r="H492" s="991"/>
      <c r="I492" s="991"/>
      <c r="J492" s="412"/>
      <c r="K492" s="866"/>
      <c r="L492" s="982"/>
      <c r="Q492" s="55"/>
      <c r="R492" s="55"/>
    </row>
    <row r="493" customFormat="false" ht="20.1" hidden="false" customHeight="true" outlineLevel="0" collapsed="false">
      <c r="A493" s="408"/>
      <c r="B493" s="408"/>
      <c r="C493" s="409"/>
      <c r="D493" s="990"/>
      <c r="E493" s="990"/>
      <c r="F493" s="991"/>
      <c r="G493" s="991"/>
      <c r="H493" s="991"/>
      <c r="I493" s="991"/>
      <c r="J493" s="412"/>
      <c r="K493" s="866"/>
      <c r="L493" s="982"/>
      <c r="Q493" s="55"/>
      <c r="R493" s="55"/>
    </row>
    <row r="494" customFormat="false" ht="20.1" hidden="false" customHeight="true" outlineLevel="0" collapsed="false">
      <c r="A494" s="408"/>
      <c r="B494" s="408"/>
      <c r="C494" s="409"/>
      <c r="D494" s="983" t="s">
        <v>100</v>
      </c>
      <c r="E494" s="983"/>
      <c r="F494" s="905" t="s">
        <v>477</v>
      </c>
      <c r="G494" s="905"/>
      <c r="H494" s="905"/>
      <c r="I494" s="905"/>
      <c r="J494" s="906"/>
      <c r="K494" s="866"/>
      <c r="L494" s="982" t="s">
        <v>1319</v>
      </c>
      <c r="Q494" s="55"/>
      <c r="R494" s="55"/>
    </row>
    <row r="495" customFormat="false" ht="20.1" hidden="false" customHeight="true" outlineLevel="0" collapsed="false">
      <c r="A495" s="408"/>
      <c r="B495" s="408"/>
      <c r="C495" s="409"/>
      <c r="D495" s="983"/>
      <c r="E495" s="983"/>
      <c r="F495" s="537"/>
      <c r="G495" s="537"/>
      <c r="H495" s="537"/>
      <c r="I495" s="850" t="s">
        <v>1261</v>
      </c>
      <c r="J495" s="412"/>
      <c r="K495" s="866"/>
      <c r="L495" s="982"/>
      <c r="Q495" s="55"/>
      <c r="R495" s="55"/>
    </row>
    <row r="496" customFormat="false" ht="20.1" hidden="false" customHeight="true" outlineLevel="0" collapsed="false">
      <c r="A496" s="408"/>
      <c r="B496" s="408"/>
      <c r="C496" s="409"/>
      <c r="D496" s="983"/>
      <c r="E496" s="983"/>
      <c r="F496" s="905" t="s">
        <v>478</v>
      </c>
      <c r="G496" s="905"/>
      <c r="H496" s="905"/>
      <c r="I496" s="905"/>
      <c r="J496" s="906"/>
      <c r="K496" s="866"/>
      <c r="L496" s="982"/>
      <c r="Q496" s="55"/>
      <c r="R496" s="55"/>
    </row>
    <row r="497" customFormat="false" ht="20.1" hidden="false" customHeight="true" outlineLevel="0" collapsed="false">
      <c r="A497" s="408"/>
      <c r="B497" s="408"/>
      <c r="C497" s="409"/>
      <c r="D497" s="983"/>
      <c r="E497" s="983"/>
      <c r="F497" s="991"/>
      <c r="G497" s="991"/>
      <c r="H497" s="991"/>
      <c r="I497" s="850" t="s">
        <v>1261</v>
      </c>
      <c r="J497" s="412"/>
      <c r="K497" s="866"/>
      <c r="L497" s="982"/>
      <c r="Q497" s="55"/>
      <c r="R497" s="55"/>
    </row>
    <row r="498" customFormat="false" ht="20.1" hidden="false" customHeight="true" outlineLevel="0" collapsed="false">
      <c r="A498" s="408"/>
      <c r="B498" s="408"/>
      <c r="C498" s="409"/>
      <c r="D498" s="983"/>
      <c r="E498" s="983"/>
      <c r="F498" s="905" t="s">
        <v>479</v>
      </c>
      <c r="G498" s="905"/>
      <c r="H498" s="905"/>
      <c r="I498" s="905"/>
      <c r="J498" s="906"/>
      <c r="K498" s="866"/>
      <c r="L498" s="982"/>
      <c r="Q498" s="55"/>
      <c r="R498" s="55"/>
    </row>
    <row r="499" customFormat="false" ht="20.1" hidden="false" customHeight="true" outlineLevel="0" collapsed="false">
      <c r="A499" s="408"/>
      <c r="B499" s="408"/>
      <c r="C499" s="409"/>
      <c r="D499" s="409"/>
      <c r="E499" s="409"/>
      <c r="F499" s="537"/>
      <c r="G499" s="537"/>
      <c r="H499" s="537"/>
      <c r="I499" s="451"/>
      <c r="J499" s="411"/>
      <c r="K499" s="866"/>
      <c r="L499" s="982"/>
      <c r="Q499" s="55"/>
      <c r="R499" s="55"/>
    </row>
    <row r="500" customFormat="false" ht="20.1" hidden="false" customHeight="true" outlineLevel="0" collapsed="false">
      <c r="A500" s="408"/>
      <c r="B500" s="408"/>
      <c r="C500" s="409"/>
      <c r="D500" s="409"/>
      <c r="E500" s="409"/>
      <c r="F500" s="409"/>
      <c r="G500" s="409"/>
      <c r="H500" s="410"/>
      <c r="I500" s="411"/>
      <c r="J500" s="412"/>
      <c r="K500" s="866"/>
      <c r="L500" s="868"/>
      <c r="Q500" s="55"/>
      <c r="R500" s="55"/>
    </row>
    <row r="501" customFormat="false" ht="20.1" hidden="false" customHeight="true" outlineLevel="0" collapsed="false">
      <c r="A501" s="869" t="s">
        <v>1320</v>
      </c>
      <c r="B501" s="869"/>
      <c r="C501" s="869"/>
      <c r="D501" s="869"/>
      <c r="E501" s="869"/>
      <c r="F501" s="869"/>
      <c r="G501" s="869"/>
      <c r="H501" s="53"/>
      <c r="I501" s="53"/>
      <c r="J501" s="53"/>
      <c r="K501" s="870"/>
      <c r="L501" s="871" t="s">
        <v>1321</v>
      </c>
      <c r="Q501" s="55"/>
      <c r="R501" s="55"/>
    </row>
    <row r="502" customFormat="false" ht="20.1" hidden="false" customHeight="true" outlineLevel="0" collapsed="false">
      <c r="A502" s="408"/>
      <c r="B502" s="408"/>
      <c r="C502" s="409"/>
      <c r="K502" s="903"/>
      <c r="L502" s="877"/>
      <c r="Q502" s="55"/>
      <c r="R502" s="55"/>
    </row>
    <row r="503" customFormat="false" ht="20.1" hidden="false" customHeight="true" outlineLevel="0" collapsed="false">
      <c r="A503" s="408"/>
      <c r="B503" s="408"/>
      <c r="C503" s="409"/>
      <c r="D503" s="983" t="s">
        <v>1313</v>
      </c>
      <c r="E503" s="983"/>
      <c r="F503" s="905" t="s">
        <v>1322</v>
      </c>
      <c r="G503" s="905"/>
      <c r="H503" s="905"/>
      <c r="I503" s="905"/>
      <c r="J503" s="902" t="n">
        <v>2</v>
      </c>
      <c r="K503" s="903"/>
      <c r="L503" s="982" t="s">
        <v>1323</v>
      </c>
      <c r="Q503" s="55"/>
      <c r="R503" s="55"/>
    </row>
    <row r="504" customFormat="false" ht="20.1" hidden="false" customHeight="true" outlineLevel="0" collapsed="false">
      <c r="A504" s="408"/>
      <c r="B504" s="408"/>
      <c r="C504" s="409"/>
      <c r="K504" s="903"/>
      <c r="L504" s="877"/>
      <c r="Q504" s="55"/>
      <c r="R504" s="55"/>
    </row>
    <row r="505" customFormat="false" ht="20.1" hidden="false" customHeight="true" outlineLevel="0" collapsed="false">
      <c r="A505" s="408"/>
      <c r="B505" s="408"/>
      <c r="C505" s="409"/>
      <c r="K505" s="903"/>
      <c r="L505" s="877"/>
      <c r="Q505" s="55"/>
      <c r="R505" s="55"/>
    </row>
    <row r="506" customFormat="false" ht="20.1" hidden="false" customHeight="true" outlineLevel="0" collapsed="false">
      <c r="A506" s="408"/>
      <c r="B506" s="408"/>
      <c r="C506" s="409"/>
      <c r="D506" s="983" t="s">
        <v>1324</v>
      </c>
      <c r="E506" s="983"/>
      <c r="F506" s="905" t="s">
        <v>1325</v>
      </c>
      <c r="G506" s="905"/>
      <c r="H506" s="905"/>
      <c r="I506" s="905"/>
      <c r="J506" s="902"/>
      <c r="K506" s="903"/>
      <c r="L506" s="877"/>
      <c r="Q506" s="55"/>
      <c r="R506" s="55"/>
    </row>
    <row r="507" customFormat="false" ht="20.1" hidden="false" customHeight="true" outlineLevel="0" collapsed="false">
      <c r="A507" s="408"/>
      <c r="B507" s="408"/>
      <c r="C507" s="409"/>
      <c r="K507" s="903"/>
      <c r="L507" s="877"/>
      <c r="Q507" s="55"/>
      <c r="R507" s="55"/>
    </row>
    <row r="508" customFormat="false" ht="20.1" hidden="false" customHeight="true" outlineLevel="0" collapsed="false">
      <c r="A508" s="408"/>
      <c r="B508" s="408"/>
      <c r="C508" s="409"/>
      <c r="D508" s="983" t="s">
        <v>98</v>
      </c>
      <c r="E508" s="983"/>
      <c r="F508" s="905" t="s">
        <v>1325</v>
      </c>
      <c r="G508" s="905"/>
      <c r="H508" s="905"/>
      <c r="I508" s="905"/>
      <c r="J508" s="902"/>
      <c r="K508" s="903"/>
      <c r="L508" s="877"/>
      <c r="Q508" s="55"/>
      <c r="R508" s="55"/>
    </row>
    <row r="509" customFormat="false" ht="20.1" hidden="false" customHeight="true" outlineLevel="0" collapsed="false">
      <c r="A509" s="408"/>
      <c r="B509" s="408"/>
      <c r="C509" s="409"/>
      <c r="K509" s="903"/>
      <c r="L509" s="877"/>
      <c r="Q509" s="55"/>
      <c r="R509" s="55"/>
    </row>
    <row r="510" customFormat="false" ht="20.1" hidden="false" customHeight="true" outlineLevel="0" collapsed="false">
      <c r="A510" s="408"/>
      <c r="B510" s="408"/>
      <c r="C510" s="409"/>
      <c r="D510" s="409"/>
      <c r="E510" s="409"/>
      <c r="F510" s="409"/>
      <c r="G510" s="409"/>
      <c r="H510" s="410"/>
      <c r="I510" s="411"/>
      <c r="J510" s="412"/>
      <c r="K510" s="903"/>
      <c r="L510" s="877"/>
      <c r="Q510" s="55"/>
      <c r="R510" s="55"/>
    </row>
    <row r="511" customFormat="false" ht="20.1" hidden="false" customHeight="true" outlineLevel="0" collapsed="false">
      <c r="A511" s="408"/>
      <c r="B511" s="408"/>
      <c r="C511" s="409"/>
      <c r="D511" s="983" t="s">
        <v>100</v>
      </c>
      <c r="E511" s="983"/>
      <c r="F511" s="905" t="s">
        <v>1325</v>
      </c>
      <c r="G511" s="905"/>
      <c r="H511" s="905"/>
      <c r="I511" s="905"/>
      <c r="J511" s="902"/>
      <c r="K511" s="903"/>
      <c r="L511" s="877"/>
      <c r="Q511" s="55"/>
      <c r="R511" s="55"/>
    </row>
    <row r="512" customFormat="false" ht="20.1" hidden="false" customHeight="true" outlineLevel="0" collapsed="false">
      <c r="D512" s="983"/>
      <c r="E512" s="983"/>
      <c r="F512" s="409"/>
      <c r="G512" s="409"/>
      <c r="H512" s="410"/>
      <c r="I512" s="411"/>
      <c r="J512" s="412"/>
      <c r="K512" s="903"/>
      <c r="L512" s="877"/>
      <c r="Q512" s="55"/>
      <c r="R512" s="55"/>
    </row>
    <row r="513" customFormat="false" ht="20.1" hidden="false" customHeight="true" outlineLevel="0" collapsed="false">
      <c r="A513" s="992"/>
      <c r="B513" s="992"/>
      <c r="C513" s="992"/>
      <c r="D513" s="983"/>
      <c r="E513" s="983"/>
      <c r="F513" s="905" t="s">
        <v>1326</v>
      </c>
      <c r="G513" s="905"/>
      <c r="H513" s="905"/>
      <c r="I513" s="905"/>
      <c r="J513" s="906"/>
      <c r="K513" s="903"/>
      <c r="L513" s="982" t="s">
        <v>1319</v>
      </c>
      <c r="Q513" s="55"/>
      <c r="R513" s="55"/>
    </row>
    <row r="514" customFormat="false" ht="20.1" hidden="false" customHeight="true" outlineLevel="0" collapsed="false">
      <c r="A514" s="408"/>
      <c r="B514" s="408"/>
      <c r="C514" s="409"/>
      <c r="D514" s="409"/>
      <c r="E514" s="409"/>
      <c r="F514" s="409"/>
      <c r="G514" s="409"/>
      <c r="H514" s="410"/>
      <c r="I514" s="411"/>
      <c r="J514" s="412"/>
      <c r="K514" s="903"/>
      <c r="L514" s="877"/>
      <c r="Q514" s="55"/>
      <c r="R514" s="55"/>
    </row>
    <row r="515" customFormat="false" ht="20.1" hidden="false" customHeight="true" outlineLevel="0" collapsed="false">
      <c r="A515" s="927" t="s">
        <v>1327</v>
      </c>
      <c r="B515" s="927"/>
      <c r="C515" s="927"/>
      <c r="D515" s="927"/>
      <c r="E515" s="927"/>
      <c r="F515" s="927"/>
      <c r="G515" s="927"/>
      <c r="H515" s="927"/>
      <c r="I515" s="927"/>
      <c r="K515" s="903"/>
      <c r="L515" s="877"/>
      <c r="Q515" s="55"/>
      <c r="R515" s="55"/>
    </row>
    <row r="516" customFormat="false" ht="20.1" hidden="false" customHeight="true" outlineLevel="0" collapsed="false">
      <c r="A516" s="0"/>
      <c r="B516" s="0"/>
      <c r="C516" s="993" t="s">
        <v>1261</v>
      </c>
      <c r="D516" s="0"/>
      <c r="E516" s="0"/>
      <c r="F516" s="0"/>
      <c r="G516" s="0"/>
      <c r="H516" s="0"/>
      <c r="I516" s="0"/>
      <c r="K516" s="903"/>
      <c r="Q516" s="55"/>
      <c r="R516" s="55"/>
    </row>
    <row r="517" customFormat="false" ht="20.1" hidden="false" customHeight="true" outlineLevel="0" collapsed="false">
      <c r="A517" s="0"/>
      <c r="B517" s="620"/>
      <c r="C517" s="19"/>
      <c r="D517" s="994" t="s">
        <v>1328</v>
      </c>
      <c r="E517" s="995" t="s">
        <v>1329</v>
      </c>
      <c r="F517" s="995" t="s">
        <v>1330</v>
      </c>
      <c r="G517" s="0"/>
      <c r="H517" s="0"/>
      <c r="I517" s="0"/>
      <c r="K517" s="903"/>
      <c r="L517" s="982" t="s">
        <v>1323</v>
      </c>
      <c r="Q517" s="55"/>
      <c r="R517" s="55"/>
    </row>
    <row r="518" customFormat="false" ht="20.1" hidden="false" customHeight="true" outlineLevel="0" collapsed="false">
      <c r="A518" s="0"/>
      <c r="B518" s="0"/>
      <c r="C518" s="309"/>
      <c r="D518" s="996" t="s">
        <v>604</v>
      </c>
      <c r="E518" s="996" t="s">
        <v>1331</v>
      </c>
      <c r="F518" s="996" t="s">
        <v>1331</v>
      </c>
      <c r="G518" s="0"/>
      <c r="H518" s="537"/>
      <c r="I518" s="0"/>
      <c r="J518" s="0"/>
      <c r="K518" s="903"/>
      <c r="L518" s="877"/>
      <c r="Q518" s="55"/>
      <c r="R518" s="55"/>
    </row>
    <row r="519" customFormat="false" ht="20.1" hidden="false" customHeight="true" outlineLevel="0" collapsed="false">
      <c r="A519" s="0"/>
      <c r="B519" s="997" t="s">
        <v>605</v>
      </c>
      <c r="C519" s="997"/>
      <c r="D519" s="998" t="n">
        <v>500</v>
      </c>
      <c r="E519" s="493" t="n">
        <f aca="false">7000/100</f>
        <v>70</v>
      </c>
      <c r="F519" s="822" t="n">
        <f aca="false">D519*E519</f>
        <v>35000</v>
      </c>
      <c r="G519" s="0"/>
      <c r="H519" s="0"/>
      <c r="I519" s="0"/>
      <c r="J519" s="0"/>
      <c r="K519" s="903"/>
      <c r="L519" s="877"/>
      <c r="Q519" s="55"/>
      <c r="R519" s="55"/>
    </row>
    <row r="520" customFormat="false" ht="20.1" hidden="false" customHeight="true" outlineLevel="0" collapsed="false">
      <c r="A520" s="0"/>
      <c r="B520" s="997" t="s">
        <v>607</v>
      </c>
      <c r="C520" s="997"/>
      <c r="D520" s="998" t="n">
        <v>1000</v>
      </c>
      <c r="E520" s="493" t="n">
        <f aca="false">1200/100</f>
        <v>12</v>
      </c>
      <c r="F520" s="822" t="n">
        <f aca="false">D520*E520</f>
        <v>12000</v>
      </c>
      <c r="G520" s="0"/>
      <c r="H520" s="999"/>
      <c r="I520" s="0"/>
      <c r="J520" s="0"/>
      <c r="K520" s="903"/>
      <c r="L520" s="877"/>
      <c r="Q520" s="55"/>
      <c r="R520" s="55"/>
    </row>
    <row r="521" customFormat="false" ht="20.1" hidden="false" customHeight="true" outlineLevel="0" collapsed="false">
      <c r="A521" s="0"/>
      <c r="B521" s="997" t="s">
        <v>1332</v>
      </c>
      <c r="C521" s="997"/>
      <c r="D521" s="998" t="n">
        <v>15</v>
      </c>
      <c r="E521" s="493" t="n">
        <f aca="false">500/100</f>
        <v>5</v>
      </c>
      <c r="F521" s="822" t="n">
        <f aca="false">D521*E521</f>
        <v>75</v>
      </c>
      <c r="G521" s="0"/>
      <c r="H521" s="909" t="s">
        <v>1333</v>
      </c>
      <c r="I521" s="909"/>
      <c r="J521" s="1000" t="n">
        <f aca="false">(F532/10000/B24)</f>
        <v>0.113084415584416</v>
      </c>
      <c r="K521" s="0"/>
      <c r="L521" s="0"/>
      <c r="Q521" s="55"/>
      <c r="R521" s="55"/>
    </row>
    <row r="522" customFormat="false" ht="30.75" hidden="false" customHeight="true" outlineLevel="0" collapsed="false">
      <c r="A522" s="0"/>
      <c r="B522" s="997" t="s">
        <v>1334</v>
      </c>
      <c r="C522" s="997"/>
      <c r="D522" s="998"/>
      <c r="E522" s="493" t="n">
        <f aca="false">100/1</f>
        <v>100</v>
      </c>
      <c r="F522" s="822" t="n">
        <f aca="false">D522*E522</f>
        <v>0</v>
      </c>
      <c r="G522" s="0"/>
      <c r="H522" s="909"/>
      <c r="I522" s="909"/>
      <c r="J522" s="1000"/>
      <c r="K522" s="0"/>
      <c r="L522" s="0"/>
      <c r="Q522" s="55"/>
      <c r="R522" s="55"/>
    </row>
    <row r="523" customFormat="false" ht="20.1" hidden="false" customHeight="true" outlineLevel="0" collapsed="false">
      <c r="A523" s="0"/>
      <c r="B523" s="997" t="s">
        <v>612</v>
      </c>
      <c r="C523" s="997"/>
      <c r="D523" s="998"/>
      <c r="E523" s="493" t="n">
        <f aca="false">5680/100</f>
        <v>56.8</v>
      </c>
      <c r="F523" s="822" t="n">
        <f aca="false">D523*E523</f>
        <v>0</v>
      </c>
      <c r="G523" s="0"/>
      <c r="H523" s="999"/>
      <c r="I523" s="0"/>
      <c r="J523" s="0"/>
      <c r="K523" s="903"/>
      <c r="L523" s="877"/>
      <c r="Q523" s="55"/>
      <c r="R523" s="55"/>
    </row>
    <row r="524" customFormat="false" ht="20.1" hidden="false" customHeight="true" outlineLevel="0" collapsed="false">
      <c r="A524" s="0"/>
      <c r="B524" s="997" t="s">
        <v>1335</v>
      </c>
      <c r="C524" s="997"/>
      <c r="D524" s="998"/>
      <c r="E524" s="493" t="n">
        <v>10</v>
      </c>
      <c r="F524" s="822" t="n">
        <f aca="false">D524*E524</f>
        <v>0</v>
      </c>
      <c r="G524" s="0"/>
      <c r="H524" s="999"/>
      <c r="I524" s="0"/>
      <c r="J524" s="0"/>
      <c r="K524" s="903"/>
      <c r="L524" s="877"/>
      <c r="Q524" s="55"/>
      <c r="R524" s="55"/>
    </row>
    <row r="525" customFormat="false" ht="20.1" hidden="false" customHeight="true" outlineLevel="0" collapsed="false">
      <c r="A525" s="0"/>
      <c r="B525" s="0"/>
      <c r="C525" s="0"/>
      <c r="D525" s="996" t="s">
        <v>94</v>
      </c>
      <c r="E525" s="996" t="s">
        <v>1336</v>
      </c>
      <c r="F525" s="996"/>
      <c r="G525" s="1001"/>
      <c r="H525" s="1002"/>
      <c r="I525" s="0"/>
      <c r="J525" s="0"/>
      <c r="K525" s="903"/>
      <c r="L525" s="877"/>
      <c r="Q525" s="55"/>
      <c r="R525" s="55"/>
    </row>
    <row r="526" customFormat="false" ht="20.1" hidden="false" customHeight="true" outlineLevel="0" collapsed="false">
      <c r="A526" s="55"/>
      <c r="B526" s="997" t="s">
        <v>606</v>
      </c>
      <c r="C526" s="997"/>
      <c r="D526" s="998"/>
      <c r="E526" s="493" t="n">
        <v>52880</v>
      </c>
      <c r="F526" s="822" t="n">
        <f aca="false">D526*E526</f>
        <v>0</v>
      </c>
      <c r="G526" s="0"/>
      <c r="H526" s="537"/>
      <c r="I526" s="0"/>
      <c r="J526" s="0"/>
      <c r="K526" s="903"/>
      <c r="L526" s="877"/>
      <c r="Q526" s="55"/>
      <c r="R526" s="55"/>
    </row>
    <row r="527" customFormat="false" ht="20.1" hidden="false" customHeight="true" outlineLevel="0" collapsed="false">
      <c r="A527" s="55"/>
      <c r="B527" s="997" t="s">
        <v>608</v>
      </c>
      <c r="C527" s="997"/>
      <c r="D527" s="998"/>
      <c r="E527" s="493" t="n">
        <v>10000</v>
      </c>
      <c r="F527" s="822" t="n">
        <f aca="false">D527*E527</f>
        <v>0</v>
      </c>
      <c r="G527" s="55"/>
      <c r="H527" s="14"/>
      <c r="I527" s="0"/>
      <c r="J527" s="0"/>
      <c r="K527" s="903"/>
      <c r="L527" s="877"/>
      <c r="Q527" s="55"/>
      <c r="R527" s="55"/>
    </row>
    <row r="528" customFormat="false" ht="20.1" hidden="false" customHeight="true" outlineLevel="0" collapsed="false">
      <c r="A528" s="55"/>
      <c r="B528" s="997" t="s">
        <v>1337</v>
      </c>
      <c r="C528" s="997"/>
      <c r="D528" s="822" t="n">
        <f aca="false">B27</f>
        <v>1</v>
      </c>
      <c r="E528" s="493" t="n">
        <v>10000</v>
      </c>
      <c r="F528" s="822" t="n">
        <f aca="false">D528*E528</f>
        <v>10000</v>
      </c>
      <c r="G528" s="55"/>
      <c r="H528" s="55"/>
      <c r="I528" s="1001"/>
      <c r="J528" s="1001"/>
      <c r="K528" s="1003"/>
      <c r="L528" s="877"/>
      <c r="Q528" s="55"/>
      <c r="R528" s="55"/>
    </row>
    <row r="529" customFormat="false" ht="20.1" hidden="false" customHeight="true" outlineLevel="0" collapsed="false">
      <c r="A529" s="55"/>
      <c r="B529" s="997" t="s">
        <v>370</v>
      </c>
      <c r="C529" s="997"/>
      <c r="D529" s="822" t="n">
        <f aca="false">D310</f>
        <v>3</v>
      </c>
      <c r="E529" s="493" t="n">
        <v>10000</v>
      </c>
      <c r="F529" s="822" t="n">
        <f aca="false">D529*E529</f>
        <v>30000</v>
      </c>
      <c r="G529" s="55"/>
      <c r="H529" s="55"/>
      <c r="I529" s="1001"/>
      <c r="J529" s="1001"/>
      <c r="K529" s="1003"/>
      <c r="L529" s="877"/>
      <c r="Q529" s="55"/>
      <c r="R529" s="55"/>
    </row>
    <row r="530" customFormat="false" ht="27.75" hidden="false" customHeight="true" outlineLevel="0" collapsed="false">
      <c r="A530" s="55"/>
      <c r="B530" s="997" t="s">
        <v>1338</v>
      </c>
      <c r="C530" s="997"/>
      <c r="D530" s="998"/>
      <c r="E530" s="493" t="n">
        <v>10000</v>
      </c>
      <c r="F530" s="822" t="n">
        <f aca="false">D530*E530</f>
        <v>0</v>
      </c>
      <c r="G530" s="55"/>
      <c r="H530" s="55"/>
      <c r="I530" s="1001"/>
      <c r="J530" s="1001"/>
      <c r="K530" s="1003"/>
      <c r="L530" s="877"/>
      <c r="Q530" s="55"/>
      <c r="R530" s="55"/>
    </row>
    <row r="531" customFormat="false" ht="32.25" hidden="false" customHeight="true" outlineLevel="0" collapsed="false">
      <c r="A531" s="55"/>
      <c r="B531" s="997" t="s">
        <v>615</v>
      </c>
      <c r="C531" s="997"/>
      <c r="D531" s="998"/>
      <c r="E531" s="493" t="n">
        <v>10000</v>
      </c>
      <c r="F531" s="822" t="n">
        <f aca="false">D531*E531</f>
        <v>0</v>
      </c>
      <c r="G531" s="55"/>
      <c r="H531" s="55"/>
      <c r="I531" s="1001"/>
      <c r="J531" s="1001"/>
      <c r="K531" s="1003"/>
      <c r="L531" s="877"/>
      <c r="Q531" s="55"/>
      <c r="R531" s="55"/>
    </row>
    <row r="532" customFormat="false" ht="20.1" hidden="false" customHeight="true" outlineLevel="0" collapsed="false">
      <c r="A532" s="55"/>
      <c r="B532" s="1004"/>
      <c r="C532" s="620"/>
      <c r="E532" s="891" t="s">
        <v>1244</v>
      </c>
      <c r="F532" s="822" t="n">
        <f aca="false">SUM(F519:F524,F526:F531)</f>
        <v>87075</v>
      </c>
      <c r="G532" s="620"/>
      <c r="H532" s="620"/>
      <c r="I532" s="879"/>
      <c r="J532" s="879"/>
      <c r="K532" s="903"/>
      <c r="L532" s="877"/>
      <c r="Q532" s="55"/>
      <c r="R532" s="55"/>
    </row>
    <row r="533" customFormat="false" ht="20.1" hidden="false" customHeight="true" outlineLevel="0" collapsed="false">
      <c r="A533" s="408"/>
      <c r="B533" s="1004"/>
      <c r="C533" s="409"/>
      <c r="D533" s="409"/>
      <c r="E533" s="409"/>
      <c r="F533" s="409"/>
      <c r="G533" s="409"/>
      <c r="H533" s="410"/>
      <c r="I533" s="411"/>
      <c r="J533" s="412"/>
      <c r="K533" s="866"/>
      <c r="L533" s="868"/>
      <c r="Q533" s="55"/>
      <c r="R533" s="55"/>
    </row>
    <row r="534" customFormat="false" ht="20.1" hidden="false" customHeight="true" outlineLevel="0" collapsed="false">
      <c r="A534" s="408"/>
      <c r="B534" s="408"/>
      <c r="C534" s="409"/>
      <c r="D534" s="409"/>
      <c r="E534" s="409"/>
      <c r="F534" s="409"/>
      <c r="G534" s="409"/>
      <c r="H534" s="410"/>
      <c r="I534" s="411"/>
      <c r="J534" s="412"/>
      <c r="K534" s="866"/>
      <c r="L534" s="868"/>
      <c r="Q534" s="55"/>
      <c r="R534" s="55"/>
    </row>
    <row r="535" customFormat="false" ht="20.1" hidden="false" customHeight="true" outlineLevel="0" collapsed="false">
      <c r="A535" s="869" t="s">
        <v>1339</v>
      </c>
      <c r="B535" s="869"/>
      <c r="C535" s="869"/>
      <c r="D535" s="869"/>
      <c r="E535" s="869"/>
      <c r="F535" s="869"/>
      <c r="G535" s="869"/>
      <c r="H535" s="53"/>
      <c r="I535" s="53"/>
      <c r="J535" s="53"/>
      <c r="K535" s="870"/>
      <c r="L535" s="871" t="s">
        <v>1340</v>
      </c>
      <c r="Q535" s="55"/>
      <c r="R535" s="55"/>
    </row>
    <row r="536" customFormat="false" ht="20.1" hidden="false" customHeight="true" outlineLevel="0" collapsed="false">
      <c r="A536" s="1005"/>
      <c r="B536" s="1005"/>
      <c r="C536" s="1005"/>
      <c r="D536" s="1005"/>
      <c r="E536" s="1005"/>
      <c r="F536" s="409"/>
      <c r="G536" s="409"/>
      <c r="H536" s="410"/>
      <c r="I536" s="411"/>
      <c r="J536" s="412"/>
      <c r="K536" s="903"/>
      <c r="L536" s="654"/>
      <c r="Q536" s="55"/>
      <c r="R536" s="55"/>
    </row>
    <row r="537" customFormat="false" ht="20.1" hidden="false" customHeight="true" outlineLevel="0" collapsed="false">
      <c r="E537" s="409"/>
      <c r="G537" s="1006" t="s">
        <v>619</v>
      </c>
      <c r="H537" s="1006"/>
      <c r="I537" s="1006"/>
      <c r="J537" s="902" t="s">
        <v>620</v>
      </c>
      <c r="K537" s="903"/>
      <c r="L537" s="982" t="s">
        <v>1323</v>
      </c>
      <c r="M537" s="982"/>
      <c r="Q537" s="55"/>
      <c r="R537" s="55"/>
    </row>
    <row r="538" customFormat="false" ht="20.1" hidden="false" customHeight="true" outlineLevel="0" collapsed="false">
      <c r="A538" s="1007"/>
      <c r="B538" s="1007"/>
      <c r="C538" s="0"/>
      <c r="D538" s="620"/>
      <c r="J538" s="11"/>
      <c r="K538" s="903"/>
      <c r="L538" s="982"/>
      <c r="M538" s="982"/>
      <c r="Q538" s="55"/>
      <c r="R538" s="55"/>
    </row>
    <row r="539" customFormat="false" ht="20.1" hidden="false" customHeight="true" outlineLevel="0" collapsed="false">
      <c r="A539" s="1007"/>
      <c r="B539" s="1007"/>
      <c r="C539" s="0"/>
      <c r="D539" s="620"/>
      <c r="J539" s="11"/>
      <c r="K539" s="903"/>
      <c r="L539" s="982"/>
      <c r="M539" s="982"/>
      <c r="Q539" s="55"/>
      <c r="R539" s="55"/>
    </row>
    <row r="540" customFormat="false" ht="20.1" hidden="false" customHeight="true" outlineLevel="0" collapsed="false">
      <c r="A540" s="408"/>
      <c r="B540" s="408"/>
      <c r="C540" s="409"/>
      <c r="D540" s="409"/>
      <c r="E540" s="1008" t="s">
        <v>1341</v>
      </c>
      <c r="F540" s="1008"/>
      <c r="G540" s="1008"/>
      <c r="H540" s="1009" t="n">
        <v>73</v>
      </c>
      <c r="I540" s="11" t="s">
        <v>94</v>
      </c>
      <c r="J540" s="984" t="n">
        <f aca="false">H540/B24</f>
        <v>0.948051948051948</v>
      </c>
      <c r="K540" s="903"/>
      <c r="L540" s="982" t="s">
        <v>1319</v>
      </c>
      <c r="M540" s="982"/>
      <c r="Q540" s="55"/>
      <c r="R540" s="55"/>
    </row>
    <row r="541" customFormat="false" ht="15.75" hidden="false" customHeight="true" outlineLevel="0" collapsed="false">
      <c r="A541" s="1007"/>
      <c r="B541" s="1007"/>
      <c r="C541" s="0"/>
      <c r="D541" s="620"/>
      <c r="E541" s="620"/>
      <c r="J541" s="14"/>
      <c r="K541" s="903"/>
      <c r="L541" s="982"/>
      <c r="M541" s="982"/>
      <c r="Q541" s="55"/>
      <c r="R541" s="55"/>
    </row>
    <row r="542" customFormat="false" ht="20.1" hidden="false" customHeight="true" outlineLevel="0" collapsed="false">
      <c r="A542" s="14"/>
      <c r="B542" s="0"/>
      <c r="C542" s="14"/>
      <c r="D542" s="0"/>
      <c r="E542" s="1008" t="s">
        <v>1342</v>
      </c>
      <c r="F542" s="1008"/>
      <c r="G542" s="1008"/>
      <c r="H542" s="1009"/>
      <c r="I542" s="11" t="s">
        <v>1343</v>
      </c>
      <c r="J542" s="984" t="n">
        <f aca="false">IF(I97=0,0,H542/I97)</f>
        <v>0</v>
      </c>
      <c r="K542" s="903"/>
      <c r="L542" s="982" t="s">
        <v>1119</v>
      </c>
      <c r="M542" s="982"/>
      <c r="Q542" s="55"/>
      <c r="R542" s="55"/>
    </row>
    <row r="543" customFormat="false" ht="16.5" hidden="false" customHeight="true" outlineLevel="0" collapsed="false">
      <c r="A543" s="0"/>
      <c r="B543" s="1010"/>
      <c r="C543" s="1010"/>
      <c r="D543" s="0"/>
      <c r="E543" s="0"/>
      <c r="J543" s="11"/>
      <c r="K543" s="903"/>
      <c r="L543" s="982"/>
      <c r="M543" s="982"/>
      <c r="Q543" s="55"/>
      <c r="R543" s="55"/>
    </row>
    <row r="544" customFormat="false" ht="20.1" hidden="false" customHeight="true" outlineLevel="0" collapsed="false">
      <c r="A544" s="0"/>
      <c r="B544" s="1010"/>
      <c r="C544" s="1010"/>
      <c r="D544" s="1010"/>
      <c r="E544" s="0"/>
      <c r="J544" s="11"/>
      <c r="K544" s="903"/>
      <c r="L544" s="982"/>
      <c r="M544" s="982"/>
      <c r="Q544" s="55"/>
      <c r="R544" s="55"/>
    </row>
    <row r="545" customFormat="false" ht="35.25" hidden="false" customHeight="true" outlineLevel="0" collapsed="false">
      <c r="A545" s="0"/>
      <c r="B545" s="1011"/>
      <c r="C545" s="14"/>
      <c r="D545" s="14"/>
      <c r="E545" s="1012" t="s">
        <v>618</v>
      </c>
      <c r="F545" s="1012"/>
      <c r="G545" s="1012"/>
      <c r="H545" s="1012"/>
      <c r="I545" s="1012"/>
      <c r="J545" s="902" t="s">
        <v>254</v>
      </c>
      <c r="K545" s="903"/>
      <c r="L545" s="982" t="s">
        <v>1323</v>
      </c>
      <c r="M545" s="982"/>
      <c r="Q545" s="55"/>
      <c r="R545" s="55"/>
    </row>
    <row r="546" customFormat="false" ht="20.1" hidden="false" customHeight="true" outlineLevel="0" collapsed="false">
      <c r="A546" s="408"/>
      <c r="B546" s="408"/>
      <c r="C546" s="409"/>
      <c r="D546" s="409"/>
      <c r="F546" s="446"/>
      <c r="G546" s="14"/>
      <c r="H546" s="14"/>
      <c r="I546" s="14"/>
      <c r="J546" s="14"/>
      <c r="K546" s="866"/>
      <c r="L546" s="868"/>
      <c r="M546" s="0"/>
      <c r="Q546" s="55"/>
      <c r="R546" s="55"/>
    </row>
    <row r="547" customFormat="false" ht="20.1" hidden="false" customHeight="true" outlineLevel="0" collapsed="false">
      <c r="A547" s="1013"/>
      <c r="B547" s="422"/>
      <c r="C547" s="422"/>
      <c r="D547" s="422"/>
      <c r="E547" s="422"/>
      <c r="F547" s="422"/>
      <c r="G547" s="422"/>
      <c r="H547" s="422"/>
      <c r="I547" s="422"/>
      <c r="J547" s="1001"/>
      <c r="K547" s="903"/>
      <c r="L547" s="877"/>
      <c r="M547" s="0"/>
      <c r="N547" s="55"/>
      <c r="O547" s="55"/>
      <c r="Q547" s="55"/>
      <c r="R547" s="55"/>
    </row>
    <row r="548" customFormat="false" ht="20.1" hidden="false" customHeight="true" outlineLevel="0" collapsed="false">
      <c r="A548" s="869" t="s">
        <v>1344</v>
      </c>
      <c r="B548" s="869"/>
      <c r="C548" s="869"/>
      <c r="D548" s="869"/>
      <c r="E548" s="869"/>
      <c r="F548" s="869"/>
      <c r="G548" s="869"/>
      <c r="H548" s="53"/>
      <c r="I548" s="53"/>
      <c r="J548" s="53"/>
      <c r="K548" s="870"/>
      <c r="L548" s="871" t="s">
        <v>1345</v>
      </c>
      <c r="M548" s="0"/>
      <c r="N548" s="55"/>
      <c r="O548" s="55"/>
      <c r="Q548" s="55"/>
      <c r="R548" s="55"/>
    </row>
    <row r="549" customFormat="false" ht="20.1" hidden="false" customHeight="true" outlineLevel="0" collapsed="false">
      <c r="A549" s="1005"/>
      <c r="B549" s="1005"/>
      <c r="C549" s="1005"/>
      <c r="D549" s="1005"/>
      <c r="E549" s="1005"/>
      <c r="F549" s="422"/>
      <c r="G549" s="422"/>
      <c r="H549" s="422"/>
      <c r="I549" s="422"/>
      <c r="J549" s="1001"/>
      <c r="K549" s="903"/>
      <c r="L549" s="877"/>
      <c r="M549" s="0"/>
      <c r="N549" s="55"/>
      <c r="O549" s="55"/>
      <c r="Q549" s="55"/>
      <c r="R549" s="55"/>
    </row>
    <row r="550" customFormat="false" ht="20.1" hidden="false" customHeight="true" outlineLevel="0" collapsed="false">
      <c r="A550" s="1013"/>
      <c r="B550" s="422"/>
      <c r="C550" s="905" t="s">
        <v>539</v>
      </c>
      <c r="D550" s="905"/>
      <c r="E550" s="905"/>
      <c r="F550" s="905"/>
      <c r="G550" s="905"/>
      <c r="H550" s="1014" t="s">
        <v>1346</v>
      </c>
      <c r="I550" s="1014"/>
      <c r="J550" s="1014"/>
      <c r="K550" s="903"/>
      <c r="L550" s="877" t="s">
        <v>1319</v>
      </c>
      <c r="M550" s="0"/>
      <c r="N550" s="55"/>
      <c r="O550" s="55"/>
      <c r="Q550" s="55"/>
      <c r="R550" s="55"/>
    </row>
    <row r="551" customFormat="false" ht="20.1" hidden="false" customHeight="true" outlineLevel="0" collapsed="false">
      <c r="A551" s="1013"/>
      <c r="B551" s="422"/>
      <c r="C551" s="422"/>
      <c r="D551" s="422"/>
      <c r="E551" s="863"/>
      <c r="F551" s="863"/>
      <c r="G551" s="451"/>
      <c r="H551" s="0"/>
      <c r="I551" s="863"/>
      <c r="J551" s="1001"/>
      <c r="K551" s="903"/>
      <c r="L551" s="877"/>
      <c r="M551" s="0"/>
      <c r="N551" s="55"/>
      <c r="O551" s="55"/>
      <c r="Q551" s="55"/>
      <c r="R551" s="55"/>
    </row>
    <row r="552" customFormat="false" ht="20.1" hidden="false" customHeight="true" outlineLevel="0" collapsed="false">
      <c r="A552" s="1013"/>
      <c r="B552" s="422"/>
      <c r="C552" s="422"/>
      <c r="D552" s="422"/>
      <c r="E552" s="863"/>
      <c r="F552" s="863"/>
      <c r="G552" s="451"/>
      <c r="H552" s="0"/>
      <c r="I552" s="863"/>
      <c r="J552" s="1001"/>
      <c r="K552" s="903"/>
      <c r="L552" s="877"/>
      <c r="M552" s="0"/>
      <c r="N552" s="55"/>
      <c r="O552" s="55"/>
      <c r="Q552" s="55"/>
      <c r="R552" s="55"/>
    </row>
    <row r="553" customFormat="false" ht="20.1" hidden="false" customHeight="true" outlineLevel="0" collapsed="false">
      <c r="A553" s="1013"/>
      <c r="B553" s="422"/>
      <c r="C553" s="422"/>
      <c r="D553" s="1015" t="s">
        <v>661</v>
      </c>
      <c r="E553" s="1015"/>
      <c r="F553" s="1015"/>
      <c r="G553" s="1015"/>
      <c r="H553" s="1016" t="s">
        <v>1347</v>
      </c>
      <c r="I553" s="1017" t="n">
        <f aca="false">IF(H553="Oui",1,0)</f>
        <v>1</v>
      </c>
      <c r="J553" s="1001"/>
      <c r="K553" s="903"/>
      <c r="L553" s="877" t="s">
        <v>1348</v>
      </c>
      <c r="M553" s="0"/>
      <c r="N553" s="55"/>
      <c r="O553" s="55"/>
      <c r="Q553" s="55"/>
      <c r="R553" s="55"/>
    </row>
    <row r="554" customFormat="false" ht="20.1" hidden="false" customHeight="true" outlineLevel="0" collapsed="false">
      <c r="A554" s="1013"/>
      <c r="B554" s="422"/>
      <c r="C554" s="422"/>
      <c r="D554" s="1015" t="s">
        <v>1349</v>
      </c>
      <c r="E554" s="1015"/>
      <c r="F554" s="1015"/>
      <c r="G554" s="1015"/>
      <c r="H554" s="1016" t="s">
        <v>1347</v>
      </c>
      <c r="I554" s="1017" t="n">
        <f aca="false">IF(H554="Oui",1,0)</f>
        <v>1</v>
      </c>
      <c r="J554" s="1001"/>
      <c r="K554" s="903"/>
      <c r="L554" s="877"/>
      <c r="M554" s="0"/>
      <c r="N554" s="55"/>
      <c r="O554" s="55"/>
      <c r="Q554" s="55"/>
      <c r="R554" s="55"/>
    </row>
    <row r="555" customFormat="false" ht="20.1" hidden="false" customHeight="true" outlineLevel="0" collapsed="false">
      <c r="A555" s="1013"/>
      <c r="B555" s="422"/>
      <c r="C555" s="422"/>
      <c r="D555" s="1015" t="s">
        <v>1350</v>
      </c>
      <c r="E555" s="1015"/>
      <c r="F555" s="1015"/>
      <c r="G555" s="1015"/>
      <c r="H555" s="1016" t="s">
        <v>1346</v>
      </c>
      <c r="I555" s="1017" t="n">
        <f aca="false">IF(H555="Oui",1,0)</f>
        <v>0</v>
      </c>
      <c r="J555" s="1001"/>
      <c r="K555" s="903"/>
      <c r="L555" s="877"/>
      <c r="M555" s="0"/>
      <c r="N555" s="55"/>
      <c r="O555" s="55"/>
      <c r="Q555" s="55"/>
      <c r="R555" s="55"/>
    </row>
    <row r="556" customFormat="false" ht="20.1" hidden="false" customHeight="true" outlineLevel="0" collapsed="false">
      <c r="A556" s="1013"/>
      <c r="B556" s="422"/>
      <c r="C556" s="422"/>
      <c r="D556" s="422"/>
      <c r="E556" s="863"/>
      <c r="F556" s="863"/>
      <c r="G556" s="451"/>
      <c r="H556" s="0"/>
      <c r="I556" s="863"/>
      <c r="J556" s="1001"/>
      <c r="K556" s="903"/>
      <c r="L556" s="877"/>
      <c r="M556" s="0"/>
      <c r="N556" s="55"/>
      <c r="O556" s="55"/>
      <c r="Q556" s="55"/>
      <c r="R556" s="55"/>
    </row>
    <row r="557" customFormat="false" ht="20.1" hidden="false" customHeight="true" outlineLevel="0" collapsed="false">
      <c r="A557" s="1013"/>
      <c r="B557" s="422"/>
      <c r="D557" s="977"/>
      <c r="E557" s="977"/>
      <c r="F557" s="977"/>
      <c r="G557" s="977" t="s">
        <v>1351</v>
      </c>
      <c r="H557" s="1018" t="n">
        <f aca="false">SUM(I553:I555)</f>
        <v>2</v>
      </c>
      <c r="K557" s="903"/>
      <c r="L557" s="877"/>
      <c r="M557" s="0"/>
      <c r="N557" s="55"/>
      <c r="O557" s="55"/>
      <c r="Q557" s="55"/>
      <c r="R557" s="55"/>
    </row>
    <row r="558" customFormat="false" ht="20.1" hidden="false" customHeight="true" outlineLevel="0" collapsed="false">
      <c r="A558" s="1013"/>
      <c r="B558" s="422"/>
      <c r="C558" s="422"/>
      <c r="D558" s="422"/>
      <c r="E558" s="422"/>
      <c r="F558" s="422"/>
      <c r="G558" s="1019"/>
      <c r="H558" s="1001"/>
      <c r="I558" s="0"/>
      <c r="J558" s="1001"/>
      <c r="K558" s="903"/>
      <c r="L558" s="877"/>
      <c r="M558" s="0"/>
      <c r="N558" s="55"/>
      <c r="O558" s="55"/>
      <c r="Q558" s="55"/>
      <c r="R558" s="55"/>
    </row>
    <row r="559" customFormat="false" ht="20.1" hidden="false" customHeight="true" outlineLevel="0" collapsed="false">
      <c r="A559" s="1013"/>
      <c r="B559" s="422"/>
      <c r="C559" s="422"/>
      <c r="D559" s="1020" t="s">
        <v>1352</v>
      </c>
      <c r="E559" s="1020"/>
      <c r="F559" s="1020"/>
      <c r="G559" s="1020"/>
      <c r="H559" s="1020"/>
      <c r="I559" s="1020"/>
      <c r="J559" s="1021" t="n">
        <v>0</v>
      </c>
      <c r="K559" s="903"/>
      <c r="L559" s="877" t="s">
        <v>1319</v>
      </c>
      <c r="M559" s="0"/>
      <c r="N559" s="55"/>
      <c r="O559" s="55"/>
      <c r="Q559" s="55"/>
      <c r="R559" s="55"/>
    </row>
    <row r="560" customFormat="false" ht="20.1" hidden="false" customHeight="true" outlineLevel="0" collapsed="false">
      <c r="A560" s="1013"/>
      <c r="B560" s="422"/>
      <c r="C560" s="422"/>
      <c r="D560" s="422"/>
      <c r="E560" s="422"/>
      <c r="F560" s="422"/>
      <c r="I560" s="0"/>
      <c r="J560" s="1001"/>
      <c r="K560" s="903"/>
      <c r="L560" s="877"/>
      <c r="M560" s="0"/>
      <c r="N560" s="55"/>
      <c r="O560" s="55"/>
      <c r="Q560" s="55"/>
      <c r="R560" s="55"/>
    </row>
    <row r="561" customFormat="false" ht="20.1" hidden="false" customHeight="true" outlineLevel="0" collapsed="false">
      <c r="A561" s="28"/>
      <c r="B561" s="28"/>
      <c r="C561" s="935"/>
      <c r="D561" s="935"/>
      <c r="E561" s="0"/>
      <c r="F561" s="0"/>
      <c r="G561" s="0"/>
      <c r="H561" s="0"/>
      <c r="I561" s="1022"/>
      <c r="J561" s="620"/>
      <c r="K561" s="0"/>
      <c r="L561" s="0"/>
      <c r="M561" s="1023"/>
      <c r="N561" s="0"/>
      <c r="O561" s="0"/>
      <c r="Q561" s="55"/>
      <c r="R561" s="55"/>
    </row>
    <row r="562" customFormat="false" ht="20.1" hidden="false" customHeight="true" outlineLevel="0" collapsed="false">
      <c r="A562" s="869" t="s">
        <v>1353</v>
      </c>
      <c r="B562" s="869"/>
      <c r="C562" s="869"/>
      <c r="D562" s="869"/>
      <c r="E562" s="869"/>
      <c r="F562" s="869"/>
      <c r="G562" s="869"/>
      <c r="H562" s="53"/>
      <c r="I562" s="53"/>
      <c r="J562" s="53"/>
      <c r="K562" s="870"/>
      <c r="L562" s="871" t="s">
        <v>1087</v>
      </c>
      <c r="M562" s="1023"/>
      <c r="N562" s="0"/>
      <c r="O562" s="0"/>
      <c r="Q562" s="55"/>
      <c r="R562" s="55"/>
    </row>
    <row r="563" customFormat="false" ht="20.1" hidden="false" customHeight="true" outlineLevel="0" collapsed="false">
      <c r="A563" s="1005"/>
      <c r="B563" s="1005"/>
      <c r="C563" s="1005"/>
      <c r="D563" s="1005"/>
      <c r="E563" s="1005"/>
      <c r="F563" s="19"/>
      <c r="G563" s="1024"/>
      <c r="H563" s="19"/>
      <c r="I563" s="1022"/>
      <c r="J563" s="620"/>
      <c r="K563" s="866"/>
      <c r="L563" s="1025"/>
      <c r="M563" s="1023"/>
      <c r="N563" s="0"/>
      <c r="O563" s="0"/>
      <c r="Q563" s="55"/>
      <c r="R563" s="55"/>
    </row>
    <row r="564" customFormat="false" ht="20.1" hidden="false" customHeight="true" outlineLevel="0" collapsed="false">
      <c r="A564" s="537" t="s">
        <v>1354</v>
      </c>
      <c r="B564" s="1014" t="s">
        <v>1355</v>
      </c>
      <c r="C564" s="1014"/>
      <c r="D564" s="1026"/>
      <c r="E564" s="1005"/>
      <c r="F564" s="19"/>
      <c r="G564" s="19"/>
      <c r="I564" s="1022"/>
      <c r="J564" s="620"/>
      <c r="K564" s="866"/>
      <c r="L564" s="1025"/>
      <c r="M564" s="1023"/>
      <c r="N564" s="0"/>
      <c r="O564" s="0"/>
      <c r="Q564" s="55"/>
      <c r="R564" s="55"/>
    </row>
    <row r="565" customFormat="false" ht="30" hidden="false" customHeight="true" outlineLevel="0" collapsed="false">
      <c r="A565" s="1015"/>
      <c r="B565" s="28"/>
      <c r="C565" s="935"/>
      <c r="D565" s="1024"/>
      <c r="E565" s="1027" t="s">
        <v>1356</v>
      </c>
      <c r="F565" s="1027"/>
      <c r="G565" s="459"/>
      <c r="I565" s="1022"/>
      <c r="J565" s="620"/>
      <c r="K565" s="0"/>
      <c r="L565" s="0"/>
      <c r="M565" s="1023"/>
      <c r="N565" s="0"/>
      <c r="O565" s="0"/>
      <c r="Q565" s="55"/>
      <c r="R565" s="55"/>
    </row>
    <row r="566" customFormat="false" ht="13.5" hidden="false" customHeight="true" outlineLevel="0" collapsed="false">
      <c r="A566" s="1028"/>
      <c r="B566" s="415"/>
      <c r="C566" s="0"/>
      <c r="D566" s="0"/>
      <c r="E566" s="409"/>
      <c r="F566" s="459"/>
      <c r="G566" s="459"/>
      <c r="I566" s="0"/>
      <c r="J566" s="1029"/>
      <c r="K566" s="903"/>
      <c r="L566" s="877"/>
      <c r="M566" s="1023"/>
      <c r="N566" s="0"/>
      <c r="O566" s="0"/>
      <c r="Q566" s="55"/>
      <c r="R566" s="55"/>
    </row>
    <row r="567" customFormat="false" ht="29.25" hidden="false" customHeight="true" outlineLevel="0" collapsed="false">
      <c r="A567" s="537" t="s">
        <v>1357</v>
      </c>
      <c r="B567" s="1030" t="n">
        <f aca="false">I175+B188</f>
        <v>0</v>
      </c>
      <c r="C567" s="11" t="s">
        <v>1358</v>
      </c>
      <c r="D567" s="364" t="s">
        <v>1359</v>
      </c>
      <c r="E567" s="364"/>
      <c r="F567" s="1030" t="n">
        <f aca="false">I98*5</f>
        <v>0</v>
      </c>
      <c r="G567" s="11" t="s">
        <v>1360</v>
      </c>
      <c r="H567" s="1031" t="s">
        <v>1361</v>
      </c>
      <c r="I567" s="1031"/>
      <c r="J567" s="910" t="n">
        <f aca="false">IF(F567&gt;0,1-(B567/F567),0)</f>
        <v>0</v>
      </c>
      <c r="L567" s="0"/>
      <c r="M567" s="1032"/>
      <c r="N567" s="0"/>
      <c r="O567" s="0"/>
      <c r="Q567" s="55"/>
      <c r="R567" s="55"/>
    </row>
    <row r="568" customFormat="false" ht="20.1" hidden="false" customHeight="true" outlineLevel="0" collapsed="false">
      <c r="A568" s="1033"/>
      <c r="B568" s="411"/>
      <c r="C568" s="409"/>
      <c r="D568" s="1034" t="s">
        <v>1362</v>
      </c>
      <c r="E568" s="1034"/>
      <c r="F568" s="1035" t="n">
        <f aca="false">G257+B567</f>
        <v>0</v>
      </c>
      <c r="G568" s="0"/>
      <c r="H568" s="1036"/>
      <c r="I568" s="1036"/>
      <c r="J568" s="1037"/>
      <c r="L568" s="877"/>
      <c r="M568" s="1023"/>
      <c r="N568" s="0"/>
      <c r="O568" s="0"/>
      <c r="Q568" s="55"/>
      <c r="R568" s="55"/>
    </row>
    <row r="569" customFormat="false" ht="20.1" hidden="false" customHeight="true" outlineLevel="0" collapsed="false">
      <c r="A569" s="1033"/>
      <c r="B569" s="411"/>
      <c r="C569" s="409"/>
      <c r="D569" s="1034"/>
      <c r="E569" s="1034"/>
      <c r="F569" s="411"/>
      <c r="G569" s="0"/>
      <c r="H569" s="1036"/>
      <c r="I569" s="1036"/>
      <c r="J569" s="1037"/>
      <c r="L569" s="877"/>
      <c r="M569" s="1023"/>
      <c r="N569" s="0"/>
      <c r="O569" s="0"/>
      <c r="Q569" s="55"/>
      <c r="R569" s="55"/>
    </row>
    <row r="570" customFormat="false" ht="32.25" hidden="false" customHeight="true" outlineLevel="0" collapsed="false">
      <c r="A570" s="537" t="s">
        <v>1363</v>
      </c>
      <c r="B570" s="1038" t="n">
        <f aca="false">SUM(C200,G265:G280,G282:G287)-B188</f>
        <v>75.63</v>
      </c>
      <c r="C570" s="11" t="s">
        <v>1364</v>
      </c>
      <c r="D570" s="364" t="s">
        <v>1365</v>
      </c>
      <c r="E570" s="364"/>
      <c r="F570" s="1009" t="n">
        <v>0</v>
      </c>
      <c r="G570" s="11" t="s">
        <v>1364</v>
      </c>
      <c r="H570" s="1031" t="s">
        <v>1366</v>
      </c>
      <c r="I570" s="1031"/>
      <c r="J570" s="910" t="n">
        <f aca="false">IF(F570&gt;0,1-(B570/F570),0)</f>
        <v>0</v>
      </c>
      <c r="L570" s="1039"/>
      <c r="M570" s="304" t="s">
        <v>1367</v>
      </c>
      <c r="N570" s="304"/>
      <c r="O570" s="1040" t="s">
        <v>1368</v>
      </c>
      <c r="P570" s="1040"/>
      <c r="Q570" s="55"/>
      <c r="R570" s="55"/>
    </row>
    <row r="571" customFormat="false" ht="20.1" hidden="false" customHeight="true" outlineLevel="0" collapsed="false">
      <c r="A571" s="1041"/>
      <c r="B571" s="411"/>
      <c r="C571" s="409"/>
      <c r="D571" s="1034" t="s">
        <v>1362</v>
      </c>
      <c r="E571" s="1034"/>
      <c r="F571" s="1035" t="n">
        <f aca="false">SUM(C200,F265:F280,F282:F287,G265:G280,G282:G287)-SUM(J265:J280,J282:J287)-B188</f>
        <v>75.63</v>
      </c>
      <c r="G571" s="0"/>
      <c r="I571" s="0"/>
      <c r="J571" s="1029"/>
      <c r="K571" s="903"/>
      <c r="L571" s="877"/>
      <c r="M571" s="304"/>
      <c r="N571" s="304"/>
      <c r="O571" s="1040"/>
      <c r="P571" s="1040"/>
      <c r="Q571" s="55"/>
      <c r="R571" s="55"/>
    </row>
    <row r="572" customFormat="false" ht="20.1" hidden="false" customHeight="true" outlineLevel="0" collapsed="false">
      <c r="A572" s="14"/>
      <c r="B572" s="446"/>
      <c r="C572" s="446"/>
      <c r="D572" s="0"/>
      <c r="E572" s="14"/>
      <c r="F572" s="409"/>
      <c r="G572" s="0"/>
      <c r="H572" s="0"/>
      <c r="I572" s="0"/>
      <c r="J572" s="1029"/>
      <c r="K572" s="903"/>
      <c r="L572" s="877"/>
      <c r="M572" s="304"/>
      <c r="N572" s="304"/>
      <c r="O572" s="1040"/>
      <c r="P572" s="1040"/>
      <c r="Q572" s="55"/>
      <c r="R572" s="55"/>
    </row>
    <row r="573" customFormat="false" ht="20.1" hidden="false" customHeight="true" outlineLevel="0" collapsed="false">
      <c r="A573" s="1041"/>
      <c r="B573" s="414"/>
      <c r="C573" s="414"/>
      <c r="D573" s="409"/>
      <c r="E573" s="0"/>
      <c r="F573" s="0"/>
      <c r="G573" s="0"/>
      <c r="H573" s="0"/>
      <c r="I573" s="0"/>
      <c r="J573" s="1029"/>
      <c r="K573" s="903"/>
      <c r="L573" s="877"/>
      <c r="M573" s="1023"/>
      <c r="N573" s="0"/>
      <c r="O573" s="0"/>
      <c r="P573" s="0"/>
      <c r="Q573" s="55"/>
      <c r="R573" s="55"/>
    </row>
    <row r="574" customFormat="false" ht="20.1" hidden="false" customHeight="true" outlineLevel="0" collapsed="false">
      <c r="A574" s="1041"/>
      <c r="B574" s="0"/>
      <c r="C574" s="411"/>
      <c r="D574" s="409"/>
      <c r="E574" s="0"/>
      <c r="F574" s="0"/>
      <c r="G574" s="0"/>
      <c r="H574" s="0"/>
      <c r="I574" s="0"/>
      <c r="J574" s="1029"/>
      <c r="K574" s="903"/>
      <c r="L574" s="877"/>
      <c r="M574" s="1023"/>
      <c r="N574" s="0"/>
      <c r="O574" s="0"/>
      <c r="P574" s="0"/>
      <c r="Q574" s="55"/>
      <c r="R574" s="55"/>
    </row>
    <row r="575" customFormat="false" ht="20.1" hidden="false" customHeight="true" outlineLevel="0" collapsed="false">
      <c r="A575" s="869" t="s">
        <v>1369</v>
      </c>
      <c r="B575" s="869"/>
      <c r="C575" s="869"/>
      <c r="D575" s="869"/>
      <c r="E575" s="869"/>
      <c r="F575" s="869"/>
      <c r="G575" s="869"/>
      <c r="H575" s="53"/>
      <c r="I575" s="53"/>
      <c r="J575" s="53"/>
      <c r="K575" s="870"/>
      <c r="L575" s="871" t="s">
        <v>1370</v>
      </c>
      <c r="M575" s="1023"/>
      <c r="N575" s="0"/>
      <c r="O575" s="0"/>
      <c r="P575" s="0"/>
      <c r="Q575" s="55"/>
      <c r="R575" s="55"/>
    </row>
    <row r="576" customFormat="false" ht="20.1" hidden="false" customHeight="true" outlineLevel="0" collapsed="false">
      <c r="J576" s="11"/>
      <c r="K576" s="903"/>
      <c r="L576" s="877"/>
      <c r="M576" s="1023"/>
      <c r="N576" s="0"/>
      <c r="O576" s="0"/>
      <c r="P576" s="0"/>
      <c r="Q576" s="55"/>
      <c r="R576" s="55"/>
    </row>
    <row r="577" customFormat="false" ht="18" hidden="false" customHeight="true" outlineLevel="0" collapsed="false">
      <c r="A577" s="0"/>
      <c r="B577" s="968" t="s">
        <v>1371</v>
      </c>
      <c r="C577" s="943" t="n">
        <f aca="false">(C578+C579)</f>
        <v>12319.2</v>
      </c>
      <c r="D577" s="410" t="s">
        <v>1372</v>
      </c>
      <c r="F577" s="451" t="s">
        <v>1373</v>
      </c>
      <c r="G577" s="943" t="n">
        <f aca="false">G578+G579</f>
        <v>12697.2</v>
      </c>
      <c r="H577" s="951" t="s">
        <v>1372</v>
      </c>
      <c r="I577" s="909" t="s">
        <v>1374</v>
      </c>
      <c r="J577" s="1042" t="n">
        <f aca="false">IF(G577=0,1,1-(C577/G577))</f>
        <v>0.0297703430677629</v>
      </c>
      <c r="K577" s="903"/>
      <c r="L577" s="903"/>
      <c r="M577" s="1023"/>
      <c r="N577" s="0"/>
      <c r="O577" s="0"/>
      <c r="P577" s="0"/>
      <c r="Q577" s="55"/>
      <c r="R577" s="55"/>
    </row>
    <row r="578" customFormat="false" ht="20.1" hidden="false" customHeight="true" outlineLevel="0" collapsed="false">
      <c r="A578" s="0"/>
      <c r="B578" s="920" t="s">
        <v>1375</v>
      </c>
      <c r="C578" s="411" t="n">
        <f aca="false">'Bilan apparent'!F46</f>
        <v>12319.2</v>
      </c>
      <c r="D578" s="411" t="s">
        <v>551</v>
      </c>
      <c r="F578" s="920" t="s">
        <v>1375</v>
      </c>
      <c r="G578" s="411" t="n">
        <f aca="false">'Bilan apparent'!F46</f>
        <v>12319.2</v>
      </c>
      <c r="H578" s="411" t="s">
        <v>551</v>
      </c>
      <c r="I578" s="909"/>
      <c r="J578" s="1042"/>
      <c r="K578" s="903"/>
      <c r="L578" s="903"/>
      <c r="M578" s="1023"/>
      <c r="N578" s="0"/>
      <c r="O578" s="0"/>
      <c r="P578" s="0"/>
      <c r="Q578" s="55"/>
      <c r="R578" s="55"/>
    </row>
    <row r="579" customFormat="false" ht="20.1" hidden="false" customHeight="true" outlineLevel="0" collapsed="false">
      <c r="A579" s="0"/>
      <c r="B579" s="920" t="s">
        <v>1376</v>
      </c>
      <c r="C579" s="569" t="n">
        <f aca="false">J370</f>
        <v>0</v>
      </c>
      <c r="D579" s="411" t="s">
        <v>551</v>
      </c>
      <c r="E579" s="0"/>
      <c r="F579" s="920" t="s">
        <v>1377</v>
      </c>
      <c r="G579" s="569" t="n">
        <f aca="false">I370</f>
        <v>378</v>
      </c>
      <c r="H579" s="411" t="s">
        <v>551</v>
      </c>
      <c r="I579" s="909"/>
      <c r="J579" s="1042"/>
      <c r="K579" s="903"/>
      <c r="L579" s="903"/>
      <c r="M579" s="1023"/>
      <c r="N579" s="0"/>
      <c r="O579" s="0"/>
      <c r="P579" s="0"/>
      <c r="Q579" s="55"/>
      <c r="R579" s="55"/>
    </row>
    <row r="580" customFormat="false" ht="20.1" hidden="false" customHeight="true" outlineLevel="0" collapsed="false">
      <c r="A580" s="1041"/>
      <c r="B580" s="415"/>
      <c r="C580" s="1043"/>
      <c r="D580" s="409"/>
      <c r="E580" s="0"/>
      <c r="F580" s="409"/>
      <c r="G580" s="409"/>
      <c r="H580" s="55"/>
      <c r="I580" s="55"/>
      <c r="K580" s="903"/>
      <c r="L580" s="903"/>
      <c r="M580" s="1023"/>
      <c r="N580" s="0"/>
      <c r="O580" s="0"/>
      <c r="P580" s="0"/>
      <c r="Q580" s="55"/>
      <c r="R580" s="55"/>
    </row>
    <row r="581" customFormat="false" ht="20.1" hidden="false" customHeight="true" outlineLevel="0" collapsed="false">
      <c r="A581" s="1005"/>
      <c r="B581" s="1005"/>
      <c r="C581" s="1005"/>
      <c r="D581" s="1005"/>
      <c r="E581" s="1005"/>
      <c r="F581" s="409" t="s">
        <v>1378</v>
      </c>
      <c r="G581" s="0"/>
      <c r="H581" s="0"/>
      <c r="I581" s="0"/>
      <c r="J581" s="1029"/>
      <c r="K581" s="903"/>
      <c r="L581" s="903"/>
      <c r="M581" s="1023"/>
      <c r="N581" s="0"/>
      <c r="O581" s="0"/>
      <c r="P581" s="0"/>
      <c r="Q581" s="55"/>
      <c r="R581" s="55"/>
    </row>
    <row r="582" customFormat="false" ht="20.1" hidden="false" customHeight="true" outlineLevel="0" collapsed="false">
      <c r="A582" s="1044" t="s">
        <v>1379</v>
      </c>
      <c r="B582" s="1044"/>
      <c r="C582" s="1044"/>
      <c r="D582" s="1044"/>
      <c r="F582" s="1045" t="n">
        <f aca="false">SUMPRODUCT(C222:C226,E222:E226)+(C236*E236)+SUMPRODUCT(C238:C245,E238:E245)+SUMPRODUCT(C247:C252,E247:E252)+SUM(D282:D287)+SUM(D294:D295)</f>
        <v>0</v>
      </c>
      <c r="G582" s="410" t="s">
        <v>94</v>
      </c>
      <c r="H582" s="1031" t="s">
        <v>1380</v>
      </c>
      <c r="I582" s="1031"/>
      <c r="J582" s="910" t="n">
        <f aca="false">IF(B24-B27&gt;0,(F582+F583*0.3+F584*0.3+F585*0.1)/(B24-B27),0)</f>
        <v>0.153947368421053</v>
      </c>
      <c r="K582" s="903"/>
      <c r="L582" s="903"/>
      <c r="M582" s="1023"/>
      <c r="N582" s="0"/>
      <c r="O582" s="0"/>
      <c r="P582" s="0"/>
      <c r="Q582" s="55"/>
      <c r="R582" s="55"/>
    </row>
    <row r="583" customFormat="false" ht="19.5" hidden="false" customHeight="true" outlineLevel="0" collapsed="false">
      <c r="A583" s="989" t="s">
        <v>515</v>
      </c>
      <c r="B583" s="989"/>
      <c r="C583" s="989"/>
      <c r="D583" s="989"/>
      <c r="F583" s="1016" t="n">
        <v>39</v>
      </c>
      <c r="G583" s="409" t="s">
        <v>94</v>
      </c>
      <c r="H583" s="55"/>
      <c r="I583" s="55"/>
      <c r="J583" s="1029"/>
      <c r="K583" s="903"/>
      <c r="L583" s="903"/>
      <c r="M583" s="1023"/>
      <c r="N583" s="0"/>
      <c r="O583" s="0"/>
      <c r="P583" s="0"/>
      <c r="Q583" s="55"/>
      <c r="R583" s="55"/>
    </row>
    <row r="584" customFormat="false" ht="20.1" hidden="false" customHeight="true" outlineLevel="0" collapsed="false">
      <c r="A584" s="989" t="s">
        <v>516</v>
      </c>
      <c r="B584" s="989"/>
      <c r="C584" s="989"/>
      <c r="D584" s="989"/>
      <c r="E584" s="409"/>
      <c r="F584" s="1016" t="n">
        <v>0</v>
      </c>
      <c r="G584" s="409" t="s">
        <v>94</v>
      </c>
      <c r="H584" s="55"/>
      <c r="I584" s="55"/>
      <c r="J584" s="1029"/>
      <c r="K584" s="903"/>
      <c r="L584" s="903"/>
      <c r="M584" s="1023"/>
      <c r="N584" s="0"/>
      <c r="O584" s="0"/>
      <c r="P584" s="0"/>
      <c r="Q584" s="55"/>
      <c r="R584" s="55"/>
    </row>
    <row r="585" customFormat="false" ht="20.1" hidden="false" customHeight="true" outlineLevel="0" collapsed="false">
      <c r="A585" s="920"/>
      <c r="B585" s="920"/>
      <c r="C585" s="920"/>
      <c r="D585" s="920" t="s">
        <v>517</v>
      </c>
      <c r="E585" s="409"/>
      <c r="F585" s="1016" t="n">
        <v>0</v>
      </c>
      <c r="G585" s="409" t="s">
        <v>94</v>
      </c>
      <c r="H585" s="55"/>
      <c r="I585" s="55"/>
      <c r="J585" s="1029"/>
      <c r="K585" s="903"/>
      <c r="L585" s="877"/>
      <c r="M585" s="1023"/>
      <c r="N585" s="0"/>
      <c r="O585" s="0"/>
      <c r="P585" s="0"/>
      <c r="Q585" s="55"/>
      <c r="R585" s="55"/>
    </row>
    <row r="586" customFormat="false" ht="20.1" hidden="false" customHeight="true" outlineLevel="0" collapsed="false">
      <c r="A586" s="920"/>
      <c r="B586" s="920"/>
      <c r="C586" s="920"/>
      <c r="D586" s="920"/>
      <c r="E586" s="409"/>
      <c r="F586" s="576"/>
      <c r="G586" s="409"/>
      <c r="H586" s="55"/>
      <c r="I586" s="55"/>
      <c r="J586" s="1029"/>
      <c r="K586" s="903"/>
      <c r="L586" s="877"/>
      <c r="M586" s="1023"/>
      <c r="N586" s="0"/>
      <c r="O586" s="0"/>
      <c r="P586" s="0"/>
      <c r="Q586" s="55"/>
      <c r="R586" s="55"/>
    </row>
    <row r="587" customFormat="false" ht="20.1" hidden="false" customHeight="true" outlineLevel="0" collapsed="false">
      <c r="J587" s="11"/>
      <c r="K587" s="903"/>
      <c r="L587" s="877"/>
      <c r="M587" s="1023"/>
      <c r="N587" s="0"/>
      <c r="O587" s="0"/>
      <c r="P587" s="0"/>
      <c r="Q587" s="55"/>
      <c r="R587" s="55"/>
    </row>
    <row r="588" customFormat="false" ht="20.1" hidden="false" customHeight="true" outlineLevel="0" collapsed="false">
      <c r="A588" s="869" t="s">
        <v>1381</v>
      </c>
      <c r="B588" s="869"/>
      <c r="C588" s="869"/>
      <c r="D588" s="869"/>
      <c r="E588" s="869"/>
      <c r="F588" s="869"/>
      <c r="G588" s="869"/>
      <c r="H588" s="53"/>
      <c r="I588" s="53"/>
      <c r="J588" s="53"/>
      <c r="K588" s="870"/>
      <c r="L588" s="871" t="s">
        <v>1382</v>
      </c>
    </row>
    <row r="589" customFormat="false" ht="20.1" hidden="false" customHeight="true" outlineLevel="0" collapsed="false">
      <c r="A589" s="1005"/>
      <c r="B589" s="1005"/>
      <c r="C589" s="1005"/>
      <c r="D589" s="1005"/>
      <c r="E589" s="1005"/>
      <c r="F589" s="1005"/>
      <c r="G589" s="1005"/>
      <c r="H589" s="1046"/>
      <c r="I589" s="55"/>
      <c r="J589" s="414"/>
      <c r="K589" s="903"/>
      <c r="L589" s="877"/>
      <c r="V589" s="0"/>
      <c r="W589" s="0"/>
      <c r="X589" s="0"/>
      <c r="Y589" s="0"/>
      <c r="Z589" s="0"/>
      <c r="AA589" s="0"/>
      <c r="AB589" s="0"/>
      <c r="AC589" s="0"/>
      <c r="AD589" s="0"/>
      <c r="AE589" s="0"/>
      <c r="AF589" s="0"/>
      <c r="AG589" s="0"/>
      <c r="AH589" s="0"/>
      <c r="AI589" s="0"/>
      <c r="AJ589" s="0"/>
      <c r="AK589" s="0"/>
      <c r="AL589" s="0"/>
      <c r="AM589" s="0"/>
      <c r="AN589" s="0"/>
      <c r="AO589" s="0"/>
      <c r="AP589" s="0"/>
      <c r="AQ589" s="0"/>
      <c r="AR589" s="0"/>
      <c r="AS589" s="0"/>
      <c r="AT589" s="0"/>
      <c r="AU589" s="0"/>
      <c r="BI589" s="0"/>
      <c r="BJ589" s="0"/>
      <c r="BK589" s="0"/>
      <c r="BL589" s="0"/>
      <c r="BM589" s="0"/>
      <c r="BN589" s="0"/>
      <c r="BO589" s="0"/>
      <c r="BP589" s="0"/>
      <c r="BQ589" s="0"/>
      <c r="BR589" s="0"/>
      <c r="BS589" s="0"/>
      <c r="BT589" s="0"/>
      <c r="BU589" s="0"/>
      <c r="BV589" s="0"/>
      <c r="BW589" s="0"/>
      <c r="BX589" s="0"/>
      <c r="BY589" s="0"/>
      <c r="BZ589" s="0"/>
      <c r="CA589" s="0"/>
      <c r="CB589" s="0"/>
      <c r="CC589" s="0"/>
      <c r="CD589" s="0"/>
      <c r="CE589" s="0"/>
      <c r="CF589" s="0"/>
      <c r="CG589" s="0"/>
      <c r="CH589" s="0"/>
      <c r="CI589" s="0"/>
      <c r="CJ589" s="0"/>
      <c r="CK589" s="0"/>
      <c r="CL589" s="0"/>
      <c r="CM589" s="0"/>
      <c r="CN589" s="0"/>
      <c r="CO589" s="0"/>
      <c r="CP589" s="0"/>
      <c r="CQ589" s="0"/>
      <c r="CR589" s="0"/>
      <c r="CS589" s="0"/>
      <c r="CT589" s="0"/>
      <c r="CU589" s="0"/>
      <c r="CV589" s="0"/>
      <c r="CW589" s="0"/>
      <c r="CX589" s="0"/>
      <c r="CY589" s="0"/>
      <c r="CZ589" s="0"/>
      <c r="DA589" s="0"/>
      <c r="DB589" s="0"/>
      <c r="DC589" s="0"/>
      <c r="DD589" s="0"/>
      <c r="DE589" s="0"/>
      <c r="DF589" s="0"/>
      <c r="DG589" s="0"/>
      <c r="DH589" s="0"/>
      <c r="DI589" s="0"/>
      <c r="DJ589" s="0"/>
      <c r="DK589" s="0"/>
      <c r="DL589" s="0"/>
      <c r="DM589" s="0"/>
      <c r="DN589" s="0"/>
      <c r="DO589" s="0"/>
      <c r="DP589" s="0"/>
      <c r="DQ589" s="0"/>
      <c r="DR589" s="0"/>
      <c r="DS589" s="0"/>
      <c r="DT589" s="0"/>
      <c r="DU589" s="0"/>
      <c r="DV589" s="0"/>
      <c r="DW589" s="0"/>
      <c r="DX589" s="0"/>
      <c r="DY589" s="0"/>
      <c r="DZ589" s="0"/>
      <c r="EA589" s="0"/>
      <c r="EB589" s="0"/>
      <c r="EC589" s="0"/>
      <c r="ED589" s="0"/>
      <c r="EE589" s="0"/>
      <c r="EF589" s="0"/>
      <c r="EG589" s="0"/>
      <c r="EH589" s="0"/>
      <c r="EI589" s="0"/>
      <c r="EJ589" s="0"/>
      <c r="EK589" s="0"/>
      <c r="EL589" s="0"/>
      <c r="EM589" s="0"/>
      <c r="EN589" s="0"/>
      <c r="EO589" s="0"/>
      <c r="EP589" s="0"/>
      <c r="EQ589" s="0"/>
      <c r="ER589" s="0"/>
      <c r="ES589" s="0"/>
      <c r="ET589" s="0"/>
      <c r="EU589" s="0"/>
      <c r="EV589" s="0"/>
      <c r="EW589" s="0"/>
      <c r="EX589" s="0"/>
      <c r="EY589" s="0"/>
      <c r="EZ589" s="0"/>
      <c r="FA589" s="0"/>
      <c r="FB589" s="0"/>
      <c r="FC589" s="0"/>
      <c r="FD589" s="0"/>
      <c r="FE589" s="0"/>
      <c r="FF589" s="0"/>
      <c r="FG589" s="0"/>
      <c r="FH589" s="0"/>
      <c r="FI589" s="0"/>
      <c r="FJ589" s="0"/>
      <c r="FK589" s="0"/>
      <c r="FL589" s="0"/>
      <c r="FM589" s="0"/>
      <c r="FN589" s="0"/>
      <c r="FO589" s="0"/>
      <c r="FP589" s="0"/>
      <c r="FQ589" s="0"/>
      <c r="FR589" s="0"/>
      <c r="FS589" s="0"/>
      <c r="FT589" s="0"/>
      <c r="FU589" s="0"/>
      <c r="FV589" s="0"/>
      <c r="FW589" s="0"/>
      <c r="FX589" s="0"/>
      <c r="FY589" s="0"/>
      <c r="FZ589" s="0"/>
      <c r="GA589" s="0"/>
      <c r="GB589" s="0"/>
      <c r="GC589" s="0"/>
      <c r="GD589" s="0"/>
      <c r="GE589" s="0"/>
      <c r="GF589" s="0"/>
      <c r="GG589" s="0"/>
      <c r="GH589" s="0"/>
      <c r="GI589" s="0"/>
      <c r="GJ589" s="0"/>
      <c r="GK589" s="0"/>
      <c r="GL589" s="0"/>
      <c r="GM589" s="0"/>
      <c r="GN589" s="0"/>
      <c r="GO589" s="0"/>
      <c r="GP589" s="0"/>
      <c r="GQ589" s="0"/>
      <c r="GR589" s="0"/>
      <c r="GS589" s="0"/>
      <c r="GT589" s="0"/>
      <c r="GU589" s="0"/>
      <c r="GV589" s="0"/>
      <c r="GW589" s="0"/>
      <c r="GX589" s="0"/>
      <c r="GY589" s="0"/>
      <c r="GZ589" s="0"/>
      <c r="HA589" s="0"/>
      <c r="HB589" s="0"/>
      <c r="HC589" s="0"/>
      <c r="HD589" s="0"/>
      <c r="HE589" s="0"/>
      <c r="HF589" s="0"/>
      <c r="HG589" s="0"/>
      <c r="HH589" s="0"/>
      <c r="HI589" s="0"/>
      <c r="HJ589" s="0"/>
      <c r="HK589" s="0"/>
      <c r="HL589" s="0"/>
      <c r="HM589" s="0"/>
      <c r="HN589" s="0"/>
      <c r="HO589" s="0"/>
      <c r="HP589" s="0"/>
      <c r="HQ589" s="0"/>
      <c r="HR589" s="0"/>
      <c r="HS589" s="0"/>
      <c r="HT589" s="0"/>
      <c r="HU589" s="0"/>
      <c r="HV589" s="0"/>
      <c r="HW589" s="0"/>
      <c r="HX589" s="0"/>
      <c r="HY589" s="0"/>
      <c r="HZ589" s="0"/>
      <c r="IA589" s="0"/>
      <c r="IB589" s="0"/>
      <c r="IC589" s="0"/>
      <c r="ID589" s="0"/>
      <c r="IE589" s="0"/>
      <c r="IF589" s="0"/>
      <c r="IG589" s="0"/>
      <c r="IH589" s="0"/>
      <c r="II589" s="0"/>
      <c r="IJ589" s="0"/>
      <c r="IK589" s="0"/>
      <c r="IL589" s="0"/>
      <c r="IM589" s="0"/>
      <c r="IN589" s="0"/>
      <c r="IO589" s="0"/>
      <c r="IP589" s="0"/>
      <c r="IQ589" s="0"/>
      <c r="IR589" s="0"/>
      <c r="IS589" s="0"/>
      <c r="IT589" s="0"/>
      <c r="IU589" s="0"/>
      <c r="IV589" s="0"/>
    </row>
    <row r="590" customFormat="false" ht="20.1" hidden="false" customHeight="true" outlineLevel="0" collapsed="false">
      <c r="A590" s="1047" t="s">
        <v>1383</v>
      </c>
      <c r="B590" s="1026"/>
      <c r="C590" s="1026"/>
      <c r="D590" s="1048" t="s">
        <v>1347</v>
      </c>
      <c r="E590" s="443" t="s">
        <v>1384</v>
      </c>
      <c r="F590" s="1026"/>
      <c r="G590" s="1026"/>
      <c r="H590" s="1046"/>
      <c r="I590" s="55"/>
      <c r="J590" s="414"/>
      <c r="K590" s="903"/>
      <c r="L590" s="877"/>
      <c r="V590" s="0"/>
      <c r="W590" s="0"/>
      <c r="X590" s="0"/>
      <c r="Y590" s="0"/>
      <c r="Z590" s="0"/>
      <c r="AA590" s="0"/>
      <c r="AB590" s="0"/>
      <c r="AC590" s="0"/>
      <c r="AD590" s="0"/>
      <c r="AE590" s="0"/>
      <c r="AF590" s="0"/>
      <c r="AG590" s="0"/>
      <c r="AH590" s="0"/>
      <c r="AI590" s="0"/>
      <c r="AJ590" s="0"/>
      <c r="AK590" s="0"/>
      <c r="AL590" s="0"/>
      <c r="AM590" s="0"/>
      <c r="AN590" s="0"/>
      <c r="AO590" s="0"/>
      <c r="AP590" s="0"/>
      <c r="AQ590" s="0"/>
      <c r="AR590" s="0"/>
      <c r="AS590" s="0"/>
      <c r="AT590" s="0"/>
      <c r="AU590" s="0"/>
      <c r="BI590" s="0"/>
      <c r="BJ590" s="0"/>
      <c r="BK590" s="0"/>
      <c r="BL590" s="0"/>
      <c r="BM590" s="0"/>
      <c r="BN590" s="0"/>
      <c r="BO590" s="0"/>
      <c r="BP590" s="0"/>
      <c r="BQ590" s="0"/>
      <c r="BR590" s="0"/>
      <c r="BS590" s="0"/>
      <c r="BT590" s="0"/>
      <c r="BU590" s="0"/>
      <c r="BV590" s="0"/>
      <c r="BW590" s="0"/>
      <c r="BX590" s="0"/>
      <c r="BY590" s="0"/>
      <c r="BZ590" s="0"/>
      <c r="CA590" s="0"/>
      <c r="CB590" s="0"/>
      <c r="CC590" s="0"/>
      <c r="CD590" s="0"/>
      <c r="CE590" s="0"/>
      <c r="CF590" s="0"/>
      <c r="CG590" s="0"/>
      <c r="CH590" s="0"/>
      <c r="CI590" s="0"/>
      <c r="CJ590" s="0"/>
      <c r="CK590" s="0"/>
      <c r="CL590" s="0"/>
      <c r="CM590" s="0"/>
      <c r="CN590" s="0"/>
      <c r="CO590" s="0"/>
      <c r="CP590" s="0"/>
      <c r="CQ590" s="0"/>
      <c r="CR590" s="0"/>
      <c r="CS590" s="0"/>
      <c r="CT590" s="0"/>
      <c r="CU590" s="0"/>
      <c r="CV590" s="0"/>
      <c r="CW590" s="0"/>
      <c r="CX590" s="0"/>
      <c r="CY590" s="0"/>
      <c r="CZ590" s="0"/>
      <c r="DA590" s="0"/>
      <c r="DB590" s="0"/>
      <c r="DC590" s="0"/>
      <c r="DD590" s="0"/>
      <c r="DE590" s="0"/>
      <c r="DF590" s="0"/>
      <c r="DG590" s="0"/>
      <c r="DH590" s="0"/>
      <c r="DI590" s="0"/>
      <c r="DJ590" s="0"/>
      <c r="DK590" s="0"/>
      <c r="DL590" s="0"/>
      <c r="DM590" s="0"/>
      <c r="DN590" s="0"/>
      <c r="DO590" s="0"/>
      <c r="DP590" s="0"/>
      <c r="DQ590" s="0"/>
      <c r="DR590" s="0"/>
      <c r="DS590" s="0"/>
      <c r="DT590" s="0"/>
      <c r="DU590" s="0"/>
      <c r="DV590" s="0"/>
      <c r="DW590" s="0"/>
      <c r="DX590" s="0"/>
      <c r="DY590" s="0"/>
      <c r="DZ590" s="0"/>
      <c r="EA590" s="0"/>
      <c r="EB590" s="0"/>
      <c r="EC590" s="0"/>
      <c r="ED590" s="0"/>
      <c r="EE590" s="0"/>
      <c r="EF590" s="0"/>
      <c r="EG590" s="0"/>
      <c r="EH590" s="0"/>
      <c r="EI590" s="0"/>
      <c r="EJ590" s="0"/>
      <c r="EK590" s="0"/>
      <c r="EL590" s="0"/>
      <c r="EM590" s="0"/>
      <c r="EN590" s="0"/>
      <c r="EO590" s="0"/>
      <c r="EP590" s="0"/>
      <c r="EQ590" s="0"/>
      <c r="ER590" s="0"/>
      <c r="ES590" s="0"/>
      <c r="ET590" s="0"/>
      <c r="EU590" s="0"/>
      <c r="EV590" s="0"/>
      <c r="EW590" s="0"/>
      <c r="EX590" s="0"/>
      <c r="EY590" s="0"/>
      <c r="EZ590" s="0"/>
      <c r="FA590" s="0"/>
      <c r="FB590" s="0"/>
      <c r="FC590" s="0"/>
      <c r="FD590" s="0"/>
      <c r="FE590" s="0"/>
      <c r="FF590" s="0"/>
      <c r="FG590" s="0"/>
      <c r="FH590" s="0"/>
      <c r="FI590" s="0"/>
      <c r="FJ590" s="0"/>
      <c r="FK590" s="0"/>
      <c r="FL590" s="0"/>
      <c r="FM590" s="0"/>
      <c r="FN590" s="0"/>
      <c r="FO590" s="0"/>
      <c r="FP590" s="0"/>
      <c r="FQ590" s="0"/>
      <c r="FR590" s="0"/>
      <c r="FS590" s="0"/>
      <c r="FT590" s="0"/>
      <c r="FU590" s="0"/>
      <c r="FV590" s="0"/>
      <c r="FW590" s="0"/>
      <c r="FX590" s="0"/>
      <c r="FY590" s="0"/>
      <c r="FZ590" s="0"/>
      <c r="GA590" s="0"/>
      <c r="GB590" s="0"/>
      <c r="GC590" s="0"/>
      <c r="GD590" s="0"/>
      <c r="GE590" s="0"/>
      <c r="GF590" s="0"/>
      <c r="GG590" s="0"/>
      <c r="GH590" s="0"/>
      <c r="GI590" s="0"/>
      <c r="GJ590" s="0"/>
      <c r="GK590" s="0"/>
      <c r="GL590" s="0"/>
      <c r="GM590" s="0"/>
      <c r="GN590" s="0"/>
      <c r="GO590" s="0"/>
      <c r="GP590" s="0"/>
      <c r="GQ590" s="0"/>
      <c r="GR590" s="0"/>
      <c r="GS590" s="0"/>
      <c r="GT590" s="0"/>
      <c r="GU590" s="0"/>
      <c r="GV590" s="0"/>
      <c r="GW590" s="0"/>
      <c r="GX590" s="0"/>
      <c r="GY590" s="0"/>
      <c r="GZ590" s="0"/>
      <c r="HA590" s="0"/>
      <c r="HB590" s="0"/>
      <c r="HC590" s="0"/>
      <c r="HD590" s="0"/>
      <c r="HE590" s="0"/>
      <c r="HF590" s="0"/>
      <c r="HG590" s="0"/>
      <c r="HH590" s="0"/>
      <c r="HI590" s="0"/>
      <c r="HJ590" s="0"/>
      <c r="HK590" s="0"/>
      <c r="HL590" s="0"/>
      <c r="HM590" s="0"/>
      <c r="HN590" s="0"/>
      <c r="HO590" s="0"/>
      <c r="HP590" s="0"/>
      <c r="HQ590" s="0"/>
      <c r="HR590" s="0"/>
      <c r="HS590" s="0"/>
      <c r="HT590" s="0"/>
      <c r="HU590" s="0"/>
      <c r="HV590" s="0"/>
      <c r="HW590" s="0"/>
      <c r="HX590" s="0"/>
      <c r="HY590" s="0"/>
      <c r="HZ590" s="0"/>
      <c r="IA590" s="0"/>
      <c r="IB590" s="0"/>
      <c r="IC590" s="0"/>
      <c r="ID590" s="0"/>
      <c r="IE590" s="0"/>
      <c r="IF590" s="0"/>
      <c r="IG590" s="0"/>
      <c r="IH590" s="0"/>
      <c r="II590" s="0"/>
      <c r="IJ590" s="0"/>
      <c r="IK590" s="0"/>
      <c r="IL590" s="0"/>
      <c r="IM590" s="0"/>
      <c r="IN590" s="0"/>
      <c r="IO590" s="0"/>
      <c r="IP590" s="0"/>
      <c r="IQ590" s="0"/>
      <c r="IR590" s="0"/>
      <c r="IS590" s="0"/>
      <c r="IT590" s="0"/>
      <c r="IU590" s="0"/>
      <c r="IV590" s="0"/>
    </row>
    <row r="591" customFormat="false" ht="20.1" hidden="false" customHeight="true" outlineLevel="0" collapsed="false">
      <c r="A591" s="1049" t="s">
        <v>1385</v>
      </c>
      <c r="B591" s="1050"/>
      <c r="C591" s="1050"/>
      <c r="D591" s="1050"/>
      <c r="E591" s="1050"/>
      <c r="F591" s="1050"/>
      <c r="G591" s="1050"/>
      <c r="H591" s="0"/>
      <c r="I591" s="0"/>
      <c r="J591" s="0"/>
      <c r="K591" s="903"/>
      <c r="L591" s="877"/>
      <c r="V591" s="0"/>
      <c r="W591" s="0"/>
      <c r="X591" s="0"/>
      <c r="Y591" s="0"/>
      <c r="Z591" s="0"/>
      <c r="AA591" s="0"/>
      <c r="AB591" s="0"/>
      <c r="AC591" s="0"/>
      <c r="AD591" s="0"/>
      <c r="AE591" s="0"/>
      <c r="AF591" s="0"/>
      <c r="AG591" s="0"/>
      <c r="AH591" s="0"/>
      <c r="AI591" s="0"/>
      <c r="AJ591" s="0"/>
      <c r="AK591" s="0"/>
      <c r="AL591" s="0"/>
      <c r="AM591" s="0"/>
      <c r="AN591" s="0"/>
      <c r="AO591" s="0"/>
      <c r="AP591" s="0"/>
      <c r="AQ591" s="0"/>
      <c r="AR591" s="0"/>
      <c r="AS591" s="0"/>
      <c r="AT591" s="0"/>
      <c r="AU591" s="0"/>
      <c r="BI591" s="0"/>
      <c r="BJ591" s="0"/>
      <c r="BK591" s="0"/>
      <c r="BL591" s="0"/>
      <c r="BM591" s="0"/>
      <c r="BN591" s="0"/>
      <c r="BO591" s="0"/>
      <c r="BP591" s="0"/>
      <c r="BQ591" s="0"/>
      <c r="BR591" s="0"/>
      <c r="BS591" s="0"/>
      <c r="BT591" s="0"/>
      <c r="BU591" s="0"/>
      <c r="BV591" s="0"/>
      <c r="BW591" s="0"/>
      <c r="BX591" s="0"/>
      <c r="BY591" s="0"/>
      <c r="BZ591" s="0"/>
      <c r="CA591" s="0"/>
      <c r="CB591" s="0"/>
      <c r="CC591" s="0"/>
      <c r="CD591" s="0"/>
      <c r="CE591" s="0"/>
      <c r="CF591" s="0"/>
      <c r="CG591" s="0"/>
      <c r="CH591" s="0"/>
      <c r="CI591" s="0"/>
      <c r="CJ591" s="0"/>
      <c r="CK591" s="0"/>
      <c r="CL591" s="0"/>
      <c r="CM591" s="0"/>
      <c r="CN591" s="0"/>
      <c r="CO591" s="0"/>
      <c r="CP591" s="0"/>
      <c r="CQ591" s="0"/>
      <c r="CR591" s="0"/>
      <c r="CS591" s="0"/>
      <c r="CT591" s="0"/>
      <c r="CU591" s="0"/>
      <c r="CV591" s="0"/>
      <c r="CW591" s="0"/>
      <c r="CX591" s="0"/>
      <c r="CY591" s="0"/>
      <c r="CZ591" s="0"/>
      <c r="DA591" s="0"/>
      <c r="DB591" s="0"/>
      <c r="DC591" s="0"/>
      <c r="DD591" s="0"/>
      <c r="DE591" s="0"/>
      <c r="DF591" s="0"/>
      <c r="DG591" s="0"/>
      <c r="DH591" s="0"/>
      <c r="DI591" s="0"/>
      <c r="DJ591" s="0"/>
      <c r="DK591" s="0"/>
      <c r="DL591" s="0"/>
      <c r="DM591" s="0"/>
      <c r="DN591" s="0"/>
      <c r="DO591" s="0"/>
      <c r="DP591" s="0"/>
      <c r="DQ591" s="0"/>
      <c r="DR591" s="0"/>
      <c r="DS591" s="0"/>
      <c r="DT591" s="0"/>
      <c r="DU591" s="0"/>
      <c r="DV591" s="0"/>
      <c r="DW591" s="0"/>
      <c r="DX591" s="0"/>
      <c r="DY591" s="0"/>
      <c r="DZ591" s="0"/>
      <c r="EA591" s="0"/>
      <c r="EB591" s="0"/>
      <c r="EC591" s="0"/>
      <c r="ED591" s="0"/>
      <c r="EE591" s="0"/>
      <c r="EF591" s="0"/>
      <c r="EG591" s="0"/>
      <c r="EH591" s="0"/>
      <c r="EI591" s="0"/>
      <c r="EJ591" s="0"/>
      <c r="EK591" s="0"/>
      <c r="EL591" s="0"/>
      <c r="EM591" s="0"/>
      <c r="EN591" s="0"/>
      <c r="EO591" s="0"/>
      <c r="EP591" s="0"/>
      <c r="EQ591" s="0"/>
      <c r="ER591" s="0"/>
      <c r="ES591" s="0"/>
      <c r="ET591" s="0"/>
      <c r="EU591" s="0"/>
      <c r="EV591" s="0"/>
      <c r="EW591" s="0"/>
      <c r="EX591" s="0"/>
      <c r="EY591" s="0"/>
      <c r="EZ591" s="0"/>
      <c r="FA591" s="0"/>
      <c r="FB591" s="0"/>
      <c r="FC591" s="0"/>
      <c r="FD591" s="0"/>
      <c r="FE591" s="0"/>
      <c r="FF591" s="0"/>
      <c r="FG591" s="0"/>
      <c r="FH591" s="0"/>
      <c r="FI591" s="0"/>
      <c r="FJ591" s="0"/>
      <c r="FK591" s="0"/>
      <c r="FL591" s="0"/>
      <c r="FM591" s="0"/>
      <c r="FN591" s="0"/>
      <c r="FO591" s="0"/>
      <c r="FP591" s="0"/>
      <c r="FQ591" s="0"/>
      <c r="FR591" s="0"/>
      <c r="FS591" s="0"/>
      <c r="FT591" s="0"/>
      <c r="FU591" s="0"/>
      <c r="FV591" s="0"/>
      <c r="FW591" s="0"/>
      <c r="FX591" s="0"/>
      <c r="FY591" s="0"/>
      <c r="FZ591" s="0"/>
      <c r="GA591" s="0"/>
      <c r="GB591" s="0"/>
      <c r="GC591" s="0"/>
      <c r="GD591" s="0"/>
      <c r="GE591" s="0"/>
      <c r="GF591" s="0"/>
      <c r="GG591" s="0"/>
      <c r="GH591" s="0"/>
      <c r="GI591" s="0"/>
      <c r="GJ591" s="0"/>
      <c r="GK591" s="0"/>
      <c r="GL591" s="0"/>
      <c r="GM591" s="0"/>
      <c r="GN591" s="0"/>
      <c r="GO591" s="0"/>
      <c r="GP591" s="0"/>
      <c r="GQ591" s="0"/>
      <c r="GR591" s="0"/>
      <c r="GS591" s="0"/>
      <c r="GT591" s="0"/>
      <c r="GU591" s="0"/>
      <c r="GV591" s="0"/>
      <c r="GW591" s="0"/>
      <c r="GX591" s="0"/>
      <c r="GY591" s="0"/>
      <c r="GZ591" s="0"/>
      <c r="HA591" s="0"/>
      <c r="HB591" s="0"/>
      <c r="HC591" s="0"/>
      <c r="HD591" s="0"/>
      <c r="HE591" s="0"/>
      <c r="HF591" s="0"/>
      <c r="HG591" s="0"/>
      <c r="HH591" s="0"/>
      <c r="HI591" s="0"/>
      <c r="HJ591" s="0"/>
      <c r="HK591" s="0"/>
      <c r="HL591" s="0"/>
      <c r="HM591" s="0"/>
      <c r="HN591" s="0"/>
      <c r="HO591" s="0"/>
      <c r="HP591" s="0"/>
      <c r="HQ591" s="0"/>
      <c r="HR591" s="0"/>
      <c r="HS591" s="0"/>
      <c r="HT591" s="0"/>
      <c r="HU591" s="0"/>
      <c r="HV591" s="0"/>
      <c r="HW591" s="0"/>
      <c r="HX591" s="0"/>
      <c r="HY591" s="0"/>
      <c r="HZ591" s="0"/>
      <c r="IA591" s="0"/>
      <c r="IB591" s="0"/>
      <c r="IC591" s="0"/>
      <c r="ID591" s="0"/>
      <c r="IE591" s="0"/>
      <c r="IF591" s="0"/>
      <c r="IG591" s="0"/>
      <c r="IH591" s="0"/>
      <c r="II591" s="0"/>
      <c r="IJ591" s="0"/>
      <c r="IK591" s="0"/>
      <c r="IL591" s="0"/>
      <c r="IM591" s="0"/>
      <c r="IN591" s="0"/>
      <c r="IO591" s="0"/>
      <c r="IP591" s="0"/>
      <c r="IQ591" s="0"/>
      <c r="IR591" s="0"/>
      <c r="IS591" s="0"/>
      <c r="IT591" s="0"/>
      <c r="IU591" s="0"/>
      <c r="IV591" s="0"/>
    </row>
    <row r="592" customFormat="false" ht="20.1" hidden="false" customHeight="true" outlineLevel="0" collapsed="false">
      <c r="A592" s="0"/>
      <c r="B592" s="1050"/>
      <c r="C592" s="1050"/>
      <c r="D592" s="1050"/>
      <c r="E592" s="1050"/>
      <c r="F592" s="1050"/>
      <c r="G592" s="1050"/>
      <c r="H592" s="0"/>
      <c r="I592" s="0"/>
      <c r="J592" s="0"/>
      <c r="K592" s="903"/>
      <c r="L592" s="877"/>
      <c r="V592" s="0"/>
      <c r="W592" s="0"/>
      <c r="X592" s="0"/>
      <c r="Y592" s="0"/>
      <c r="Z592" s="0"/>
      <c r="AA592" s="0"/>
      <c r="AB592" s="0"/>
      <c r="AC592" s="0"/>
      <c r="AD592" s="0"/>
      <c r="AE592" s="0"/>
      <c r="AF592" s="0"/>
      <c r="AG592" s="0"/>
      <c r="AH592" s="0"/>
      <c r="AI592" s="0"/>
      <c r="AJ592" s="0"/>
      <c r="AK592" s="0"/>
      <c r="AL592" s="0"/>
      <c r="AM592" s="0"/>
      <c r="AN592" s="0"/>
      <c r="AO592" s="0"/>
      <c r="AP592" s="0"/>
      <c r="AQ592" s="0"/>
      <c r="AR592" s="0"/>
      <c r="AS592" s="0"/>
      <c r="AT592" s="0"/>
      <c r="AU592" s="0"/>
      <c r="BI592" s="0"/>
      <c r="BJ592" s="0"/>
      <c r="BK592" s="0"/>
      <c r="BL592" s="0"/>
      <c r="BM592" s="0"/>
      <c r="BN592" s="0"/>
      <c r="BO592" s="0"/>
      <c r="BP592" s="0"/>
      <c r="BQ592" s="0"/>
      <c r="BR592" s="0"/>
      <c r="BS592" s="0"/>
      <c r="BT592" s="0"/>
      <c r="BU592" s="0"/>
      <c r="BV592" s="0"/>
      <c r="BW592" s="0"/>
      <c r="BX592" s="0"/>
      <c r="BY592" s="0"/>
      <c r="BZ592" s="0"/>
      <c r="CA592" s="0"/>
      <c r="CB592" s="0"/>
      <c r="CC592" s="0"/>
      <c r="CD592" s="0"/>
      <c r="CE592" s="0"/>
      <c r="CF592" s="0"/>
      <c r="CG592" s="0"/>
      <c r="CH592" s="0"/>
      <c r="CI592" s="0"/>
      <c r="CJ592" s="0"/>
      <c r="CK592" s="0"/>
      <c r="CL592" s="0"/>
      <c r="CM592" s="0"/>
      <c r="CN592" s="0"/>
      <c r="CO592" s="0"/>
      <c r="CP592" s="0"/>
      <c r="CQ592" s="0"/>
      <c r="CR592" s="0"/>
      <c r="CS592" s="0"/>
      <c r="CT592" s="0"/>
      <c r="CU592" s="0"/>
      <c r="CV592" s="0"/>
      <c r="CW592" s="0"/>
      <c r="CX592" s="0"/>
      <c r="CY592" s="0"/>
      <c r="CZ592" s="0"/>
      <c r="DA592" s="0"/>
      <c r="DB592" s="0"/>
      <c r="DC592" s="0"/>
      <c r="DD592" s="0"/>
      <c r="DE592" s="0"/>
      <c r="DF592" s="0"/>
      <c r="DG592" s="0"/>
      <c r="DH592" s="0"/>
      <c r="DI592" s="0"/>
      <c r="DJ592" s="0"/>
      <c r="DK592" s="0"/>
      <c r="DL592" s="0"/>
      <c r="DM592" s="0"/>
      <c r="DN592" s="0"/>
      <c r="DO592" s="0"/>
      <c r="DP592" s="0"/>
      <c r="DQ592" s="0"/>
      <c r="DR592" s="0"/>
      <c r="DS592" s="0"/>
      <c r="DT592" s="0"/>
      <c r="DU592" s="0"/>
      <c r="DV592" s="0"/>
      <c r="DW592" s="0"/>
      <c r="DX592" s="0"/>
      <c r="DY592" s="0"/>
      <c r="DZ592" s="0"/>
      <c r="EA592" s="0"/>
      <c r="EB592" s="0"/>
      <c r="EC592" s="0"/>
      <c r="ED592" s="0"/>
      <c r="EE592" s="0"/>
      <c r="EF592" s="0"/>
      <c r="EG592" s="0"/>
      <c r="EH592" s="0"/>
      <c r="EI592" s="0"/>
      <c r="EJ592" s="0"/>
      <c r="EK592" s="0"/>
      <c r="EL592" s="0"/>
      <c r="EM592" s="0"/>
      <c r="EN592" s="0"/>
      <c r="EO592" s="0"/>
      <c r="EP592" s="0"/>
      <c r="EQ592" s="0"/>
      <c r="ER592" s="0"/>
      <c r="ES592" s="0"/>
      <c r="ET592" s="0"/>
      <c r="EU592" s="0"/>
      <c r="EV592" s="0"/>
      <c r="EW592" s="0"/>
      <c r="EX592" s="0"/>
      <c r="EY592" s="0"/>
      <c r="EZ592" s="0"/>
      <c r="FA592" s="0"/>
      <c r="FB592" s="0"/>
      <c r="FC592" s="0"/>
      <c r="FD592" s="0"/>
      <c r="FE592" s="0"/>
      <c r="FF592" s="0"/>
      <c r="FG592" s="0"/>
      <c r="FH592" s="0"/>
      <c r="FI592" s="0"/>
      <c r="FJ592" s="0"/>
      <c r="FK592" s="0"/>
      <c r="FL592" s="0"/>
      <c r="FM592" s="0"/>
      <c r="FN592" s="0"/>
      <c r="FO592" s="0"/>
      <c r="FP592" s="0"/>
      <c r="FQ592" s="0"/>
      <c r="FR592" s="0"/>
      <c r="FS592" s="0"/>
      <c r="FT592" s="0"/>
      <c r="FU592" s="0"/>
      <c r="FV592" s="0"/>
      <c r="FW592" s="0"/>
      <c r="FX592" s="0"/>
      <c r="FY592" s="0"/>
      <c r="FZ592" s="0"/>
      <c r="GA592" s="0"/>
      <c r="GB592" s="0"/>
      <c r="GC592" s="0"/>
      <c r="GD592" s="0"/>
      <c r="GE592" s="0"/>
      <c r="GF592" s="0"/>
      <c r="GG592" s="0"/>
      <c r="GH592" s="0"/>
      <c r="GI592" s="0"/>
      <c r="GJ592" s="0"/>
      <c r="GK592" s="0"/>
      <c r="GL592" s="0"/>
      <c r="GM592" s="0"/>
      <c r="GN592" s="0"/>
      <c r="GO592" s="0"/>
      <c r="GP592" s="0"/>
      <c r="GQ592" s="0"/>
      <c r="GR592" s="0"/>
      <c r="GS592" s="0"/>
      <c r="GT592" s="0"/>
      <c r="GU592" s="0"/>
      <c r="GV592" s="0"/>
      <c r="GW592" s="0"/>
      <c r="GX592" s="0"/>
      <c r="GY592" s="0"/>
      <c r="GZ592" s="0"/>
      <c r="HA592" s="0"/>
      <c r="HB592" s="0"/>
      <c r="HC592" s="0"/>
      <c r="HD592" s="0"/>
      <c r="HE592" s="0"/>
      <c r="HF592" s="0"/>
      <c r="HG592" s="0"/>
      <c r="HH592" s="0"/>
      <c r="HI592" s="0"/>
      <c r="HJ592" s="0"/>
      <c r="HK592" s="0"/>
      <c r="HL592" s="0"/>
      <c r="HM592" s="0"/>
      <c r="HN592" s="0"/>
      <c r="HO592" s="0"/>
      <c r="HP592" s="0"/>
      <c r="HQ592" s="0"/>
      <c r="HR592" s="0"/>
      <c r="HS592" s="0"/>
      <c r="HT592" s="0"/>
      <c r="HU592" s="0"/>
      <c r="HV592" s="0"/>
      <c r="HW592" s="0"/>
      <c r="HX592" s="0"/>
      <c r="HY592" s="0"/>
      <c r="HZ592" s="0"/>
      <c r="IA592" s="0"/>
      <c r="IB592" s="0"/>
      <c r="IC592" s="0"/>
      <c r="ID592" s="0"/>
      <c r="IE592" s="0"/>
      <c r="IF592" s="0"/>
      <c r="IG592" s="0"/>
      <c r="IH592" s="0"/>
      <c r="II592" s="0"/>
      <c r="IJ592" s="0"/>
      <c r="IK592" s="0"/>
      <c r="IL592" s="0"/>
      <c r="IM592" s="0"/>
      <c r="IN592" s="0"/>
      <c r="IO592" s="0"/>
      <c r="IP592" s="0"/>
      <c r="IQ592" s="0"/>
      <c r="IR592" s="0"/>
      <c r="IS592" s="0"/>
      <c r="IT592" s="0"/>
      <c r="IU592" s="0"/>
      <c r="IV592" s="0"/>
    </row>
    <row r="593" customFormat="false" ht="20.1" hidden="false" customHeight="true" outlineLevel="0" collapsed="false">
      <c r="A593" s="1047" t="s">
        <v>1386</v>
      </c>
      <c r="B593" s="0"/>
      <c r="C593" s="1051" t="s">
        <v>568</v>
      </c>
      <c r="D593" s="1051"/>
      <c r="E593" s="1051"/>
      <c r="F593" s="1051"/>
      <c r="G593" s="1050"/>
      <c r="H593" s="0"/>
      <c r="I593" s="0"/>
      <c r="J593" s="0"/>
      <c r="K593" s="903"/>
      <c r="L593" s="877"/>
      <c r="V593" s="0"/>
      <c r="W593" s="0"/>
      <c r="X593" s="0"/>
      <c r="Y593" s="0"/>
      <c r="Z593" s="0"/>
      <c r="AA593" s="0"/>
      <c r="AB593" s="0"/>
      <c r="AC593" s="0"/>
      <c r="AD593" s="0"/>
      <c r="AE593" s="0"/>
      <c r="AF593" s="0"/>
      <c r="AG593" s="0"/>
      <c r="AH593" s="0"/>
      <c r="AI593" s="0"/>
      <c r="AJ593" s="0"/>
      <c r="AK593" s="0"/>
      <c r="AL593" s="0"/>
      <c r="AM593" s="0"/>
      <c r="AN593" s="0"/>
      <c r="AO593" s="0"/>
      <c r="AP593" s="0"/>
      <c r="AQ593" s="0"/>
      <c r="AR593" s="0"/>
      <c r="AS593" s="0"/>
      <c r="AT593" s="0"/>
      <c r="AU593" s="0"/>
      <c r="BI593" s="0"/>
      <c r="BJ593" s="0"/>
      <c r="BK593" s="0"/>
      <c r="BL593" s="0"/>
      <c r="BM593" s="0"/>
      <c r="BN593" s="0"/>
      <c r="BO593" s="0"/>
      <c r="BP593" s="0"/>
      <c r="BQ593" s="0"/>
      <c r="BR593" s="0"/>
      <c r="BS593" s="0"/>
      <c r="BT593" s="0"/>
      <c r="BU593" s="0"/>
      <c r="BV593" s="0"/>
      <c r="BW593" s="0"/>
      <c r="BX593" s="0"/>
      <c r="BY593" s="0"/>
      <c r="BZ593" s="0"/>
      <c r="CA593" s="0"/>
      <c r="CB593" s="0"/>
      <c r="CC593" s="0"/>
      <c r="CD593" s="0"/>
      <c r="CE593" s="0"/>
      <c r="CF593" s="0"/>
      <c r="CG593" s="0"/>
      <c r="CH593" s="0"/>
      <c r="CI593" s="0"/>
      <c r="CJ593" s="0"/>
      <c r="CK593" s="0"/>
      <c r="CL593" s="0"/>
      <c r="CM593" s="0"/>
      <c r="CN593" s="0"/>
      <c r="CO593" s="0"/>
      <c r="CP593" s="0"/>
      <c r="CQ593" s="0"/>
      <c r="CR593" s="0"/>
      <c r="CS593" s="0"/>
      <c r="CT593" s="0"/>
      <c r="CU593" s="0"/>
      <c r="CV593" s="0"/>
      <c r="CW593" s="0"/>
      <c r="CX593" s="0"/>
      <c r="CY593" s="0"/>
      <c r="CZ593" s="0"/>
      <c r="DA593" s="0"/>
      <c r="DB593" s="0"/>
      <c r="DC593" s="0"/>
      <c r="DD593" s="0"/>
      <c r="DE593" s="0"/>
      <c r="DF593" s="0"/>
      <c r="DG593" s="0"/>
      <c r="DH593" s="0"/>
      <c r="DI593" s="0"/>
      <c r="DJ593" s="0"/>
      <c r="DK593" s="0"/>
      <c r="DL593" s="0"/>
      <c r="DM593" s="0"/>
      <c r="DN593" s="0"/>
      <c r="DO593" s="0"/>
      <c r="DP593" s="0"/>
      <c r="DQ593" s="0"/>
      <c r="DR593" s="0"/>
      <c r="DS593" s="0"/>
      <c r="DT593" s="0"/>
      <c r="DU593" s="0"/>
      <c r="DV593" s="0"/>
      <c r="DW593" s="0"/>
      <c r="DX593" s="0"/>
      <c r="DY593" s="0"/>
      <c r="DZ593" s="0"/>
      <c r="EA593" s="0"/>
      <c r="EB593" s="0"/>
      <c r="EC593" s="0"/>
      <c r="ED593" s="0"/>
      <c r="EE593" s="0"/>
      <c r="EF593" s="0"/>
      <c r="EG593" s="0"/>
      <c r="EH593" s="0"/>
      <c r="EI593" s="0"/>
      <c r="EJ593" s="0"/>
      <c r="EK593" s="0"/>
      <c r="EL593" s="0"/>
      <c r="EM593" s="0"/>
      <c r="EN593" s="0"/>
      <c r="EO593" s="0"/>
      <c r="EP593" s="0"/>
      <c r="EQ593" s="0"/>
      <c r="ER593" s="0"/>
      <c r="ES593" s="0"/>
      <c r="ET593" s="0"/>
      <c r="EU593" s="0"/>
      <c r="EV593" s="0"/>
      <c r="EW593" s="0"/>
      <c r="EX593" s="0"/>
      <c r="EY593" s="0"/>
      <c r="EZ593" s="0"/>
      <c r="FA593" s="0"/>
      <c r="FB593" s="0"/>
      <c r="FC593" s="0"/>
      <c r="FD593" s="0"/>
      <c r="FE593" s="0"/>
      <c r="FF593" s="0"/>
      <c r="FG593" s="0"/>
      <c r="FH593" s="0"/>
      <c r="FI593" s="0"/>
      <c r="FJ593" s="0"/>
      <c r="FK593" s="0"/>
      <c r="FL593" s="0"/>
      <c r="FM593" s="0"/>
      <c r="FN593" s="0"/>
      <c r="FO593" s="0"/>
      <c r="FP593" s="0"/>
      <c r="FQ593" s="0"/>
      <c r="FR593" s="0"/>
      <c r="FS593" s="0"/>
      <c r="FT593" s="0"/>
      <c r="FU593" s="0"/>
      <c r="FV593" s="0"/>
      <c r="FW593" s="0"/>
      <c r="FX593" s="0"/>
      <c r="FY593" s="0"/>
      <c r="FZ593" s="0"/>
      <c r="GA593" s="0"/>
      <c r="GB593" s="0"/>
      <c r="GC593" s="0"/>
      <c r="GD593" s="0"/>
      <c r="GE593" s="0"/>
      <c r="GF593" s="0"/>
      <c r="GG593" s="0"/>
      <c r="GH593" s="0"/>
      <c r="GI593" s="0"/>
      <c r="GJ593" s="0"/>
      <c r="GK593" s="0"/>
      <c r="GL593" s="0"/>
      <c r="GM593" s="0"/>
      <c r="GN593" s="0"/>
      <c r="GO593" s="0"/>
      <c r="GP593" s="0"/>
      <c r="GQ593" s="0"/>
      <c r="GR593" s="0"/>
      <c r="GS593" s="0"/>
      <c r="GT593" s="0"/>
      <c r="GU593" s="0"/>
      <c r="GV593" s="0"/>
      <c r="GW593" s="0"/>
      <c r="GX593" s="0"/>
      <c r="GY593" s="0"/>
      <c r="GZ593" s="0"/>
      <c r="HA593" s="0"/>
      <c r="HB593" s="0"/>
      <c r="HC593" s="0"/>
      <c r="HD593" s="0"/>
      <c r="HE593" s="0"/>
      <c r="HF593" s="0"/>
      <c r="HG593" s="0"/>
      <c r="HH593" s="0"/>
      <c r="HI593" s="0"/>
      <c r="HJ593" s="0"/>
      <c r="HK593" s="0"/>
      <c r="HL593" s="0"/>
      <c r="HM593" s="0"/>
      <c r="HN593" s="0"/>
      <c r="HO593" s="0"/>
      <c r="HP593" s="0"/>
      <c r="HQ593" s="0"/>
      <c r="HR593" s="0"/>
      <c r="HS593" s="0"/>
      <c r="HT593" s="0"/>
      <c r="HU593" s="0"/>
      <c r="HV593" s="0"/>
      <c r="HW593" s="0"/>
      <c r="HX593" s="0"/>
      <c r="HY593" s="0"/>
      <c r="HZ593" s="0"/>
      <c r="IA593" s="0"/>
      <c r="IB593" s="0"/>
      <c r="IC593" s="0"/>
      <c r="ID593" s="0"/>
      <c r="IE593" s="0"/>
      <c r="IF593" s="0"/>
      <c r="IG593" s="0"/>
      <c r="IH593" s="0"/>
      <c r="II593" s="0"/>
      <c r="IJ593" s="0"/>
      <c r="IK593" s="0"/>
      <c r="IL593" s="0"/>
      <c r="IM593" s="0"/>
      <c r="IN593" s="0"/>
      <c r="IO593" s="0"/>
      <c r="IP593" s="0"/>
      <c r="IQ593" s="0"/>
      <c r="IR593" s="0"/>
      <c r="IS593" s="0"/>
      <c r="IT593" s="0"/>
      <c r="IU593" s="0"/>
      <c r="IV593" s="0"/>
    </row>
    <row r="594" customFormat="false" ht="15" hidden="false" customHeight="true" outlineLevel="0" collapsed="false">
      <c r="A594" s="1047"/>
      <c r="B594" s="0"/>
      <c r="C594" s="1052" t="s">
        <v>569</v>
      </c>
      <c r="D594" s="1053" t="s">
        <v>570</v>
      </c>
      <c r="E594" s="1053"/>
      <c r="F594" s="1054" t="s">
        <v>571</v>
      </c>
      <c r="G594" s="1050"/>
      <c r="H594" s="0"/>
      <c r="I594" s="0"/>
      <c r="J594" s="0"/>
      <c r="K594" s="903"/>
      <c r="L594" s="877"/>
      <c r="V594" s="0"/>
      <c r="W594" s="0"/>
      <c r="X594" s="0"/>
      <c r="Y594" s="0"/>
      <c r="Z594" s="0"/>
      <c r="AA594" s="0"/>
      <c r="AB594" s="0"/>
      <c r="AC594" s="0"/>
      <c r="AD594" s="0"/>
      <c r="AE594" s="0"/>
      <c r="AF594" s="0"/>
      <c r="AG594" s="0"/>
      <c r="AH594" s="0"/>
      <c r="AI594" s="0"/>
      <c r="AJ594" s="0"/>
      <c r="AK594" s="0"/>
      <c r="AL594" s="0"/>
      <c r="AM594" s="0"/>
      <c r="AN594" s="0"/>
      <c r="AO594" s="0"/>
      <c r="AP594" s="0"/>
      <c r="AQ594" s="0"/>
      <c r="AR594" s="0"/>
      <c r="AS594" s="0"/>
      <c r="AT594" s="0"/>
      <c r="AU594" s="0"/>
      <c r="BI594" s="0"/>
      <c r="BJ594" s="0"/>
      <c r="BK594" s="0"/>
      <c r="BL594" s="0"/>
      <c r="BM594" s="0"/>
      <c r="BN594" s="0"/>
      <c r="BO594" s="0"/>
      <c r="BP594" s="0"/>
      <c r="BQ594" s="0"/>
      <c r="BR594" s="0"/>
      <c r="BS594" s="0"/>
      <c r="BT594" s="0"/>
      <c r="BU594" s="0"/>
      <c r="BV594" s="0"/>
      <c r="BW594" s="0"/>
      <c r="BX594" s="0"/>
      <c r="BY594" s="0"/>
      <c r="BZ594" s="0"/>
      <c r="CA594" s="0"/>
      <c r="CB594" s="0"/>
      <c r="CC594" s="0"/>
      <c r="CD594" s="0"/>
      <c r="CE594" s="0"/>
      <c r="CF594" s="0"/>
      <c r="CG594" s="0"/>
      <c r="CH594" s="0"/>
      <c r="CI594" s="0"/>
      <c r="CJ594" s="0"/>
      <c r="CK594" s="0"/>
      <c r="CL594" s="0"/>
      <c r="CM594" s="0"/>
      <c r="CN594" s="0"/>
      <c r="CO594" s="0"/>
      <c r="CP594" s="0"/>
      <c r="CQ594" s="0"/>
      <c r="CR594" s="0"/>
      <c r="CS594" s="0"/>
      <c r="CT594" s="0"/>
      <c r="CU594" s="0"/>
      <c r="CV594" s="0"/>
      <c r="CW594" s="0"/>
      <c r="CX594" s="0"/>
      <c r="CY594" s="0"/>
      <c r="CZ594" s="0"/>
      <c r="DA594" s="0"/>
      <c r="DB594" s="0"/>
      <c r="DC594" s="0"/>
      <c r="DD594" s="0"/>
      <c r="DE594" s="0"/>
      <c r="DF594" s="0"/>
      <c r="DG594" s="0"/>
      <c r="DH594" s="0"/>
      <c r="DI594" s="0"/>
      <c r="DJ594" s="0"/>
      <c r="DK594" s="0"/>
      <c r="DL594" s="0"/>
      <c r="DM594" s="0"/>
      <c r="DN594" s="0"/>
      <c r="DO594" s="0"/>
      <c r="DP594" s="0"/>
      <c r="DQ594" s="0"/>
      <c r="DR594" s="0"/>
      <c r="DS594" s="0"/>
      <c r="DT594" s="0"/>
      <c r="DU594" s="0"/>
      <c r="DV594" s="0"/>
      <c r="DW594" s="0"/>
      <c r="DX594" s="0"/>
      <c r="DY594" s="0"/>
      <c r="DZ594" s="0"/>
      <c r="EA594" s="0"/>
      <c r="EB594" s="0"/>
      <c r="EC594" s="0"/>
      <c r="ED594" s="0"/>
      <c r="EE594" s="0"/>
      <c r="EF594" s="0"/>
      <c r="EG594" s="0"/>
      <c r="EH594" s="0"/>
      <c r="EI594" s="0"/>
      <c r="EJ594" s="0"/>
      <c r="EK594" s="0"/>
      <c r="EL594" s="0"/>
      <c r="EM594" s="0"/>
      <c r="EN594" s="0"/>
      <c r="EO594" s="0"/>
      <c r="EP594" s="0"/>
      <c r="EQ594" s="0"/>
      <c r="ER594" s="0"/>
      <c r="ES594" s="0"/>
      <c r="ET594" s="0"/>
      <c r="EU594" s="0"/>
      <c r="EV594" s="0"/>
      <c r="EW594" s="0"/>
      <c r="EX594" s="0"/>
      <c r="EY594" s="0"/>
      <c r="EZ594" s="0"/>
      <c r="FA594" s="0"/>
      <c r="FB594" s="0"/>
      <c r="FC594" s="0"/>
      <c r="FD594" s="0"/>
      <c r="FE594" s="0"/>
      <c r="FF594" s="0"/>
      <c r="FG594" s="0"/>
      <c r="FH594" s="0"/>
      <c r="FI594" s="0"/>
      <c r="FJ594" s="0"/>
      <c r="FK594" s="0"/>
      <c r="FL594" s="0"/>
      <c r="FM594" s="0"/>
      <c r="FN594" s="0"/>
      <c r="FO594" s="0"/>
      <c r="FP594" s="0"/>
      <c r="FQ594" s="0"/>
      <c r="FR594" s="0"/>
      <c r="FS594" s="0"/>
      <c r="FT594" s="0"/>
      <c r="FU594" s="0"/>
      <c r="FV594" s="0"/>
      <c r="FW594" s="0"/>
      <c r="FX594" s="0"/>
      <c r="FY594" s="0"/>
      <c r="FZ594" s="0"/>
      <c r="GA594" s="0"/>
      <c r="GB594" s="0"/>
      <c r="GC594" s="0"/>
      <c r="GD594" s="0"/>
      <c r="GE594" s="0"/>
      <c r="GF594" s="0"/>
      <c r="GG594" s="0"/>
      <c r="GH594" s="0"/>
      <c r="GI594" s="0"/>
      <c r="GJ594" s="0"/>
      <c r="GK594" s="0"/>
      <c r="GL594" s="0"/>
      <c r="GM594" s="0"/>
      <c r="GN594" s="0"/>
      <c r="GO594" s="0"/>
      <c r="GP594" s="0"/>
      <c r="GQ594" s="0"/>
      <c r="GR594" s="0"/>
      <c r="GS594" s="0"/>
      <c r="GT594" s="0"/>
      <c r="GU594" s="0"/>
      <c r="GV594" s="0"/>
      <c r="GW594" s="0"/>
      <c r="GX594" s="0"/>
      <c r="GY594" s="0"/>
      <c r="GZ594" s="0"/>
      <c r="HA594" s="0"/>
      <c r="HB594" s="0"/>
      <c r="HC594" s="0"/>
      <c r="HD594" s="0"/>
      <c r="HE594" s="0"/>
      <c r="HF594" s="0"/>
      <c r="HG594" s="0"/>
      <c r="HH594" s="0"/>
      <c r="HI594" s="0"/>
      <c r="HJ594" s="0"/>
      <c r="HK594" s="0"/>
      <c r="HL594" s="0"/>
      <c r="HM594" s="0"/>
      <c r="HN594" s="0"/>
      <c r="HO594" s="0"/>
      <c r="HP594" s="0"/>
      <c r="HQ594" s="0"/>
      <c r="HR594" s="0"/>
      <c r="HS594" s="0"/>
      <c r="HT594" s="0"/>
      <c r="HU594" s="0"/>
      <c r="HV594" s="0"/>
      <c r="HW594" s="0"/>
      <c r="HX594" s="0"/>
      <c r="HY594" s="0"/>
      <c r="HZ594" s="0"/>
      <c r="IA594" s="0"/>
      <c r="IB594" s="0"/>
      <c r="IC594" s="0"/>
      <c r="ID594" s="0"/>
      <c r="IE594" s="0"/>
      <c r="IF594" s="0"/>
      <c r="IG594" s="0"/>
      <c r="IH594" s="0"/>
      <c r="II594" s="0"/>
      <c r="IJ594" s="0"/>
      <c r="IK594" s="0"/>
      <c r="IL594" s="0"/>
      <c r="IM594" s="0"/>
      <c r="IN594" s="0"/>
      <c r="IO594" s="0"/>
      <c r="IP594" s="0"/>
      <c r="IQ594" s="0"/>
      <c r="IR594" s="0"/>
      <c r="IS594" s="0"/>
      <c r="IT594" s="0"/>
      <c r="IU594" s="0"/>
      <c r="IV594" s="0"/>
    </row>
    <row r="595" customFormat="false" ht="20.1" hidden="false" customHeight="true" outlineLevel="0" collapsed="false">
      <c r="A595" s="1055" t="s">
        <v>567</v>
      </c>
      <c r="B595" s="1056" t="s">
        <v>1347</v>
      </c>
      <c r="C595" s="1057" t="s">
        <v>1387</v>
      </c>
      <c r="D595" s="1058" t="s">
        <v>1388</v>
      </c>
      <c r="E595" s="1058"/>
      <c r="F595" s="1059" t="s">
        <v>1389</v>
      </c>
      <c r="G595" s="1050"/>
      <c r="H595" s="0"/>
      <c r="I595" s="0"/>
      <c r="J595" s="0"/>
      <c r="K595" s="903"/>
      <c r="L595" s="877"/>
      <c r="V595" s="0"/>
      <c r="W595" s="0"/>
      <c r="X595" s="0"/>
      <c r="Y595" s="0"/>
      <c r="Z595" s="0"/>
      <c r="AA595" s="0"/>
      <c r="AB595" s="0"/>
      <c r="AC595" s="0"/>
      <c r="AD595" s="0"/>
      <c r="AE595" s="0"/>
      <c r="AF595" s="0"/>
      <c r="AG595" s="0"/>
      <c r="AH595" s="0"/>
      <c r="AI595" s="0"/>
      <c r="AJ595" s="0"/>
      <c r="AK595" s="0"/>
      <c r="AL595" s="0"/>
      <c r="AM595" s="0"/>
      <c r="AN595" s="0"/>
      <c r="AO595" s="0"/>
      <c r="AP595" s="0"/>
      <c r="AQ595" s="0"/>
      <c r="AR595" s="0"/>
      <c r="AS595" s="0"/>
      <c r="AT595" s="0"/>
      <c r="AU595" s="0"/>
      <c r="BI595" s="0"/>
      <c r="BJ595" s="0"/>
      <c r="BK595" s="0"/>
      <c r="BL595" s="0"/>
      <c r="BM595" s="0"/>
      <c r="BN595" s="0"/>
      <c r="BO595" s="0"/>
      <c r="BP595" s="0"/>
      <c r="BQ595" s="0"/>
      <c r="BR595" s="0"/>
      <c r="BS595" s="0"/>
      <c r="BT595" s="0"/>
      <c r="BU595" s="0"/>
      <c r="BV595" s="0"/>
      <c r="BW595" s="0"/>
      <c r="BX595" s="0"/>
      <c r="BY595" s="0"/>
      <c r="BZ595" s="0"/>
      <c r="CA595" s="0"/>
      <c r="CB595" s="0"/>
      <c r="CC595" s="0"/>
      <c r="CD595" s="0"/>
      <c r="CE595" s="0"/>
      <c r="CF595" s="0"/>
      <c r="CG595" s="0"/>
      <c r="CH595" s="0"/>
      <c r="CI595" s="0"/>
      <c r="CJ595" s="0"/>
      <c r="CK595" s="0"/>
      <c r="CL595" s="0"/>
      <c r="CM595" s="0"/>
      <c r="CN595" s="0"/>
      <c r="CO595" s="0"/>
      <c r="CP595" s="0"/>
      <c r="CQ595" s="0"/>
      <c r="CR595" s="0"/>
      <c r="CS595" s="0"/>
      <c r="CT595" s="0"/>
      <c r="CU595" s="0"/>
      <c r="CV595" s="0"/>
      <c r="CW595" s="0"/>
      <c r="CX595" s="0"/>
      <c r="CY595" s="0"/>
      <c r="CZ595" s="0"/>
      <c r="DA595" s="0"/>
      <c r="DB595" s="0"/>
      <c r="DC595" s="0"/>
      <c r="DD595" s="0"/>
      <c r="DE595" s="0"/>
      <c r="DF595" s="0"/>
      <c r="DG595" s="0"/>
      <c r="DH595" s="0"/>
      <c r="DI595" s="0"/>
      <c r="DJ595" s="0"/>
      <c r="DK595" s="0"/>
      <c r="DL595" s="0"/>
      <c r="DM595" s="0"/>
      <c r="DN595" s="0"/>
      <c r="DO595" s="0"/>
      <c r="DP595" s="0"/>
      <c r="DQ595" s="0"/>
      <c r="DR595" s="0"/>
      <c r="DS595" s="0"/>
      <c r="DT595" s="0"/>
      <c r="DU595" s="0"/>
      <c r="DV595" s="0"/>
      <c r="DW595" s="0"/>
      <c r="DX595" s="0"/>
      <c r="DY595" s="0"/>
      <c r="DZ595" s="0"/>
      <c r="EA595" s="0"/>
      <c r="EB595" s="0"/>
      <c r="EC595" s="0"/>
      <c r="ED595" s="0"/>
      <c r="EE595" s="0"/>
      <c r="EF595" s="0"/>
      <c r="EG595" s="0"/>
      <c r="EH595" s="0"/>
      <c r="EI595" s="0"/>
      <c r="EJ595" s="0"/>
      <c r="EK595" s="0"/>
      <c r="EL595" s="0"/>
      <c r="EM595" s="0"/>
      <c r="EN595" s="0"/>
      <c r="EO595" s="0"/>
      <c r="EP595" s="0"/>
      <c r="EQ595" s="0"/>
      <c r="ER595" s="0"/>
      <c r="ES595" s="0"/>
      <c r="ET595" s="0"/>
      <c r="EU595" s="0"/>
      <c r="EV595" s="0"/>
      <c r="EW595" s="0"/>
      <c r="EX595" s="0"/>
      <c r="EY595" s="0"/>
      <c r="EZ595" s="0"/>
      <c r="FA595" s="0"/>
      <c r="FB595" s="0"/>
      <c r="FC595" s="0"/>
      <c r="FD595" s="0"/>
      <c r="FE595" s="0"/>
      <c r="FF595" s="0"/>
      <c r="FG595" s="0"/>
      <c r="FH595" s="0"/>
      <c r="FI595" s="0"/>
      <c r="FJ595" s="0"/>
      <c r="FK595" s="0"/>
      <c r="FL595" s="0"/>
      <c r="FM595" s="0"/>
      <c r="FN595" s="0"/>
      <c r="FO595" s="0"/>
      <c r="FP595" s="0"/>
      <c r="FQ595" s="0"/>
      <c r="FR595" s="0"/>
      <c r="FS595" s="0"/>
      <c r="FT595" s="0"/>
      <c r="FU595" s="0"/>
      <c r="FV595" s="0"/>
      <c r="FW595" s="0"/>
      <c r="FX595" s="0"/>
      <c r="FY595" s="0"/>
      <c r="FZ595" s="0"/>
      <c r="GA595" s="0"/>
      <c r="GB595" s="0"/>
      <c r="GC595" s="0"/>
      <c r="GD595" s="0"/>
      <c r="GE595" s="0"/>
      <c r="GF595" s="0"/>
      <c r="GG595" s="0"/>
      <c r="GH595" s="0"/>
      <c r="GI595" s="0"/>
      <c r="GJ595" s="0"/>
      <c r="GK595" s="0"/>
      <c r="GL595" s="0"/>
      <c r="GM595" s="0"/>
      <c r="GN595" s="0"/>
      <c r="GO595" s="0"/>
      <c r="GP595" s="0"/>
      <c r="GQ595" s="0"/>
      <c r="GR595" s="0"/>
      <c r="GS595" s="0"/>
      <c r="GT595" s="0"/>
      <c r="GU595" s="0"/>
      <c r="GV595" s="0"/>
      <c r="GW595" s="0"/>
      <c r="GX595" s="0"/>
      <c r="GY595" s="0"/>
      <c r="GZ595" s="0"/>
      <c r="HA595" s="0"/>
      <c r="HB595" s="0"/>
      <c r="HC595" s="0"/>
      <c r="HD595" s="0"/>
      <c r="HE595" s="0"/>
      <c r="HF595" s="0"/>
      <c r="HG595" s="0"/>
      <c r="HH595" s="0"/>
      <c r="HI595" s="0"/>
      <c r="HJ595" s="0"/>
      <c r="HK595" s="0"/>
      <c r="HL595" s="0"/>
      <c r="HM595" s="0"/>
      <c r="HN595" s="0"/>
      <c r="HO595" s="0"/>
      <c r="HP595" s="0"/>
      <c r="HQ595" s="0"/>
      <c r="HR595" s="0"/>
      <c r="HS595" s="0"/>
      <c r="HT595" s="0"/>
      <c r="HU595" s="0"/>
      <c r="HV595" s="0"/>
      <c r="HW595" s="0"/>
      <c r="HX595" s="0"/>
      <c r="HY595" s="0"/>
      <c r="HZ595" s="0"/>
      <c r="IA595" s="0"/>
      <c r="IB595" s="0"/>
      <c r="IC595" s="0"/>
      <c r="ID595" s="0"/>
      <c r="IE595" s="0"/>
      <c r="IF595" s="0"/>
      <c r="IG595" s="0"/>
      <c r="IH595" s="0"/>
      <c r="II595" s="0"/>
      <c r="IJ595" s="0"/>
      <c r="IK595" s="0"/>
      <c r="IL595" s="0"/>
      <c r="IM595" s="0"/>
      <c r="IN595" s="0"/>
      <c r="IO595" s="0"/>
      <c r="IP595" s="0"/>
      <c r="IQ595" s="0"/>
      <c r="IR595" s="0"/>
      <c r="IS595" s="0"/>
      <c r="IT595" s="0"/>
      <c r="IU595" s="0"/>
      <c r="IV595" s="0"/>
    </row>
    <row r="596" customFormat="false" ht="20.1" hidden="false" customHeight="true" outlineLevel="0" collapsed="false">
      <c r="A596" s="1055"/>
      <c r="B596" s="1056" t="s">
        <v>1346</v>
      </c>
      <c r="C596" s="1057"/>
      <c r="D596" s="1058" t="s">
        <v>1390</v>
      </c>
      <c r="E596" s="1058"/>
      <c r="F596" s="1059"/>
      <c r="G596" s="1050"/>
      <c r="H596" s="0"/>
      <c r="I596" s="0"/>
      <c r="J596" s="0"/>
      <c r="K596" s="903"/>
      <c r="L596" s="877"/>
      <c r="V596" s="0"/>
      <c r="W596" s="0"/>
      <c r="X596" s="0"/>
      <c r="Y596" s="0"/>
      <c r="Z596" s="0"/>
      <c r="AA596" s="0"/>
      <c r="AB596" s="0"/>
      <c r="AC596" s="0"/>
      <c r="AD596" s="0"/>
      <c r="AE596" s="0"/>
      <c r="AF596" s="0"/>
      <c r="AG596" s="0"/>
      <c r="AH596" s="0"/>
      <c r="AI596" s="0"/>
      <c r="AJ596" s="0"/>
      <c r="AK596" s="0"/>
      <c r="AL596" s="0"/>
      <c r="AM596" s="0"/>
      <c r="AN596" s="0"/>
      <c r="AO596" s="0"/>
      <c r="AP596" s="0"/>
      <c r="AQ596" s="0"/>
      <c r="AR596" s="0"/>
      <c r="AS596" s="0"/>
      <c r="AT596" s="0"/>
      <c r="AU596" s="0"/>
      <c r="BI596" s="0"/>
      <c r="BJ596" s="0"/>
      <c r="BK596" s="0"/>
      <c r="BL596" s="0"/>
      <c r="BM596" s="0"/>
      <c r="BN596" s="0"/>
      <c r="BO596" s="0"/>
      <c r="BP596" s="0"/>
      <c r="BQ596" s="0"/>
      <c r="BR596" s="0"/>
      <c r="BS596" s="0"/>
      <c r="BT596" s="0"/>
      <c r="BU596" s="0"/>
      <c r="BV596" s="0"/>
      <c r="BW596" s="0"/>
      <c r="BX596" s="0"/>
      <c r="BY596" s="0"/>
      <c r="BZ596" s="0"/>
      <c r="CA596" s="0"/>
      <c r="CB596" s="0"/>
      <c r="CC596" s="0"/>
      <c r="CD596" s="0"/>
      <c r="CE596" s="0"/>
      <c r="CF596" s="0"/>
      <c r="CG596" s="0"/>
      <c r="CH596" s="0"/>
      <c r="CI596" s="0"/>
      <c r="CJ596" s="0"/>
      <c r="CK596" s="0"/>
      <c r="CL596" s="0"/>
      <c r="CM596" s="0"/>
      <c r="CN596" s="0"/>
      <c r="CO596" s="0"/>
      <c r="CP596" s="0"/>
      <c r="CQ596" s="0"/>
      <c r="CR596" s="0"/>
      <c r="CS596" s="0"/>
      <c r="CT596" s="0"/>
      <c r="CU596" s="0"/>
      <c r="CV596" s="0"/>
      <c r="CW596" s="0"/>
      <c r="CX596" s="0"/>
      <c r="CY596" s="0"/>
      <c r="CZ596" s="0"/>
      <c r="DA596" s="0"/>
      <c r="DB596" s="0"/>
      <c r="DC596" s="0"/>
      <c r="DD596" s="0"/>
      <c r="DE596" s="0"/>
      <c r="DF596" s="0"/>
      <c r="DG596" s="0"/>
      <c r="DH596" s="0"/>
      <c r="DI596" s="0"/>
      <c r="DJ596" s="0"/>
      <c r="DK596" s="0"/>
      <c r="DL596" s="0"/>
      <c r="DM596" s="0"/>
      <c r="DN596" s="0"/>
      <c r="DO596" s="0"/>
      <c r="DP596" s="0"/>
      <c r="DQ596" s="0"/>
      <c r="DR596" s="0"/>
      <c r="DS596" s="0"/>
      <c r="DT596" s="0"/>
      <c r="DU596" s="0"/>
      <c r="DV596" s="0"/>
      <c r="DW596" s="0"/>
      <c r="DX596" s="0"/>
      <c r="DY596" s="0"/>
      <c r="DZ596" s="0"/>
      <c r="EA596" s="0"/>
      <c r="EB596" s="0"/>
      <c r="EC596" s="0"/>
      <c r="ED596" s="0"/>
      <c r="EE596" s="0"/>
      <c r="EF596" s="0"/>
      <c r="EG596" s="0"/>
      <c r="EH596" s="0"/>
      <c r="EI596" s="0"/>
      <c r="EJ596" s="0"/>
      <c r="EK596" s="0"/>
      <c r="EL596" s="0"/>
      <c r="EM596" s="0"/>
      <c r="EN596" s="0"/>
      <c r="EO596" s="0"/>
      <c r="EP596" s="0"/>
      <c r="EQ596" s="0"/>
      <c r="ER596" s="0"/>
      <c r="ES596" s="0"/>
      <c r="ET596" s="0"/>
      <c r="EU596" s="0"/>
      <c r="EV596" s="0"/>
      <c r="EW596" s="0"/>
      <c r="EX596" s="0"/>
      <c r="EY596" s="0"/>
      <c r="EZ596" s="0"/>
      <c r="FA596" s="0"/>
      <c r="FB596" s="0"/>
      <c r="FC596" s="0"/>
      <c r="FD596" s="0"/>
      <c r="FE596" s="0"/>
      <c r="FF596" s="0"/>
      <c r="FG596" s="0"/>
      <c r="FH596" s="0"/>
      <c r="FI596" s="0"/>
      <c r="FJ596" s="0"/>
      <c r="FK596" s="0"/>
      <c r="FL596" s="0"/>
      <c r="FM596" s="0"/>
      <c r="FN596" s="0"/>
      <c r="FO596" s="0"/>
      <c r="FP596" s="0"/>
      <c r="FQ596" s="0"/>
      <c r="FR596" s="0"/>
      <c r="FS596" s="0"/>
      <c r="FT596" s="0"/>
      <c r="FU596" s="0"/>
      <c r="FV596" s="0"/>
      <c r="FW596" s="0"/>
      <c r="FX596" s="0"/>
      <c r="FY596" s="0"/>
      <c r="FZ596" s="0"/>
      <c r="GA596" s="0"/>
      <c r="GB596" s="0"/>
      <c r="GC596" s="0"/>
      <c r="GD596" s="0"/>
      <c r="GE596" s="0"/>
      <c r="GF596" s="0"/>
      <c r="GG596" s="0"/>
      <c r="GH596" s="0"/>
      <c r="GI596" s="0"/>
      <c r="GJ596" s="0"/>
      <c r="GK596" s="0"/>
      <c r="GL596" s="0"/>
      <c r="GM596" s="0"/>
      <c r="GN596" s="0"/>
      <c r="GO596" s="0"/>
      <c r="GP596" s="0"/>
      <c r="GQ596" s="0"/>
      <c r="GR596" s="0"/>
      <c r="GS596" s="0"/>
      <c r="GT596" s="0"/>
      <c r="GU596" s="0"/>
      <c r="GV596" s="0"/>
      <c r="GW596" s="0"/>
      <c r="GX596" s="0"/>
      <c r="GY596" s="0"/>
      <c r="GZ596" s="0"/>
      <c r="HA596" s="0"/>
      <c r="HB596" s="0"/>
      <c r="HC596" s="0"/>
      <c r="HD596" s="0"/>
      <c r="HE596" s="0"/>
      <c r="HF596" s="0"/>
      <c r="HG596" s="0"/>
      <c r="HH596" s="0"/>
      <c r="HI596" s="0"/>
      <c r="HJ596" s="0"/>
      <c r="HK596" s="0"/>
      <c r="HL596" s="0"/>
      <c r="HM596" s="0"/>
      <c r="HN596" s="0"/>
      <c r="HO596" s="0"/>
      <c r="HP596" s="0"/>
      <c r="HQ596" s="0"/>
      <c r="HR596" s="0"/>
      <c r="HS596" s="0"/>
      <c r="HT596" s="0"/>
      <c r="HU596" s="0"/>
      <c r="HV596" s="0"/>
      <c r="HW596" s="0"/>
      <c r="HX596" s="0"/>
      <c r="HY596" s="0"/>
      <c r="HZ596" s="0"/>
      <c r="IA596" s="0"/>
      <c r="IB596" s="0"/>
      <c r="IC596" s="0"/>
      <c r="ID596" s="0"/>
      <c r="IE596" s="0"/>
      <c r="IF596" s="0"/>
      <c r="IG596" s="0"/>
      <c r="IH596" s="0"/>
      <c r="II596" s="0"/>
      <c r="IJ596" s="0"/>
      <c r="IK596" s="0"/>
      <c r="IL596" s="0"/>
      <c r="IM596" s="0"/>
      <c r="IN596" s="0"/>
      <c r="IO596" s="0"/>
      <c r="IP596" s="0"/>
      <c r="IQ596" s="0"/>
      <c r="IR596" s="0"/>
      <c r="IS596" s="0"/>
      <c r="IT596" s="0"/>
      <c r="IU596" s="0"/>
      <c r="IV596" s="0"/>
    </row>
    <row r="597" customFormat="false" ht="16.5" hidden="false" customHeight="true" outlineLevel="0" collapsed="false">
      <c r="A597" s="1050"/>
      <c r="B597" s="1050"/>
      <c r="C597" s="1050"/>
      <c r="D597" s="1050"/>
      <c r="E597" s="1050"/>
      <c r="F597" s="1050"/>
      <c r="G597" s="1050"/>
      <c r="H597" s="0"/>
      <c r="I597" s="0"/>
      <c r="J597" s="0"/>
      <c r="K597" s="903"/>
      <c r="L597" s="877"/>
      <c r="V597" s="0"/>
      <c r="W597" s="0"/>
      <c r="X597" s="0"/>
      <c r="Y597" s="0"/>
      <c r="Z597" s="0"/>
      <c r="AA597" s="0"/>
      <c r="AB597" s="0"/>
      <c r="AC597" s="0"/>
      <c r="AD597" s="0"/>
      <c r="AE597" s="0"/>
      <c r="AF597" s="0"/>
      <c r="AG597" s="0"/>
      <c r="AH597" s="0"/>
      <c r="AI597" s="0"/>
      <c r="AJ597" s="0"/>
      <c r="AK597" s="0"/>
      <c r="AL597" s="0"/>
      <c r="AM597" s="0"/>
      <c r="AN597" s="0"/>
      <c r="AO597" s="0"/>
      <c r="AP597" s="0"/>
      <c r="AQ597" s="0"/>
      <c r="AR597" s="0"/>
      <c r="AS597" s="0"/>
      <c r="AT597" s="0"/>
      <c r="AU597" s="0"/>
      <c r="BI597" s="0"/>
      <c r="BJ597" s="0"/>
      <c r="BK597" s="0"/>
      <c r="BL597" s="0"/>
      <c r="BM597" s="0"/>
      <c r="BN597" s="0"/>
      <c r="BO597" s="0"/>
      <c r="BP597" s="0"/>
      <c r="BQ597" s="0"/>
      <c r="BR597" s="0"/>
      <c r="BS597" s="0"/>
      <c r="BT597" s="0"/>
      <c r="BU597" s="0"/>
      <c r="BV597" s="0"/>
      <c r="BW597" s="0"/>
      <c r="BX597" s="0"/>
      <c r="BY597" s="0"/>
      <c r="BZ597" s="0"/>
      <c r="CA597" s="0"/>
      <c r="CB597" s="0"/>
      <c r="CC597" s="0"/>
      <c r="CD597" s="0"/>
      <c r="CE597" s="0"/>
      <c r="CF597" s="0"/>
      <c r="CG597" s="0"/>
      <c r="CH597" s="0"/>
      <c r="CI597" s="0"/>
      <c r="CJ597" s="0"/>
      <c r="CK597" s="0"/>
      <c r="CL597" s="0"/>
      <c r="CM597" s="0"/>
      <c r="CN597" s="0"/>
      <c r="CO597" s="0"/>
      <c r="CP597" s="0"/>
      <c r="CQ597" s="0"/>
      <c r="CR597" s="0"/>
      <c r="CS597" s="0"/>
      <c r="CT597" s="0"/>
      <c r="CU597" s="0"/>
      <c r="CV597" s="0"/>
      <c r="CW597" s="0"/>
      <c r="CX597" s="0"/>
      <c r="CY597" s="0"/>
      <c r="CZ597" s="0"/>
      <c r="DA597" s="0"/>
      <c r="DB597" s="0"/>
      <c r="DC597" s="0"/>
      <c r="DD597" s="0"/>
      <c r="DE597" s="0"/>
      <c r="DF597" s="0"/>
      <c r="DG597" s="0"/>
      <c r="DH597" s="0"/>
      <c r="DI597" s="0"/>
      <c r="DJ597" s="0"/>
      <c r="DK597" s="0"/>
      <c r="DL597" s="0"/>
      <c r="DM597" s="0"/>
      <c r="DN597" s="0"/>
      <c r="DO597" s="0"/>
      <c r="DP597" s="0"/>
      <c r="DQ597" s="0"/>
      <c r="DR597" s="0"/>
      <c r="DS597" s="0"/>
      <c r="DT597" s="0"/>
      <c r="DU597" s="0"/>
      <c r="DV597" s="0"/>
      <c r="DW597" s="0"/>
      <c r="DX597" s="0"/>
      <c r="DY597" s="0"/>
      <c r="DZ597" s="0"/>
      <c r="EA597" s="0"/>
      <c r="EB597" s="0"/>
      <c r="EC597" s="0"/>
      <c r="ED597" s="0"/>
      <c r="EE597" s="0"/>
      <c r="EF597" s="0"/>
      <c r="EG597" s="0"/>
      <c r="EH597" s="0"/>
      <c r="EI597" s="0"/>
      <c r="EJ597" s="0"/>
      <c r="EK597" s="0"/>
      <c r="EL597" s="0"/>
      <c r="EM597" s="0"/>
      <c r="EN597" s="0"/>
      <c r="EO597" s="0"/>
      <c r="EP597" s="0"/>
      <c r="EQ597" s="0"/>
      <c r="ER597" s="0"/>
      <c r="ES597" s="0"/>
      <c r="ET597" s="0"/>
      <c r="EU597" s="0"/>
      <c r="EV597" s="0"/>
      <c r="EW597" s="0"/>
      <c r="EX597" s="0"/>
      <c r="EY597" s="0"/>
      <c r="EZ597" s="0"/>
      <c r="FA597" s="0"/>
      <c r="FB597" s="0"/>
      <c r="FC597" s="0"/>
      <c r="FD597" s="0"/>
      <c r="FE597" s="0"/>
      <c r="FF597" s="0"/>
      <c r="FG597" s="0"/>
      <c r="FH597" s="0"/>
      <c r="FI597" s="0"/>
      <c r="FJ597" s="0"/>
      <c r="FK597" s="0"/>
      <c r="FL597" s="0"/>
      <c r="FM597" s="0"/>
      <c r="FN597" s="0"/>
      <c r="FO597" s="0"/>
      <c r="FP597" s="0"/>
      <c r="FQ597" s="0"/>
      <c r="FR597" s="0"/>
      <c r="FS597" s="0"/>
      <c r="FT597" s="0"/>
      <c r="FU597" s="0"/>
      <c r="FV597" s="0"/>
      <c r="FW597" s="0"/>
      <c r="FX597" s="0"/>
      <c r="FY597" s="0"/>
      <c r="FZ597" s="0"/>
      <c r="GA597" s="0"/>
      <c r="GB597" s="0"/>
      <c r="GC597" s="0"/>
      <c r="GD597" s="0"/>
      <c r="GE597" s="0"/>
      <c r="GF597" s="0"/>
      <c r="GG597" s="0"/>
      <c r="GH597" s="0"/>
      <c r="GI597" s="0"/>
      <c r="GJ597" s="0"/>
      <c r="GK597" s="0"/>
      <c r="GL597" s="0"/>
      <c r="GM597" s="0"/>
      <c r="GN597" s="0"/>
      <c r="GO597" s="0"/>
      <c r="GP597" s="0"/>
      <c r="GQ597" s="0"/>
      <c r="GR597" s="0"/>
      <c r="GS597" s="0"/>
      <c r="GT597" s="0"/>
      <c r="GU597" s="0"/>
      <c r="GV597" s="0"/>
      <c r="GW597" s="0"/>
      <c r="GX597" s="0"/>
      <c r="GY597" s="0"/>
      <c r="GZ597" s="0"/>
      <c r="HA597" s="0"/>
      <c r="HB597" s="0"/>
      <c r="HC597" s="0"/>
      <c r="HD597" s="0"/>
      <c r="HE597" s="0"/>
      <c r="HF597" s="0"/>
      <c r="HG597" s="0"/>
      <c r="HH597" s="0"/>
      <c r="HI597" s="0"/>
      <c r="HJ597" s="0"/>
      <c r="HK597" s="0"/>
      <c r="HL597" s="0"/>
      <c r="HM597" s="0"/>
      <c r="HN597" s="0"/>
      <c r="HO597" s="0"/>
      <c r="HP597" s="0"/>
      <c r="HQ597" s="0"/>
      <c r="HR597" s="0"/>
      <c r="HS597" s="0"/>
      <c r="HT597" s="0"/>
      <c r="HU597" s="0"/>
      <c r="HV597" s="0"/>
      <c r="HW597" s="0"/>
      <c r="HX597" s="0"/>
      <c r="HY597" s="0"/>
      <c r="HZ597" s="0"/>
      <c r="IA597" s="0"/>
      <c r="IB597" s="0"/>
      <c r="IC597" s="0"/>
      <c r="ID597" s="0"/>
      <c r="IE597" s="0"/>
      <c r="IF597" s="0"/>
      <c r="IG597" s="0"/>
      <c r="IH597" s="0"/>
      <c r="II597" s="0"/>
      <c r="IJ597" s="0"/>
      <c r="IK597" s="0"/>
      <c r="IL597" s="0"/>
      <c r="IM597" s="0"/>
      <c r="IN597" s="0"/>
      <c r="IO597" s="0"/>
      <c r="IP597" s="0"/>
      <c r="IQ597" s="0"/>
      <c r="IR597" s="0"/>
      <c r="IS597" s="0"/>
      <c r="IT597" s="0"/>
      <c r="IU597" s="0"/>
      <c r="IV597" s="0"/>
    </row>
    <row r="598" customFormat="false" ht="31.5" hidden="false" customHeight="true" outlineLevel="0" collapsed="false">
      <c r="A598" s="1050" t="s">
        <v>1391</v>
      </c>
      <c r="B598" s="1050"/>
      <c r="C598" s="1060" t="s">
        <v>1392</v>
      </c>
      <c r="D598" s="1016" t="n">
        <v>128500</v>
      </c>
      <c r="E598" s="1050" t="s">
        <v>1393</v>
      </c>
      <c r="F598" s="1050"/>
      <c r="G598" s="1050"/>
      <c r="H598" s="0"/>
      <c r="I598" s="0"/>
      <c r="J598" s="0"/>
      <c r="K598" s="903"/>
      <c r="L598" s="877"/>
      <c r="V598" s="0"/>
      <c r="W598" s="0"/>
      <c r="X598" s="0"/>
      <c r="Y598" s="0"/>
      <c r="Z598" s="0"/>
      <c r="AA598" s="0"/>
      <c r="AB598" s="0"/>
      <c r="AC598" s="0"/>
      <c r="AD598" s="0"/>
      <c r="AE598" s="0"/>
      <c r="AF598" s="0"/>
      <c r="AG598" s="0"/>
      <c r="AH598" s="0"/>
      <c r="AI598" s="0"/>
      <c r="AJ598" s="0"/>
      <c r="AK598" s="0"/>
      <c r="AL598" s="0"/>
      <c r="AM598" s="0"/>
      <c r="AN598" s="0"/>
      <c r="AO598" s="0"/>
      <c r="AP598" s="0"/>
      <c r="AQ598" s="0"/>
      <c r="AR598" s="0"/>
      <c r="AS598" s="0"/>
      <c r="AT598" s="0"/>
      <c r="AU598" s="0"/>
      <c r="BI598" s="0"/>
      <c r="BJ598" s="0"/>
      <c r="BK598" s="0"/>
      <c r="BL598" s="0"/>
      <c r="BM598" s="0"/>
      <c r="BN598" s="0"/>
      <c r="BO598" s="0"/>
      <c r="BP598" s="0"/>
      <c r="BQ598" s="0"/>
      <c r="BR598" s="0"/>
      <c r="BS598" s="0"/>
      <c r="BT598" s="0"/>
      <c r="BU598" s="0"/>
      <c r="BV598" s="0"/>
      <c r="BW598" s="0"/>
      <c r="BX598" s="0"/>
      <c r="BY598" s="0"/>
      <c r="BZ598" s="0"/>
      <c r="CA598" s="0"/>
      <c r="CB598" s="0"/>
      <c r="CC598" s="0"/>
      <c r="CD598" s="0"/>
      <c r="CE598" s="0"/>
      <c r="CF598" s="0"/>
      <c r="CG598" s="0"/>
      <c r="CH598" s="0"/>
      <c r="CI598" s="0"/>
      <c r="CJ598" s="0"/>
      <c r="CK598" s="0"/>
      <c r="CL598" s="0"/>
      <c r="CM598" s="0"/>
      <c r="CN598" s="0"/>
      <c r="CO598" s="0"/>
      <c r="CP598" s="0"/>
      <c r="CQ598" s="0"/>
      <c r="CR598" s="0"/>
      <c r="CS598" s="0"/>
      <c r="CT598" s="0"/>
      <c r="CU598" s="0"/>
      <c r="CV598" s="0"/>
      <c r="CW598" s="0"/>
      <c r="CX598" s="0"/>
      <c r="CY598" s="0"/>
      <c r="CZ598" s="0"/>
      <c r="DA598" s="0"/>
      <c r="DB598" s="0"/>
      <c r="DC598" s="0"/>
      <c r="DD598" s="0"/>
      <c r="DE598" s="0"/>
      <c r="DF598" s="0"/>
      <c r="DG598" s="0"/>
      <c r="DH598" s="0"/>
      <c r="DI598" s="0"/>
      <c r="DJ598" s="0"/>
      <c r="DK598" s="0"/>
      <c r="DL598" s="0"/>
      <c r="DM598" s="0"/>
      <c r="DN598" s="0"/>
      <c r="DO598" s="0"/>
      <c r="DP598" s="0"/>
      <c r="DQ598" s="0"/>
      <c r="DR598" s="0"/>
      <c r="DS598" s="0"/>
      <c r="DT598" s="0"/>
      <c r="DU598" s="0"/>
      <c r="DV598" s="0"/>
      <c r="DW598" s="0"/>
      <c r="DX598" s="0"/>
      <c r="DY598" s="0"/>
      <c r="DZ598" s="0"/>
      <c r="EA598" s="0"/>
      <c r="EB598" s="0"/>
      <c r="EC598" s="0"/>
      <c r="ED598" s="0"/>
      <c r="EE598" s="0"/>
      <c r="EF598" s="0"/>
      <c r="EG598" s="0"/>
      <c r="EH598" s="0"/>
      <c r="EI598" s="0"/>
      <c r="EJ598" s="0"/>
      <c r="EK598" s="0"/>
      <c r="EL598" s="0"/>
      <c r="EM598" s="0"/>
      <c r="EN598" s="0"/>
      <c r="EO598" s="0"/>
      <c r="EP598" s="0"/>
      <c r="EQ598" s="0"/>
      <c r="ER598" s="0"/>
      <c r="ES598" s="0"/>
      <c r="ET598" s="0"/>
      <c r="EU598" s="0"/>
      <c r="EV598" s="0"/>
      <c r="EW598" s="0"/>
      <c r="EX598" s="0"/>
      <c r="EY598" s="0"/>
      <c r="EZ598" s="0"/>
      <c r="FA598" s="0"/>
      <c r="FB598" s="0"/>
      <c r="FC598" s="0"/>
      <c r="FD598" s="0"/>
      <c r="FE598" s="0"/>
      <c r="FF598" s="0"/>
      <c r="FG598" s="0"/>
      <c r="FH598" s="0"/>
      <c r="FI598" s="0"/>
      <c r="FJ598" s="0"/>
      <c r="FK598" s="0"/>
      <c r="FL598" s="0"/>
      <c r="FM598" s="0"/>
      <c r="FN598" s="0"/>
      <c r="FO598" s="0"/>
      <c r="FP598" s="0"/>
      <c r="FQ598" s="0"/>
      <c r="FR598" s="0"/>
      <c r="FS598" s="0"/>
      <c r="FT598" s="0"/>
      <c r="FU598" s="0"/>
      <c r="FV598" s="0"/>
      <c r="FW598" s="0"/>
      <c r="FX598" s="0"/>
      <c r="FY598" s="0"/>
      <c r="FZ598" s="0"/>
      <c r="GA598" s="0"/>
      <c r="GB598" s="0"/>
      <c r="GC598" s="0"/>
      <c r="GD598" s="0"/>
      <c r="GE598" s="0"/>
      <c r="GF598" s="0"/>
      <c r="GG598" s="0"/>
      <c r="GH598" s="0"/>
      <c r="GI598" s="0"/>
      <c r="GJ598" s="0"/>
      <c r="GK598" s="0"/>
      <c r="GL598" s="0"/>
      <c r="GM598" s="0"/>
      <c r="GN598" s="0"/>
      <c r="GO598" s="0"/>
      <c r="GP598" s="0"/>
      <c r="GQ598" s="0"/>
      <c r="GR598" s="0"/>
      <c r="GS598" s="0"/>
      <c r="GT598" s="0"/>
      <c r="GU598" s="0"/>
      <c r="GV598" s="0"/>
      <c r="GW598" s="0"/>
      <c r="GX598" s="0"/>
      <c r="GY598" s="0"/>
      <c r="GZ598" s="0"/>
      <c r="HA598" s="0"/>
      <c r="HB598" s="0"/>
      <c r="HC598" s="0"/>
      <c r="HD598" s="0"/>
      <c r="HE598" s="0"/>
      <c r="HF598" s="0"/>
      <c r="HG598" s="0"/>
      <c r="HH598" s="0"/>
      <c r="HI598" s="0"/>
      <c r="HJ598" s="0"/>
      <c r="HK598" s="0"/>
      <c r="HL598" s="0"/>
      <c r="HM598" s="0"/>
      <c r="HN598" s="0"/>
      <c r="HO598" s="0"/>
      <c r="HP598" s="0"/>
      <c r="HQ598" s="0"/>
      <c r="HR598" s="0"/>
      <c r="HS598" s="0"/>
      <c r="HT598" s="0"/>
      <c r="HU598" s="0"/>
      <c r="HV598" s="0"/>
      <c r="HW598" s="0"/>
      <c r="HX598" s="0"/>
      <c r="HY598" s="0"/>
      <c r="HZ598" s="0"/>
      <c r="IA598" s="0"/>
      <c r="IB598" s="0"/>
      <c r="IC598" s="0"/>
      <c r="ID598" s="0"/>
      <c r="IE598" s="0"/>
      <c r="IF598" s="0"/>
      <c r="IG598" s="0"/>
      <c r="IH598" s="0"/>
      <c r="II598" s="0"/>
      <c r="IJ598" s="0"/>
      <c r="IK598" s="0"/>
      <c r="IL598" s="0"/>
      <c r="IM598" s="0"/>
      <c r="IN598" s="0"/>
      <c r="IO598" s="0"/>
      <c r="IP598" s="0"/>
      <c r="IQ598" s="0"/>
      <c r="IR598" s="0"/>
      <c r="IS598" s="0"/>
      <c r="IT598" s="0"/>
      <c r="IU598" s="0"/>
      <c r="IV598" s="0"/>
    </row>
    <row r="599" customFormat="false" ht="16.5" hidden="false" customHeight="true" outlineLevel="0" collapsed="false">
      <c r="A599" s="1050"/>
      <c r="B599" s="1050"/>
      <c r="C599" s="1050"/>
      <c r="D599" s="1050"/>
      <c r="E599" s="1050"/>
      <c r="F599" s="1050"/>
      <c r="G599" s="1050"/>
      <c r="H599" s="0"/>
      <c r="I599" s="0"/>
      <c r="J599" s="0"/>
      <c r="K599" s="903"/>
      <c r="L599" s="877"/>
      <c r="V599" s="0"/>
      <c r="W599" s="0"/>
      <c r="X599" s="0"/>
      <c r="Y599" s="0"/>
      <c r="Z599" s="0"/>
      <c r="AA599" s="0"/>
      <c r="AB599" s="0"/>
      <c r="AC599" s="0"/>
      <c r="AD599" s="0"/>
      <c r="AE599" s="0"/>
      <c r="AF599" s="0"/>
      <c r="AG599" s="0"/>
      <c r="AH599" s="0"/>
      <c r="AI599" s="0"/>
      <c r="AJ599" s="0"/>
      <c r="AK599" s="0"/>
      <c r="AL599" s="0"/>
      <c r="AM599" s="0"/>
      <c r="AN599" s="0"/>
      <c r="AO599" s="0"/>
      <c r="AP599" s="0"/>
      <c r="AQ599" s="0"/>
      <c r="AR599" s="0"/>
      <c r="AS599" s="0"/>
      <c r="AT599" s="0"/>
      <c r="AU599" s="0"/>
      <c r="BI599" s="0"/>
      <c r="BJ599" s="0"/>
      <c r="BK599" s="0"/>
      <c r="BL599" s="0"/>
      <c r="BM599" s="0"/>
      <c r="BN599" s="0"/>
      <c r="BO599" s="0"/>
      <c r="BP599" s="0"/>
      <c r="BQ599" s="0"/>
      <c r="BR599" s="0"/>
      <c r="BS599" s="0"/>
      <c r="BT599" s="0"/>
      <c r="BU599" s="0"/>
      <c r="BV599" s="0"/>
      <c r="BW599" s="0"/>
      <c r="BX599" s="0"/>
      <c r="BY599" s="0"/>
      <c r="BZ599" s="0"/>
      <c r="CA599" s="0"/>
      <c r="CB599" s="0"/>
      <c r="CC599" s="0"/>
      <c r="CD599" s="0"/>
      <c r="CE599" s="0"/>
      <c r="CF599" s="0"/>
      <c r="CG599" s="0"/>
      <c r="CH599" s="0"/>
      <c r="CI599" s="0"/>
      <c r="CJ599" s="0"/>
      <c r="CK599" s="0"/>
      <c r="CL599" s="0"/>
      <c r="CM599" s="0"/>
      <c r="CN599" s="0"/>
      <c r="CO599" s="0"/>
      <c r="CP599" s="0"/>
      <c r="CQ599" s="0"/>
      <c r="CR599" s="0"/>
      <c r="CS599" s="0"/>
      <c r="CT599" s="0"/>
      <c r="CU599" s="0"/>
      <c r="CV599" s="0"/>
      <c r="CW599" s="0"/>
      <c r="CX599" s="0"/>
      <c r="CY599" s="0"/>
      <c r="CZ599" s="0"/>
      <c r="DA599" s="0"/>
      <c r="DB599" s="0"/>
      <c r="DC599" s="0"/>
      <c r="DD599" s="0"/>
      <c r="DE599" s="0"/>
      <c r="DF599" s="0"/>
      <c r="DG599" s="0"/>
      <c r="DH599" s="0"/>
      <c r="DI599" s="0"/>
      <c r="DJ599" s="0"/>
      <c r="DK599" s="0"/>
      <c r="DL599" s="0"/>
      <c r="DM599" s="0"/>
      <c r="DN599" s="0"/>
      <c r="DO599" s="0"/>
      <c r="DP599" s="0"/>
      <c r="DQ599" s="0"/>
      <c r="DR599" s="0"/>
      <c r="DS599" s="0"/>
      <c r="DT599" s="0"/>
      <c r="DU599" s="0"/>
      <c r="DV599" s="0"/>
      <c r="DW599" s="0"/>
      <c r="DX599" s="0"/>
      <c r="DY599" s="0"/>
      <c r="DZ599" s="0"/>
      <c r="EA599" s="0"/>
      <c r="EB599" s="0"/>
      <c r="EC599" s="0"/>
      <c r="ED599" s="0"/>
      <c r="EE599" s="0"/>
      <c r="EF599" s="0"/>
      <c r="EG599" s="0"/>
      <c r="EH599" s="0"/>
      <c r="EI599" s="0"/>
      <c r="EJ599" s="0"/>
      <c r="EK599" s="0"/>
      <c r="EL599" s="0"/>
      <c r="EM599" s="0"/>
      <c r="EN599" s="0"/>
      <c r="EO599" s="0"/>
      <c r="EP599" s="0"/>
      <c r="EQ599" s="0"/>
      <c r="ER599" s="0"/>
      <c r="ES599" s="0"/>
      <c r="ET599" s="0"/>
      <c r="EU599" s="0"/>
      <c r="EV599" s="0"/>
      <c r="EW599" s="0"/>
      <c r="EX599" s="0"/>
      <c r="EY599" s="0"/>
      <c r="EZ599" s="0"/>
      <c r="FA599" s="0"/>
      <c r="FB599" s="0"/>
      <c r="FC599" s="0"/>
      <c r="FD599" s="0"/>
      <c r="FE599" s="0"/>
      <c r="FF599" s="0"/>
      <c r="FG599" s="0"/>
      <c r="FH599" s="0"/>
      <c r="FI599" s="0"/>
      <c r="FJ599" s="0"/>
      <c r="FK599" s="0"/>
      <c r="FL599" s="0"/>
      <c r="FM599" s="0"/>
      <c r="FN599" s="0"/>
      <c r="FO599" s="0"/>
      <c r="FP599" s="0"/>
      <c r="FQ599" s="0"/>
      <c r="FR599" s="0"/>
      <c r="FS599" s="0"/>
      <c r="FT599" s="0"/>
      <c r="FU599" s="0"/>
      <c r="FV599" s="0"/>
      <c r="FW599" s="0"/>
      <c r="FX599" s="0"/>
      <c r="FY599" s="0"/>
      <c r="FZ599" s="0"/>
      <c r="GA599" s="0"/>
      <c r="GB599" s="0"/>
      <c r="GC599" s="0"/>
      <c r="GD599" s="0"/>
      <c r="GE599" s="0"/>
      <c r="GF599" s="0"/>
      <c r="GG599" s="0"/>
      <c r="GH599" s="0"/>
      <c r="GI599" s="0"/>
      <c r="GJ599" s="0"/>
      <c r="GK599" s="0"/>
      <c r="GL599" s="0"/>
      <c r="GM599" s="0"/>
      <c r="GN599" s="0"/>
      <c r="GO599" s="0"/>
      <c r="GP599" s="0"/>
      <c r="GQ599" s="0"/>
      <c r="GR599" s="0"/>
      <c r="GS599" s="0"/>
      <c r="GT599" s="0"/>
      <c r="GU599" s="0"/>
      <c r="GV599" s="0"/>
      <c r="GW599" s="0"/>
      <c r="GX599" s="0"/>
      <c r="GY599" s="0"/>
      <c r="GZ599" s="0"/>
      <c r="HA599" s="0"/>
      <c r="HB599" s="0"/>
      <c r="HC599" s="0"/>
      <c r="HD599" s="0"/>
      <c r="HE599" s="0"/>
      <c r="HF599" s="0"/>
      <c r="HG599" s="0"/>
      <c r="HH599" s="0"/>
      <c r="HI599" s="0"/>
      <c r="HJ599" s="0"/>
      <c r="HK599" s="0"/>
      <c r="HL599" s="0"/>
      <c r="HM599" s="0"/>
      <c r="HN599" s="0"/>
      <c r="HO599" s="0"/>
      <c r="HP599" s="0"/>
      <c r="HQ599" s="0"/>
      <c r="HR599" s="0"/>
      <c r="HS599" s="0"/>
      <c r="HT599" s="0"/>
      <c r="HU599" s="0"/>
      <c r="HV599" s="0"/>
      <c r="HW599" s="0"/>
      <c r="HX599" s="0"/>
      <c r="HY599" s="0"/>
      <c r="HZ599" s="0"/>
      <c r="IA599" s="0"/>
      <c r="IB599" s="0"/>
      <c r="IC599" s="0"/>
      <c r="ID599" s="0"/>
      <c r="IE599" s="0"/>
      <c r="IF599" s="0"/>
      <c r="IG599" s="0"/>
      <c r="IH599" s="0"/>
      <c r="II599" s="0"/>
      <c r="IJ599" s="0"/>
      <c r="IK599" s="0"/>
      <c r="IL599" s="0"/>
      <c r="IM599" s="0"/>
      <c r="IN599" s="0"/>
      <c r="IO599" s="0"/>
      <c r="IP599" s="0"/>
      <c r="IQ599" s="0"/>
      <c r="IR599" s="0"/>
      <c r="IS599" s="0"/>
      <c r="IT599" s="0"/>
      <c r="IU599" s="0"/>
      <c r="IV599" s="0"/>
    </row>
    <row r="600" customFormat="false" ht="15" hidden="false" customHeight="true" outlineLevel="0" collapsed="false">
      <c r="A600" s="1047"/>
      <c r="B600" s="1050"/>
      <c r="C600" s="1061" t="s">
        <v>1394</v>
      </c>
      <c r="D600" s="1061"/>
      <c r="E600" s="1061"/>
      <c r="F600" s="1061"/>
      <c r="G600" s="1050"/>
      <c r="H600" s="0"/>
      <c r="I600" s="0"/>
      <c r="J600" s="0"/>
      <c r="K600" s="903"/>
      <c r="L600" s="877"/>
      <c r="V600" s="0"/>
      <c r="W600" s="0"/>
      <c r="X600" s="0"/>
      <c r="Y600" s="0"/>
      <c r="Z600" s="0"/>
      <c r="AA600" s="0"/>
      <c r="AB600" s="0"/>
      <c r="AC600" s="0"/>
      <c r="AD600" s="0"/>
      <c r="AE600" s="0"/>
      <c r="AF600" s="0"/>
      <c r="AG600" s="0"/>
      <c r="AH600" s="0"/>
      <c r="AI600" s="0"/>
      <c r="AJ600" s="0"/>
      <c r="AK600" s="0"/>
      <c r="AL600" s="0"/>
      <c r="AM600" s="0"/>
      <c r="AN600" s="0"/>
      <c r="AO600" s="0"/>
      <c r="AP600" s="0"/>
      <c r="AQ600" s="0"/>
      <c r="AR600" s="0"/>
      <c r="AS600" s="0"/>
      <c r="AT600" s="0"/>
      <c r="AU600" s="0"/>
      <c r="BI600" s="0"/>
      <c r="BJ600" s="0"/>
      <c r="BK600" s="0"/>
      <c r="BL600" s="0"/>
      <c r="BM600" s="0"/>
      <c r="BN600" s="0"/>
      <c r="BO600" s="0"/>
      <c r="BP600" s="0"/>
      <c r="BQ600" s="0"/>
      <c r="BR600" s="0"/>
      <c r="BS600" s="0"/>
      <c r="BT600" s="0"/>
      <c r="BU600" s="0"/>
      <c r="BV600" s="0"/>
      <c r="BW600" s="0"/>
      <c r="BX600" s="0"/>
      <c r="BY600" s="0"/>
      <c r="BZ600" s="0"/>
      <c r="CA600" s="0"/>
      <c r="CB600" s="0"/>
      <c r="CC600" s="0"/>
      <c r="CD600" s="0"/>
      <c r="CE600" s="0"/>
      <c r="CF600" s="0"/>
      <c r="CG600" s="0"/>
      <c r="CH600" s="0"/>
      <c r="CI600" s="0"/>
      <c r="CJ600" s="0"/>
      <c r="CK600" s="0"/>
      <c r="CL600" s="0"/>
      <c r="CM600" s="0"/>
      <c r="CN600" s="0"/>
      <c r="CO600" s="0"/>
      <c r="CP600" s="0"/>
      <c r="CQ600" s="0"/>
      <c r="CR600" s="0"/>
      <c r="CS600" s="0"/>
      <c r="CT600" s="0"/>
      <c r="CU600" s="0"/>
      <c r="CV600" s="0"/>
      <c r="CW600" s="0"/>
      <c r="CX600" s="0"/>
      <c r="CY600" s="0"/>
      <c r="CZ600" s="0"/>
      <c r="DA600" s="0"/>
      <c r="DB600" s="0"/>
      <c r="DC600" s="0"/>
      <c r="DD600" s="0"/>
      <c r="DE600" s="0"/>
      <c r="DF600" s="0"/>
      <c r="DG600" s="0"/>
      <c r="DH600" s="0"/>
      <c r="DI600" s="0"/>
      <c r="DJ600" s="0"/>
      <c r="DK600" s="0"/>
      <c r="DL600" s="0"/>
      <c r="DM600" s="0"/>
      <c r="DN600" s="0"/>
      <c r="DO600" s="0"/>
      <c r="DP600" s="0"/>
      <c r="DQ600" s="0"/>
      <c r="DR600" s="0"/>
      <c r="DS600" s="0"/>
      <c r="DT600" s="0"/>
      <c r="DU600" s="0"/>
      <c r="DV600" s="0"/>
      <c r="DW600" s="0"/>
      <c r="DX600" s="0"/>
      <c r="DY600" s="0"/>
      <c r="DZ600" s="0"/>
      <c r="EA600" s="0"/>
      <c r="EB600" s="0"/>
      <c r="EC600" s="0"/>
      <c r="ED600" s="0"/>
      <c r="EE600" s="0"/>
      <c r="EF600" s="0"/>
      <c r="EG600" s="0"/>
      <c r="EH600" s="0"/>
      <c r="EI600" s="0"/>
      <c r="EJ600" s="0"/>
      <c r="EK600" s="0"/>
      <c r="EL600" s="0"/>
      <c r="EM600" s="0"/>
      <c r="EN600" s="0"/>
      <c r="EO600" s="0"/>
      <c r="EP600" s="0"/>
      <c r="EQ600" s="0"/>
      <c r="ER600" s="0"/>
      <c r="ES600" s="0"/>
      <c r="ET600" s="0"/>
      <c r="EU600" s="0"/>
      <c r="EV600" s="0"/>
      <c r="EW600" s="0"/>
      <c r="EX600" s="0"/>
      <c r="EY600" s="0"/>
      <c r="EZ600" s="0"/>
      <c r="FA600" s="0"/>
      <c r="FB600" s="0"/>
      <c r="FC600" s="0"/>
      <c r="FD600" s="0"/>
      <c r="FE600" s="0"/>
      <c r="FF600" s="0"/>
      <c r="FG600" s="0"/>
      <c r="FH600" s="0"/>
      <c r="FI600" s="0"/>
      <c r="FJ600" s="0"/>
      <c r="FK600" s="0"/>
      <c r="FL600" s="0"/>
      <c r="FM600" s="0"/>
      <c r="FN600" s="0"/>
      <c r="FO600" s="0"/>
      <c r="FP600" s="0"/>
      <c r="FQ600" s="0"/>
      <c r="FR600" s="0"/>
      <c r="FS600" s="0"/>
      <c r="FT600" s="0"/>
      <c r="FU600" s="0"/>
      <c r="FV600" s="0"/>
      <c r="FW600" s="0"/>
      <c r="FX600" s="0"/>
      <c r="FY600" s="0"/>
      <c r="FZ600" s="0"/>
      <c r="GA600" s="0"/>
      <c r="GB600" s="0"/>
      <c r="GC600" s="0"/>
      <c r="GD600" s="0"/>
      <c r="GE600" s="0"/>
      <c r="GF600" s="0"/>
      <c r="GG600" s="0"/>
      <c r="GH600" s="0"/>
      <c r="GI600" s="0"/>
      <c r="GJ600" s="0"/>
      <c r="GK600" s="0"/>
      <c r="GL600" s="0"/>
      <c r="GM600" s="0"/>
      <c r="GN600" s="0"/>
      <c r="GO600" s="0"/>
      <c r="GP600" s="0"/>
      <c r="GQ600" s="0"/>
      <c r="GR600" s="0"/>
      <c r="GS600" s="0"/>
      <c r="GT600" s="0"/>
      <c r="GU600" s="0"/>
      <c r="GV600" s="0"/>
      <c r="GW600" s="0"/>
      <c r="GX600" s="0"/>
      <c r="GY600" s="0"/>
      <c r="GZ600" s="0"/>
      <c r="HA600" s="0"/>
      <c r="HB600" s="0"/>
      <c r="HC600" s="0"/>
      <c r="HD600" s="0"/>
      <c r="HE600" s="0"/>
      <c r="HF600" s="0"/>
      <c r="HG600" s="0"/>
      <c r="HH600" s="0"/>
      <c r="HI600" s="0"/>
      <c r="HJ600" s="0"/>
      <c r="HK600" s="0"/>
      <c r="HL600" s="0"/>
      <c r="HM600" s="0"/>
      <c r="HN600" s="0"/>
      <c r="HO600" s="0"/>
      <c r="HP600" s="0"/>
      <c r="HQ600" s="0"/>
      <c r="HR600" s="0"/>
      <c r="HS600" s="0"/>
      <c r="HT600" s="0"/>
      <c r="HU600" s="0"/>
      <c r="HV600" s="0"/>
      <c r="HW600" s="0"/>
      <c r="HX600" s="0"/>
      <c r="HY600" s="0"/>
      <c r="HZ600" s="0"/>
      <c r="IA600" s="0"/>
      <c r="IB600" s="0"/>
      <c r="IC600" s="0"/>
      <c r="ID600" s="0"/>
      <c r="IE600" s="0"/>
      <c r="IF600" s="0"/>
      <c r="IG600" s="0"/>
      <c r="IH600" s="0"/>
      <c r="II600" s="0"/>
      <c r="IJ600" s="0"/>
      <c r="IK600" s="0"/>
      <c r="IL600" s="0"/>
      <c r="IM600" s="0"/>
      <c r="IN600" s="0"/>
      <c r="IO600" s="0"/>
      <c r="IP600" s="0"/>
      <c r="IQ600" s="0"/>
      <c r="IR600" s="0"/>
      <c r="IS600" s="0"/>
      <c r="IT600" s="0"/>
      <c r="IU600" s="0"/>
      <c r="IV600" s="0"/>
    </row>
    <row r="601" customFormat="false" ht="15" hidden="false" customHeight="true" outlineLevel="0" collapsed="false">
      <c r="A601" s="1050"/>
      <c r="B601" s="1050"/>
      <c r="C601" s="1056" t="s">
        <v>1395</v>
      </c>
      <c r="D601" s="1056" t="s">
        <v>1396</v>
      </c>
      <c r="E601" s="1056"/>
      <c r="F601" s="1056" t="s">
        <v>1397</v>
      </c>
      <c r="G601" s="1050"/>
      <c r="H601" s="0"/>
      <c r="I601" s="0"/>
      <c r="J601" s="0"/>
      <c r="K601" s="903"/>
      <c r="L601" s="877"/>
      <c r="V601" s="0"/>
      <c r="W601" s="0"/>
      <c r="X601" s="0"/>
      <c r="Y601" s="0"/>
      <c r="Z601" s="0"/>
      <c r="AA601" s="0"/>
      <c r="AB601" s="0"/>
      <c r="AC601" s="0"/>
      <c r="AD601" s="0"/>
      <c r="AE601" s="0"/>
      <c r="AF601" s="0"/>
      <c r="AG601" s="0"/>
      <c r="AH601" s="0"/>
      <c r="AI601" s="0"/>
      <c r="AJ601" s="0"/>
      <c r="AK601" s="0"/>
      <c r="AL601" s="0"/>
      <c r="AM601" s="0"/>
      <c r="AN601" s="0"/>
      <c r="AO601" s="0"/>
      <c r="AP601" s="0"/>
      <c r="AQ601" s="0"/>
      <c r="AR601" s="0"/>
      <c r="AS601" s="0"/>
      <c r="AT601" s="0"/>
      <c r="AU601" s="0"/>
      <c r="BI601" s="0"/>
      <c r="BJ601" s="0"/>
      <c r="BK601" s="0"/>
      <c r="BL601" s="0"/>
      <c r="BM601" s="0"/>
      <c r="BN601" s="0"/>
      <c r="BO601" s="0"/>
      <c r="BP601" s="0"/>
      <c r="BQ601" s="0"/>
      <c r="BR601" s="0"/>
      <c r="BS601" s="0"/>
      <c r="BT601" s="0"/>
      <c r="BU601" s="0"/>
      <c r="BV601" s="0"/>
      <c r="BW601" s="0"/>
      <c r="BX601" s="0"/>
      <c r="BY601" s="0"/>
      <c r="BZ601" s="0"/>
      <c r="CA601" s="0"/>
      <c r="CB601" s="0"/>
      <c r="CC601" s="0"/>
      <c r="CD601" s="0"/>
      <c r="CE601" s="0"/>
      <c r="CF601" s="0"/>
      <c r="CG601" s="0"/>
      <c r="CH601" s="0"/>
      <c r="CI601" s="0"/>
      <c r="CJ601" s="0"/>
      <c r="CK601" s="0"/>
      <c r="CL601" s="0"/>
      <c r="CM601" s="0"/>
      <c r="CN601" s="0"/>
      <c r="CO601" s="0"/>
      <c r="CP601" s="0"/>
      <c r="CQ601" s="0"/>
      <c r="CR601" s="0"/>
      <c r="CS601" s="0"/>
      <c r="CT601" s="0"/>
      <c r="CU601" s="0"/>
      <c r="CV601" s="0"/>
      <c r="CW601" s="0"/>
      <c r="CX601" s="0"/>
      <c r="CY601" s="0"/>
      <c r="CZ601" s="0"/>
      <c r="DA601" s="0"/>
      <c r="DB601" s="0"/>
      <c r="DC601" s="0"/>
      <c r="DD601" s="0"/>
      <c r="DE601" s="0"/>
      <c r="DF601" s="0"/>
      <c r="DG601" s="0"/>
      <c r="DH601" s="0"/>
      <c r="DI601" s="0"/>
      <c r="DJ601" s="0"/>
      <c r="DK601" s="0"/>
      <c r="DL601" s="0"/>
      <c r="DM601" s="0"/>
      <c r="DN601" s="0"/>
      <c r="DO601" s="0"/>
      <c r="DP601" s="0"/>
      <c r="DQ601" s="0"/>
      <c r="DR601" s="0"/>
      <c r="DS601" s="0"/>
      <c r="DT601" s="0"/>
      <c r="DU601" s="0"/>
      <c r="DV601" s="0"/>
      <c r="DW601" s="0"/>
      <c r="DX601" s="0"/>
      <c r="DY601" s="0"/>
      <c r="DZ601" s="0"/>
      <c r="EA601" s="0"/>
      <c r="EB601" s="0"/>
      <c r="EC601" s="0"/>
      <c r="ED601" s="0"/>
      <c r="EE601" s="0"/>
      <c r="EF601" s="0"/>
      <c r="EG601" s="0"/>
      <c r="EH601" s="0"/>
      <c r="EI601" s="0"/>
      <c r="EJ601" s="0"/>
      <c r="EK601" s="0"/>
      <c r="EL601" s="0"/>
      <c r="EM601" s="0"/>
      <c r="EN601" s="0"/>
      <c r="EO601" s="0"/>
      <c r="EP601" s="0"/>
      <c r="EQ601" s="0"/>
      <c r="ER601" s="0"/>
      <c r="ES601" s="0"/>
      <c r="ET601" s="0"/>
      <c r="EU601" s="0"/>
      <c r="EV601" s="0"/>
      <c r="EW601" s="0"/>
      <c r="EX601" s="0"/>
      <c r="EY601" s="0"/>
      <c r="EZ601" s="0"/>
      <c r="FA601" s="0"/>
      <c r="FB601" s="0"/>
      <c r="FC601" s="0"/>
      <c r="FD601" s="0"/>
      <c r="FE601" s="0"/>
      <c r="FF601" s="0"/>
      <c r="FG601" s="0"/>
      <c r="FH601" s="0"/>
      <c r="FI601" s="0"/>
      <c r="FJ601" s="0"/>
      <c r="FK601" s="0"/>
      <c r="FL601" s="0"/>
      <c r="FM601" s="0"/>
      <c r="FN601" s="0"/>
      <c r="FO601" s="0"/>
      <c r="FP601" s="0"/>
      <c r="FQ601" s="0"/>
      <c r="FR601" s="0"/>
      <c r="FS601" s="0"/>
      <c r="FT601" s="0"/>
      <c r="FU601" s="0"/>
      <c r="FV601" s="0"/>
      <c r="FW601" s="0"/>
      <c r="FX601" s="0"/>
      <c r="FY601" s="0"/>
      <c r="FZ601" s="0"/>
      <c r="GA601" s="0"/>
      <c r="GB601" s="0"/>
      <c r="GC601" s="0"/>
      <c r="GD601" s="0"/>
      <c r="GE601" s="0"/>
      <c r="GF601" s="0"/>
      <c r="GG601" s="0"/>
      <c r="GH601" s="0"/>
      <c r="GI601" s="0"/>
      <c r="GJ601" s="0"/>
      <c r="GK601" s="0"/>
      <c r="GL601" s="0"/>
      <c r="GM601" s="0"/>
      <c r="GN601" s="0"/>
      <c r="GO601" s="0"/>
      <c r="GP601" s="0"/>
      <c r="GQ601" s="0"/>
      <c r="GR601" s="0"/>
      <c r="GS601" s="0"/>
      <c r="GT601" s="0"/>
      <c r="GU601" s="0"/>
      <c r="GV601" s="0"/>
      <c r="GW601" s="0"/>
      <c r="GX601" s="0"/>
      <c r="GY601" s="0"/>
      <c r="GZ601" s="0"/>
      <c r="HA601" s="0"/>
      <c r="HB601" s="0"/>
      <c r="HC601" s="0"/>
      <c r="HD601" s="0"/>
      <c r="HE601" s="0"/>
      <c r="HF601" s="0"/>
      <c r="HG601" s="0"/>
      <c r="HH601" s="0"/>
      <c r="HI601" s="0"/>
      <c r="HJ601" s="0"/>
      <c r="HK601" s="0"/>
      <c r="HL601" s="0"/>
      <c r="HM601" s="0"/>
      <c r="HN601" s="0"/>
      <c r="HO601" s="0"/>
      <c r="HP601" s="0"/>
      <c r="HQ601" s="0"/>
      <c r="HR601" s="0"/>
      <c r="HS601" s="0"/>
      <c r="HT601" s="0"/>
      <c r="HU601" s="0"/>
      <c r="HV601" s="0"/>
      <c r="HW601" s="0"/>
      <c r="HX601" s="0"/>
      <c r="HY601" s="0"/>
      <c r="HZ601" s="0"/>
      <c r="IA601" s="0"/>
      <c r="IB601" s="0"/>
      <c r="IC601" s="0"/>
      <c r="ID601" s="0"/>
      <c r="IE601" s="0"/>
      <c r="IF601" s="0"/>
      <c r="IG601" s="0"/>
      <c r="IH601" s="0"/>
      <c r="II601" s="0"/>
      <c r="IJ601" s="0"/>
      <c r="IK601" s="0"/>
      <c r="IL601" s="0"/>
      <c r="IM601" s="0"/>
      <c r="IN601" s="0"/>
      <c r="IO601" s="0"/>
      <c r="IP601" s="0"/>
      <c r="IQ601" s="0"/>
      <c r="IR601" s="0"/>
      <c r="IS601" s="0"/>
      <c r="IT601" s="0"/>
      <c r="IU601" s="0"/>
      <c r="IV601" s="0"/>
    </row>
    <row r="602" customFormat="false" ht="15" hidden="false" customHeight="true" outlineLevel="0" collapsed="false">
      <c r="A602" s="1055" t="s">
        <v>1398</v>
      </c>
      <c r="B602" s="1056" t="s">
        <v>1399</v>
      </c>
      <c r="C602" s="1062" t="n">
        <v>4</v>
      </c>
      <c r="D602" s="1062" t="n">
        <v>0</v>
      </c>
      <c r="E602" s="1062"/>
      <c r="F602" s="1062" t="n">
        <v>0</v>
      </c>
      <c r="G602" s="1050"/>
      <c r="H602" s="0"/>
      <c r="I602" s="0"/>
      <c r="J602" s="0"/>
      <c r="K602" s="903"/>
      <c r="L602" s="877"/>
      <c r="V602" s="0"/>
      <c r="W602" s="0"/>
      <c r="X602" s="0"/>
      <c r="Y602" s="0"/>
      <c r="Z602" s="0"/>
      <c r="AA602" s="0"/>
      <c r="AB602" s="0"/>
      <c r="AC602" s="0"/>
      <c r="AD602" s="0"/>
      <c r="AE602" s="0"/>
      <c r="AF602" s="0"/>
      <c r="AG602" s="0"/>
      <c r="AH602" s="0"/>
      <c r="AI602" s="0"/>
      <c r="AJ602" s="0"/>
      <c r="AK602" s="0"/>
      <c r="AL602" s="0"/>
      <c r="AM602" s="0"/>
      <c r="AN602" s="0"/>
      <c r="AO602" s="0"/>
      <c r="AP602" s="0"/>
      <c r="AQ602" s="0"/>
      <c r="AR602" s="0"/>
      <c r="AS602" s="0"/>
      <c r="AT602" s="0"/>
      <c r="AU602" s="0"/>
      <c r="BI602" s="0"/>
      <c r="BJ602" s="0"/>
      <c r="BK602" s="0"/>
      <c r="BL602" s="0"/>
      <c r="BM602" s="0"/>
      <c r="BN602" s="0"/>
      <c r="BO602" s="0"/>
      <c r="BP602" s="0"/>
      <c r="BQ602" s="0"/>
      <c r="BR602" s="0"/>
      <c r="BS602" s="0"/>
      <c r="BT602" s="0"/>
      <c r="BU602" s="0"/>
      <c r="BV602" s="0"/>
      <c r="BW602" s="0"/>
      <c r="BX602" s="0"/>
      <c r="BY602" s="0"/>
      <c r="BZ602" s="0"/>
      <c r="CA602" s="0"/>
      <c r="CB602" s="0"/>
      <c r="CC602" s="0"/>
      <c r="CD602" s="0"/>
      <c r="CE602" s="0"/>
      <c r="CF602" s="0"/>
      <c r="CG602" s="0"/>
      <c r="CH602" s="0"/>
      <c r="CI602" s="0"/>
      <c r="CJ602" s="0"/>
      <c r="CK602" s="0"/>
      <c r="CL602" s="0"/>
      <c r="CM602" s="0"/>
      <c r="CN602" s="0"/>
      <c r="CO602" s="0"/>
      <c r="CP602" s="0"/>
      <c r="CQ602" s="0"/>
      <c r="CR602" s="0"/>
      <c r="CS602" s="0"/>
      <c r="CT602" s="0"/>
      <c r="CU602" s="0"/>
      <c r="CV602" s="0"/>
      <c r="CW602" s="0"/>
      <c r="CX602" s="0"/>
      <c r="CY602" s="0"/>
      <c r="CZ602" s="0"/>
      <c r="DA602" s="0"/>
      <c r="DB602" s="0"/>
      <c r="DC602" s="0"/>
      <c r="DD602" s="0"/>
      <c r="DE602" s="0"/>
      <c r="DF602" s="0"/>
      <c r="DG602" s="0"/>
      <c r="DH602" s="0"/>
      <c r="DI602" s="0"/>
      <c r="DJ602" s="0"/>
      <c r="DK602" s="0"/>
      <c r="DL602" s="0"/>
      <c r="DM602" s="0"/>
      <c r="DN602" s="0"/>
      <c r="DO602" s="0"/>
      <c r="DP602" s="0"/>
      <c r="DQ602" s="0"/>
      <c r="DR602" s="0"/>
      <c r="DS602" s="0"/>
      <c r="DT602" s="0"/>
      <c r="DU602" s="0"/>
      <c r="DV602" s="0"/>
      <c r="DW602" s="0"/>
      <c r="DX602" s="0"/>
      <c r="DY602" s="0"/>
      <c r="DZ602" s="0"/>
      <c r="EA602" s="0"/>
      <c r="EB602" s="0"/>
      <c r="EC602" s="0"/>
      <c r="ED602" s="0"/>
      <c r="EE602" s="0"/>
      <c r="EF602" s="0"/>
      <c r="EG602" s="0"/>
      <c r="EH602" s="0"/>
      <c r="EI602" s="0"/>
      <c r="EJ602" s="0"/>
      <c r="EK602" s="0"/>
      <c r="EL602" s="0"/>
      <c r="EM602" s="0"/>
      <c r="EN602" s="0"/>
      <c r="EO602" s="0"/>
      <c r="EP602" s="0"/>
      <c r="EQ602" s="0"/>
      <c r="ER602" s="0"/>
      <c r="ES602" s="0"/>
      <c r="ET602" s="0"/>
      <c r="EU602" s="0"/>
      <c r="EV602" s="0"/>
      <c r="EW602" s="0"/>
      <c r="EX602" s="0"/>
      <c r="EY602" s="0"/>
      <c r="EZ602" s="0"/>
      <c r="FA602" s="0"/>
      <c r="FB602" s="0"/>
      <c r="FC602" s="0"/>
      <c r="FD602" s="0"/>
      <c r="FE602" s="0"/>
      <c r="FF602" s="0"/>
      <c r="FG602" s="0"/>
      <c r="FH602" s="0"/>
      <c r="FI602" s="0"/>
      <c r="FJ602" s="0"/>
      <c r="FK602" s="0"/>
      <c r="FL602" s="0"/>
      <c r="FM602" s="0"/>
      <c r="FN602" s="0"/>
      <c r="FO602" s="0"/>
      <c r="FP602" s="0"/>
      <c r="FQ602" s="0"/>
      <c r="FR602" s="0"/>
      <c r="FS602" s="0"/>
      <c r="FT602" s="0"/>
      <c r="FU602" s="0"/>
      <c r="FV602" s="0"/>
      <c r="FW602" s="0"/>
      <c r="FX602" s="0"/>
      <c r="FY602" s="0"/>
      <c r="FZ602" s="0"/>
      <c r="GA602" s="0"/>
      <c r="GB602" s="0"/>
      <c r="GC602" s="0"/>
      <c r="GD602" s="0"/>
      <c r="GE602" s="0"/>
      <c r="GF602" s="0"/>
      <c r="GG602" s="0"/>
      <c r="GH602" s="0"/>
      <c r="GI602" s="0"/>
      <c r="GJ602" s="0"/>
      <c r="GK602" s="0"/>
      <c r="GL602" s="0"/>
      <c r="GM602" s="0"/>
      <c r="GN602" s="0"/>
      <c r="GO602" s="0"/>
      <c r="GP602" s="0"/>
      <c r="GQ602" s="0"/>
      <c r="GR602" s="0"/>
      <c r="GS602" s="0"/>
      <c r="GT602" s="0"/>
      <c r="GU602" s="0"/>
      <c r="GV602" s="0"/>
      <c r="GW602" s="0"/>
      <c r="GX602" s="0"/>
      <c r="GY602" s="0"/>
      <c r="GZ602" s="0"/>
      <c r="HA602" s="0"/>
      <c r="HB602" s="0"/>
      <c r="HC602" s="0"/>
      <c r="HD602" s="0"/>
      <c r="HE602" s="0"/>
      <c r="HF602" s="0"/>
      <c r="HG602" s="0"/>
      <c r="HH602" s="0"/>
      <c r="HI602" s="0"/>
      <c r="HJ602" s="0"/>
      <c r="HK602" s="0"/>
      <c r="HL602" s="0"/>
      <c r="HM602" s="0"/>
      <c r="HN602" s="0"/>
      <c r="HO602" s="0"/>
      <c r="HP602" s="0"/>
      <c r="HQ602" s="0"/>
      <c r="HR602" s="0"/>
      <c r="HS602" s="0"/>
      <c r="HT602" s="0"/>
      <c r="HU602" s="0"/>
      <c r="HV602" s="0"/>
      <c r="HW602" s="0"/>
      <c r="HX602" s="0"/>
      <c r="HY602" s="0"/>
      <c r="HZ602" s="0"/>
      <c r="IA602" s="0"/>
      <c r="IB602" s="0"/>
      <c r="IC602" s="0"/>
      <c r="ID602" s="0"/>
      <c r="IE602" s="0"/>
      <c r="IF602" s="0"/>
      <c r="IG602" s="0"/>
      <c r="IH602" s="0"/>
      <c r="II602" s="0"/>
      <c r="IJ602" s="0"/>
      <c r="IK602" s="0"/>
      <c r="IL602" s="0"/>
      <c r="IM602" s="0"/>
      <c r="IN602" s="0"/>
      <c r="IO602" s="0"/>
      <c r="IP602" s="0"/>
      <c r="IQ602" s="0"/>
      <c r="IR602" s="0"/>
      <c r="IS602" s="0"/>
      <c r="IT602" s="0"/>
      <c r="IU602" s="0"/>
      <c r="IV602" s="0"/>
    </row>
    <row r="603" customFormat="false" ht="15.75" hidden="false" customHeight="true" outlineLevel="0" collapsed="false">
      <c r="A603" s="1055"/>
      <c r="B603" s="1056" t="s">
        <v>1400</v>
      </c>
      <c r="C603" s="1062" t="n">
        <v>4</v>
      </c>
      <c r="D603" s="1062" t="n">
        <v>2</v>
      </c>
      <c r="E603" s="1062"/>
      <c r="F603" s="1062" t="n">
        <v>0</v>
      </c>
      <c r="G603" s="1063" t="s">
        <v>1401</v>
      </c>
      <c r="H603" s="1064" t="n">
        <v>0</v>
      </c>
      <c r="I603" s="0"/>
      <c r="J603" s="0"/>
      <c r="K603" s="903"/>
      <c r="L603" s="877"/>
      <c r="V603" s="0"/>
      <c r="W603" s="0"/>
      <c r="X603" s="0"/>
      <c r="Y603" s="0"/>
      <c r="Z603" s="0"/>
      <c r="AA603" s="0"/>
      <c r="AB603" s="0"/>
      <c r="AC603" s="0"/>
      <c r="AD603" s="0"/>
      <c r="AE603" s="0"/>
      <c r="AF603" s="0"/>
      <c r="AG603" s="0"/>
      <c r="AH603" s="0"/>
      <c r="AI603" s="0"/>
      <c r="AJ603" s="0"/>
      <c r="AK603" s="0"/>
      <c r="AL603" s="0"/>
      <c r="AM603" s="0"/>
      <c r="AN603" s="0"/>
      <c r="AO603" s="0"/>
      <c r="AP603" s="0"/>
      <c r="AQ603" s="0"/>
      <c r="AR603" s="0"/>
      <c r="AS603" s="0"/>
      <c r="AT603" s="0"/>
      <c r="AU603" s="0"/>
      <c r="BI603" s="0"/>
      <c r="BJ603" s="0"/>
      <c r="BK603" s="0"/>
      <c r="BL603" s="0"/>
      <c r="BM603" s="0"/>
      <c r="BN603" s="0"/>
      <c r="BO603" s="0"/>
      <c r="BP603" s="0"/>
      <c r="BQ603" s="0"/>
      <c r="BR603" s="0"/>
      <c r="BS603" s="0"/>
      <c r="BT603" s="0"/>
      <c r="BU603" s="0"/>
      <c r="BV603" s="0"/>
      <c r="BW603" s="0"/>
      <c r="BX603" s="0"/>
      <c r="BY603" s="0"/>
      <c r="BZ603" s="0"/>
      <c r="CA603" s="0"/>
      <c r="CB603" s="0"/>
      <c r="CC603" s="0"/>
      <c r="CD603" s="0"/>
      <c r="CE603" s="0"/>
      <c r="CF603" s="0"/>
      <c r="CG603" s="0"/>
      <c r="CH603" s="0"/>
      <c r="CI603" s="0"/>
      <c r="CJ603" s="0"/>
      <c r="CK603" s="0"/>
      <c r="CL603" s="0"/>
      <c r="CM603" s="0"/>
      <c r="CN603" s="0"/>
      <c r="CO603" s="0"/>
      <c r="CP603" s="0"/>
      <c r="CQ603" s="0"/>
      <c r="CR603" s="0"/>
      <c r="CS603" s="0"/>
      <c r="CT603" s="0"/>
      <c r="CU603" s="0"/>
      <c r="CV603" s="0"/>
      <c r="CW603" s="0"/>
      <c r="CX603" s="0"/>
      <c r="CY603" s="0"/>
      <c r="CZ603" s="0"/>
      <c r="DA603" s="0"/>
      <c r="DB603" s="0"/>
      <c r="DC603" s="0"/>
      <c r="DD603" s="0"/>
      <c r="DE603" s="0"/>
      <c r="DF603" s="0"/>
      <c r="DG603" s="0"/>
      <c r="DH603" s="0"/>
      <c r="DI603" s="0"/>
      <c r="DJ603" s="0"/>
      <c r="DK603" s="0"/>
      <c r="DL603" s="0"/>
      <c r="DM603" s="0"/>
      <c r="DN603" s="0"/>
      <c r="DO603" s="0"/>
      <c r="DP603" s="0"/>
      <c r="DQ603" s="0"/>
      <c r="DR603" s="0"/>
      <c r="DS603" s="0"/>
      <c r="DT603" s="0"/>
      <c r="DU603" s="0"/>
      <c r="DV603" s="0"/>
      <c r="DW603" s="0"/>
      <c r="DX603" s="0"/>
      <c r="DY603" s="0"/>
      <c r="DZ603" s="0"/>
      <c r="EA603" s="0"/>
      <c r="EB603" s="0"/>
      <c r="EC603" s="0"/>
      <c r="ED603" s="0"/>
      <c r="EE603" s="0"/>
      <c r="EF603" s="0"/>
      <c r="EG603" s="0"/>
      <c r="EH603" s="0"/>
      <c r="EI603" s="0"/>
      <c r="EJ603" s="0"/>
      <c r="EK603" s="0"/>
      <c r="EL603" s="0"/>
      <c r="EM603" s="0"/>
      <c r="EN603" s="0"/>
      <c r="EO603" s="0"/>
      <c r="EP603" s="0"/>
      <c r="EQ603" s="0"/>
      <c r="ER603" s="0"/>
      <c r="ES603" s="0"/>
      <c r="ET603" s="0"/>
      <c r="EU603" s="0"/>
      <c r="EV603" s="0"/>
      <c r="EW603" s="0"/>
      <c r="EX603" s="0"/>
      <c r="EY603" s="0"/>
      <c r="EZ603" s="0"/>
      <c r="FA603" s="0"/>
      <c r="FB603" s="0"/>
      <c r="FC603" s="0"/>
      <c r="FD603" s="0"/>
      <c r="FE603" s="0"/>
      <c r="FF603" s="0"/>
      <c r="FG603" s="0"/>
      <c r="FH603" s="0"/>
      <c r="FI603" s="0"/>
      <c r="FJ603" s="0"/>
      <c r="FK603" s="0"/>
      <c r="FL603" s="0"/>
      <c r="FM603" s="0"/>
      <c r="FN603" s="0"/>
      <c r="FO603" s="0"/>
      <c r="FP603" s="0"/>
      <c r="FQ603" s="0"/>
      <c r="FR603" s="0"/>
      <c r="FS603" s="0"/>
      <c r="FT603" s="0"/>
      <c r="FU603" s="0"/>
      <c r="FV603" s="0"/>
      <c r="FW603" s="0"/>
      <c r="FX603" s="0"/>
      <c r="FY603" s="0"/>
      <c r="FZ603" s="0"/>
      <c r="GA603" s="0"/>
      <c r="GB603" s="0"/>
      <c r="GC603" s="0"/>
      <c r="GD603" s="0"/>
      <c r="GE603" s="0"/>
      <c r="GF603" s="0"/>
      <c r="GG603" s="0"/>
      <c r="GH603" s="0"/>
      <c r="GI603" s="0"/>
      <c r="GJ603" s="0"/>
      <c r="GK603" s="0"/>
      <c r="GL603" s="0"/>
      <c r="GM603" s="0"/>
      <c r="GN603" s="0"/>
      <c r="GO603" s="0"/>
      <c r="GP603" s="0"/>
      <c r="GQ603" s="0"/>
      <c r="GR603" s="0"/>
      <c r="GS603" s="0"/>
      <c r="GT603" s="0"/>
      <c r="GU603" s="0"/>
      <c r="GV603" s="0"/>
      <c r="GW603" s="0"/>
      <c r="GX603" s="0"/>
      <c r="GY603" s="0"/>
      <c r="GZ603" s="0"/>
      <c r="HA603" s="0"/>
      <c r="HB603" s="0"/>
      <c r="HC603" s="0"/>
      <c r="HD603" s="0"/>
      <c r="HE603" s="0"/>
      <c r="HF603" s="0"/>
      <c r="HG603" s="0"/>
      <c r="HH603" s="0"/>
      <c r="HI603" s="0"/>
      <c r="HJ603" s="0"/>
      <c r="HK603" s="0"/>
      <c r="HL603" s="0"/>
      <c r="HM603" s="0"/>
      <c r="HN603" s="0"/>
      <c r="HO603" s="0"/>
      <c r="HP603" s="0"/>
      <c r="HQ603" s="0"/>
      <c r="HR603" s="0"/>
      <c r="HS603" s="0"/>
      <c r="HT603" s="0"/>
      <c r="HU603" s="0"/>
      <c r="HV603" s="0"/>
      <c r="HW603" s="0"/>
      <c r="HX603" s="0"/>
      <c r="HY603" s="0"/>
      <c r="HZ603" s="0"/>
      <c r="IA603" s="0"/>
      <c r="IB603" s="0"/>
      <c r="IC603" s="0"/>
      <c r="ID603" s="0"/>
      <c r="IE603" s="0"/>
      <c r="IF603" s="0"/>
      <c r="IG603" s="0"/>
      <c r="IH603" s="0"/>
      <c r="II603" s="0"/>
      <c r="IJ603" s="0"/>
      <c r="IK603" s="0"/>
      <c r="IL603" s="0"/>
      <c r="IM603" s="0"/>
      <c r="IN603" s="0"/>
      <c r="IO603" s="0"/>
      <c r="IP603" s="0"/>
      <c r="IQ603" s="0"/>
      <c r="IR603" s="0"/>
      <c r="IS603" s="0"/>
      <c r="IT603" s="0"/>
      <c r="IU603" s="0"/>
      <c r="IV603" s="0"/>
    </row>
    <row r="604" customFormat="false" ht="15.75" hidden="false" customHeight="true" outlineLevel="0" collapsed="false">
      <c r="A604" s="1055"/>
      <c r="B604" s="1056" t="s">
        <v>1402</v>
      </c>
      <c r="C604" s="1062" t="n">
        <v>6</v>
      </c>
      <c r="D604" s="1062" t="n">
        <v>4</v>
      </c>
      <c r="E604" s="1062"/>
      <c r="F604" s="1062" t="n">
        <v>2</v>
      </c>
      <c r="G604" s="1063"/>
      <c r="H604" s="1064"/>
      <c r="I604" s="0"/>
      <c r="J604" s="0"/>
      <c r="K604" s="903"/>
      <c r="L604" s="877"/>
      <c r="V604" s="0"/>
      <c r="W604" s="0"/>
      <c r="X604" s="0"/>
      <c r="Y604" s="0"/>
      <c r="Z604" s="0"/>
      <c r="AA604" s="0"/>
      <c r="AB604" s="0"/>
      <c r="AC604" s="0"/>
      <c r="AD604" s="0"/>
      <c r="AE604" s="0"/>
      <c r="AF604" s="0"/>
      <c r="AG604" s="0"/>
      <c r="AH604" s="0"/>
      <c r="AI604" s="0"/>
      <c r="AJ604" s="0"/>
      <c r="AK604" s="0"/>
      <c r="AL604" s="0"/>
      <c r="AM604" s="0"/>
      <c r="AN604" s="0"/>
      <c r="AO604" s="0"/>
      <c r="AP604" s="0"/>
      <c r="AQ604" s="0"/>
      <c r="AR604" s="0"/>
      <c r="AS604" s="0"/>
      <c r="AT604" s="0"/>
      <c r="AU604" s="0"/>
      <c r="BI604" s="0"/>
      <c r="BJ604" s="0"/>
      <c r="BK604" s="0"/>
      <c r="BL604" s="0"/>
      <c r="BM604" s="0"/>
      <c r="BN604" s="0"/>
      <c r="BO604" s="0"/>
      <c r="BP604" s="0"/>
      <c r="BQ604" s="0"/>
      <c r="BR604" s="0"/>
      <c r="BS604" s="0"/>
      <c r="BT604" s="0"/>
      <c r="BU604" s="0"/>
      <c r="BV604" s="0"/>
      <c r="BW604" s="0"/>
      <c r="BX604" s="0"/>
      <c r="BY604" s="0"/>
      <c r="BZ604" s="0"/>
      <c r="CA604" s="0"/>
      <c r="CB604" s="0"/>
      <c r="CC604" s="0"/>
      <c r="CD604" s="0"/>
      <c r="CE604" s="0"/>
      <c r="CF604" s="0"/>
      <c r="CG604" s="0"/>
      <c r="CH604" s="0"/>
      <c r="CI604" s="0"/>
      <c r="CJ604" s="0"/>
      <c r="CK604" s="0"/>
      <c r="CL604" s="0"/>
      <c r="CM604" s="0"/>
      <c r="CN604" s="0"/>
      <c r="CO604" s="0"/>
      <c r="CP604" s="0"/>
      <c r="CQ604" s="0"/>
      <c r="CR604" s="0"/>
      <c r="CS604" s="0"/>
      <c r="CT604" s="0"/>
      <c r="CU604" s="0"/>
      <c r="CV604" s="0"/>
      <c r="CW604" s="0"/>
      <c r="CX604" s="0"/>
      <c r="CY604" s="0"/>
      <c r="CZ604" s="0"/>
      <c r="DA604" s="0"/>
      <c r="DB604" s="0"/>
      <c r="DC604" s="0"/>
      <c r="DD604" s="0"/>
      <c r="DE604" s="0"/>
      <c r="DF604" s="0"/>
      <c r="DG604" s="0"/>
      <c r="DH604" s="0"/>
      <c r="DI604" s="0"/>
      <c r="DJ604" s="0"/>
      <c r="DK604" s="0"/>
      <c r="DL604" s="0"/>
      <c r="DM604" s="0"/>
      <c r="DN604" s="0"/>
      <c r="DO604" s="0"/>
      <c r="DP604" s="0"/>
      <c r="DQ604" s="0"/>
      <c r="DR604" s="0"/>
      <c r="DS604" s="0"/>
      <c r="DT604" s="0"/>
      <c r="DU604" s="0"/>
      <c r="DV604" s="0"/>
      <c r="DW604" s="0"/>
      <c r="DX604" s="0"/>
      <c r="DY604" s="0"/>
      <c r="DZ604" s="0"/>
      <c r="EA604" s="0"/>
      <c r="EB604" s="0"/>
      <c r="EC604" s="0"/>
      <c r="ED604" s="0"/>
      <c r="EE604" s="0"/>
      <c r="EF604" s="0"/>
      <c r="EG604" s="0"/>
      <c r="EH604" s="0"/>
      <c r="EI604" s="0"/>
      <c r="EJ604" s="0"/>
      <c r="EK604" s="0"/>
      <c r="EL604" s="0"/>
      <c r="EM604" s="0"/>
      <c r="EN604" s="0"/>
      <c r="EO604" s="0"/>
      <c r="EP604" s="0"/>
      <c r="EQ604" s="0"/>
      <c r="ER604" s="0"/>
      <c r="ES604" s="0"/>
      <c r="ET604" s="0"/>
      <c r="EU604" s="0"/>
      <c r="EV604" s="0"/>
      <c r="EW604" s="0"/>
      <c r="EX604" s="0"/>
      <c r="EY604" s="0"/>
      <c r="EZ604" s="0"/>
      <c r="FA604" s="0"/>
      <c r="FB604" s="0"/>
      <c r="FC604" s="0"/>
      <c r="FD604" s="0"/>
      <c r="FE604" s="0"/>
      <c r="FF604" s="0"/>
      <c r="FG604" s="0"/>
      <c r="FH604" s="0"/>
      <c r="FI604" s="0"/>
      <c r="FJ604" s="0"/>
      <c r="FK604" s="0"/>
      <c r="FL604" s="0"/>
      <c r="FM604" s="0"/>
      <c r="FN604" s="0"/>
      <c r="FO604" s="0"/>
      <c r="FP604" s="0"/>
      <c r="FQ604" s="0"/>
      <c r="FR604" s="0"/>
      <c r="FS604" s="0"/>
      <c r="FT604" s="0"/>
      <c r="FU604" s="0"/>
      <c r="FV604" s="0"/>
      <c r="FW604" s="0"/>
      <c r="FX604" s="0"/>
      <c r="FY604" s="0"/>
      <c r="FZ604" s="0"/>
      <c r="GA604" s="0"/>
      <c r="GB604" s="0"/>
      <c r="GC604" s="0"/>
      <c r="GD604" s="0"/>
      <c r="GE604" s="0"/>
      <c r="GF604" s="0"/>
      <c r="GG604" s="0"/>
      <c r="GH604" s="0"/>
      <c r="GI604" s="0"/>
      <c r="GJ604" s="0"/>
      <c r="GK604" s="0"/>
      <c r="GL604" s="0"/>
      <c r="GM604" s="0"/>
      <c r="GN604" s="0"/>
      <c r="GO604" s="0"/>
      <c r="GP604" s="0"/>
      <c r="GQ604" s="0"/>
      <c r="GR604" s="0"/>
      <c r="GS604" s="0"/>
      <c r="GT604" s="0"/>
      <c r="GU604" s="0"/>
      <c r="GV604" s="0"/>
      <c r="GW604" s="0"/>
      <c r="GX604" s="0"/>
      <c r="GY604" s="0"/>
      <c r="GZ604" s="0"/>
      <c r="HA604" s="0"/>
      <c r="HB604" s="0"/>
      <c r="HC604" s="0"/>
      <c r="HD604" s="0"/>
      <c r="HE604" s="0"/>
      <c r="HF604" s="0"/>
      <c r="HG604" s="0"/>
      <c r="HH604" s="0"/>
      <c r="HI604" s="0"/>
      <c r="HJ604" s="0"/>
      <c r="HK604" s="0"/>
      <c r="HL604" s="0"/>
      <c r="HM604" s="0"/>
      <c r="HN604" s="0"/>
      <c r="HO604" s="0"/>
      <c r="HP604" s="0"/>
      <c r="HQ604" s="0"/>
      <c r="HR604" s="0"/>
      <c r="HS604" s="0"/>
      <c r="HT604" s="0"/>
      <c r="HU604" s="0"/>
      <c r="HV604" s="0"/>
      <c r="HW604" s="0"/>
      <c r="HX604" s="0"/>
      <c r="HY604" s="0"/>
      <c r="HZ604" s="0"/>
      <c r="IA604" s="0"/>
      <c r="IB604" s="0"/>
      <c r="IC604" s="0"/>
      <c r="ID604" s="0"/>
      <c r="IE604" s="0"/>
      <c r="IF604" s="0"/>
      <c r="IG604" s="0"/>
      <c r="IH604" s="0"/>
      <c r="II604" s="0"/>
      <c r="IJ604" s="0"/>
      <c r="IK604" s="0"/>
      <c r="IL604" s="0"/>
      <c r="IM604" s="0"/>
      <c r="IN604" s="0"/>
      <c r="IO604" s="0"/>
      <c r="IP604" s="0"/>
      <c r="IQ604" s="0"/>
      <c r="IR604" s="0"/>
      <c r="IS604" s="0"/>
      <c r="IT604" s="0"/>
      <c r="IU604" s="0"/>
      <c r="IV604" s="0"/>
    </row>
    <row r="605" customFormat="false" ht="15.75" hidden="false" customHeight="true" outlineLevel="0" collapsed="false">
      <c r="A605" s="1055"/>
      <c r="B605" s="1056" t="s">
        <v>1403</v>
      </c>
      <c r="C605" s="1062" t="n">
        <v>8</v>
      </c>
      <c r="D605" s="1062" t="n">
        <v>6</v>
      </c>
      <c r="E605" s="1062"/>
      <c r="F605" s="1062" t="n">
        <v>4</v>
      </c>
      <c r="G605" s="1063" t="s">
        <v>1401</v>
      </c>
      <c r="H605" s="1064"/>
      <c r="I605" s="0"/>
      <c r="J605" s="0"/>
      <c r="K605" s="903"/>
      <c r="L605" s="877"/>
      <c r="V605" s="0"/>
      <c r="W605" s="0"/>
      <c r="X605" s="0"/>
      <c r="Y605" s="0"/>
      <c r="Z605" s="0"/>
      <c r="AA605" s="0"/>
      <c r="AB605" s="0"/>
      <c r="AC605" s="0"/>
      <c r="AD605" s="0"/>
      <c r="AE605" s="0"/>
      <c r="AF605" s="0"/>
      <c r="AG605" s="0"/>
      <c r="AH605" s="0"/>
      <c r="AI605" s="0"/>
      <c r="AJ605" s="0"/>
      <c r="AK605" s="0"/>
      <c r="AL605" s="0"/>
      <c r="AM605" s="0"/>
      <c r="AN605" s="0"/>
      <c r="AO605" s="0"/>
      <c r="AP605" s="0"/>
      <c r="AQ605" s="0"/>
      <c r="AR605" s="0"/>
      <c r="AS605" s="0"/>
      <c r="AT605" s="0"/>
      <c r="AU605" s="0"/>
      <c r="BI605" s="0"/>
      <c r="BJ605" s="0"/>
      <c r="BK605" s="0"/>
      <c r="BL605" s="0"/>
      <c r="BM605" s="0"/>
      <c r="BN605" s="0"/>
      <c r="BO605" s="0"/>
      <c r="BP605" s="0"/>
      <c r="BQ605" s="0"/>
      <c r="BR605" s="0"/>
      <c r="BS605" s="0"/>
      <c r="BT605" s="0"/>
      <c r="BU605" s="0"/>
      <c r="BV605" s="0"/>
      <c r="BW605" s="0"/>
      <c r="BX605" s="0"/>
      <c r="BY605" s="0"/>
      <c r="BZ605" s="0"/>
      <c r="CA605" s="0"/>
      <c r="CB605" s="0"/>
      <c r="CC605" s="0"/>
      <c r="CD605" s="0"/>
      <c r="CE605" s="0"/>
      <c r="CF605" s="0"/>
      <c r="CG605" s="0"/>
      <c r="CH605" s="0"/>
      <c r="CI605" s="0"/>
      <c r="CJ605" s="0"/>
      <c r="CK605" s="0"/>
      <c r="CL605" s="0"/>
      <c r="CM605" s="0"/>
      <c r="CN605" s="0"/>
      <c r="CO605" s="0"/>
      <c r="CP605" s="0"/>
      <c r="CQ605" s="0"/>
      <c r="CR605" s="0"/>
      <c r="CS605" s="0"/>
      <c r="CT605" s="0"/>
      <c r="CU605" s="0"/>
      <c r="CV605" s="0"/>
      <c r="CW605" s="0"/>
      <c r="CX605" s="0"/>
      <c r="CY605" s="0"/>
      <c r="CZ605" s="0"/>
      <c r="DA605" s="0"/>
      <c r="DB605" s="0"/>
      <c r="DC605" s="0"/>
      <c r="DD605" s="0"/>
      <c r="DE605" s="0"/>
      <c r="DF605" s="0"/>
      <c r="DG605" s="0"/>
      <c r="DH605" s="0"/>
      <c r="DI605" s="0"/>
      <c r="DJ605" s="0"/>
      <c r="DK605" s="0"/>
      <c r="DL605" s="0"/>
      <c r="DM605" s="0"/>
      <c r="DN605" s="0"/>
      <c r="DO605" s="0"/>
      <c r="DP605" s="0"/>
      <c r="DQ605" s="0"/>
      <c r="DR605" s="0"/>
      <c r="DS605" s="0"/>
      <c r="DT605" s="0"/>
      <c r="DU605" s="0"/>
      <c r="DV605" s="0"/>
      <c r="DW605" s="0"/>
      <c r="DX605" s="0"/>
      <c r="DY605" s="0"/>
      <c r="DZ605" s="0"/>
      <c r="EA605" s="0"/>
      <c r="EB605" s="0"/>
      <c r="EC605" s="0"/>
      <c r="ED605" s="0"/>
      <c r="EE605" s="0"/>
      <c r="EF605" s="0"/>
      <c r="EG605" s="0"/>
      <c r="EH605" s="0"/>
      <c r="EI605" s="0"/>
      <c r="EJ605" s="0"/>
      <c r="EK605" s="0"/>
      <c r="EL605" s="0"/>
      <c r="EM605" s="0"/>
      <c r="EN605" s="0"/>
      <c r="EO605" s="0"/>
      <c r="EP605" s="0"/>
      <c r="EQ605" s="0"/>
      <c r="ER605" s="0"/>
      <c r="ES605" s="0"/>
      <c r="ET605" s="0"/>
      <c r="EU605" s="0"/>
      <c r="EV605" s="0"/>
      <c r="EW605" s="0"/>
      <c r="EX605" s="0"/>
      <c r="EY605" s="0"/>
      <c r="EZ605" s="0"/>
      <c r="FA605" s="0"/>
      <c r="FB605" s="0"/>
      <c r="FC605" s="0"/>
      <c r="FD605" s="0"/>
      <c r="FE605" s="0"/>
      <c r="FF605" s="0"/>
      <c r="FG605" s="0"/>
      <c r="FH605" s="0"/>
      <c r="FI605" s="0"/>
      <c r="FJ605" s="0"/>
      <c r="FK605" s="0"/>
      <c r="FL605" s="0"/>
      <c r="FM605" s="0"/>
      <c r="FN605" s="0"/>
      <c r="FO605" s="0"/>
      <c r="FP605" s="0"/>
      <c r="FQ605" s="0"/>
      <c r="FR605" s="0"/>
      <c r="FS605" s="0"/>
      <c r="FT605" s="0"/>
      <c r="FU605" s="0"/>
      <c r="FV605" s="0"/>
      <c r="FW605" s="0"/>
      <c r="FX605" s="0"/>
      <c r="FY605" s="0"/>
      <c r="FZ605" s="0"/>
      <c r="GA605" s="0"/>
      <c r="GB605" s="0"/>
      <c r="GC605" s="0"/>
      <c r="GD605" s="0"/>
      <c r="GE605" s="0"/>
      <c r="GF605" s="0"/>
      <c r="GG605" s="0"/>
      <c r="GH605" s="0"/>
      <c r="GI605" s="0"/>
      <c r="GJ605" s="0"/>
      <c r="GK605" s="0"/>
      <c r="GL605" s="0"/>
      <c r="GM605" s="0"/>
      <c r="GN605" s="0"/>
      <c r="GO605" s="0"/>
      <c r="GP605" s="0"/>
      <c r="GQ605" s="0"/>
      <c r="GR605" s="0"/>
      <c r="GS605" s="0"/>
      <c r="GT605" s="0"/>
      <c r="GU605" s="0"/>
      <c r="GV605" s="0"/>
      <c r="GW605" s="0"/>
      <c r="GX605" s="0"/>
      <c r="GY605" s="0"/>
      <c r="GZ605" s="0"/>
      <c r="HA605" s="0"/>
      <c r="HB605" s="0"/>
      <c r="HC605" s="0"/>
      <c r="HD605" s="0"/>
      <c r="HE605" s="0"/>
      <c r="HF605" s="0"/>
      <c r="HG605" s="0"/>
      <c r="HH605" s="0"/>
      <c r="HI605" s="0"/>
      <c r="HJ605" s="0"/>
      <c r="HK605" s="0"/>
      <c r="HL605" s="0"/>
      <c r="HM605" s="0"/>
      <c r="HN605" s="0"/>
      <c r="HO605" s="0"/>
      <c r="HP605" s="0"/>
      <c r="HQ605" s="0"/>
      <c r="HR605" s="0"/>
      <c r="HS605" s="0"/>
      <c r="HT605" s="0"/>
      <c r="HU605" s="0"/>
      <c r="HV605" s="0"/>
      <c r="HW605" s="0"/>
      <c r="HX605" s="0"/>
      <c r="HY605" s="0"/>
      <c r="HZ605" s="0"/>
      <c r="IA605" s="0"/>
      <c r="IB605" s="0"/>
      <c r="IC605" s="0"/>
      <c r="ID605" s="0"/>
      <c r="IE605" s="0"/>
      <c r="IF605" s="0"/>
      <c r="IG605" s="0"/>
      <c r="IH605" s="0"/>
      <c r="II605" s="0"/>
      <c r="IJ605" s="0"/>
      <c r="IK605" s="0"/>
      <c r="IL605" s="0"/>
      <c r="IM605" s="0"/>
      <c r="IN605" s="0"/>
      <c r="IO605" s="0"/>
      <c r="IP605" s="0"/>
      <c r="IQ605" s="0"/>
      <c r="IR605" s="0"/>
      <c r="IS605" s="0"/>
      <c r="IT605" s="0"/>
      <c r="IU605" s="0"/>
      <c r="IV605" s="0"/>
    </row>
    <row r="606" customFormat="false" ht="15.75" hidden="false" customHeight="true" outlineLevel="0" collapsed="false">
      <c r="A606" s="1050"/>
      <c r="B606" s="1050"/>
      <c r="C606" s="1050"/>
      <c r="D606" s="1050"/>
      <c r="E606" s="1050"/>
      <c r="F606" s="1050"/>
      <c r="G606" s="1050"/>
      <c r="H606" s="0"/>
      <c r="I606" s="0"/>
      <c r="J606" s="0"/>
      <c r="K606" s="903"/>
      <c r="L606" s="877"/>
      <c r="V606" s="0"/>
      <c r="W606" s="0"/>
      <c r="X606" s="0"/>
      <c r="Y606" s="0"/>
      <c r="Z606" s="0"/>
      <c r="AA606" s="0"/>
      <c r="AB606" s="0"/>
      <c r="AC606" s="0"/>
      <c r="AD606" s="0"/>
      <c r="AE606" s="0"/>
      <c r="AF606" s="0"/>
      <c r="AG606" s="0"/>
      <c r="AH606" s="0"/>
      <c r="AI606" s="0"/>
      <c r="AJ606" s="0"/>
      <c r="AK606" s="0"/>
      <c r="AL606" s="0"/>
      <c r="AM606" s="0"/>
      <c r="AN606" s="0"/>
      <c r="AO606" s="0"/>
      <c r="AP606" s="0"/>
      <c r="AQ606" s="0"/>
      <c r="AR606" s="0"/>
      <c r="AS606" s="0"/>
      <c r="AT606" s="0"/>
      <c r="AU606" s="0"/>
      <c r="BI606" s="0"/>
      <c r="BJ606" s="0"/>
      <c r="BK606" s="0"/>
      <c r="BL606" s="0"/>
      <c r="BM606" s="0"/>
      <c r="BN606" s="0"/>
      <c r="BO606" s="0"/>
      <c r="BP606" s="0"/>
      <c r="BQ606" s="0"/>
      <c r="BR606" s="0"/>
      <c r="BS606" s="0"/>
      <c r="BT606" s="0"/>
      <c r="BU606" s="0"/>
      <c r="BV606" s="0"/>
      <c r="BW606" s="0"/>
      <c r="BX606" s="0"/>
      <c r="BY606" s="0"/>
      <c r="BZ606" s="0"/>
      <c r="CA606" s="0"/>
      <c r="CB606" s="0"/>
      <c r="CC606" s="0"/>
      <c r="CD606" s="0"/>
      <c r="CE606" s="0"/>
      <c r="CF606" s="0"/>
      <c r="CG606" s="0"/>
      <c r="CH606" s="0"/>
      <c r="CI606" s="0"/>
      <c r="CJ606" s="0"/>
      <c r="CK606" s="0"/>
      <c r="CL606" s="0"/>
      <c r="CM606" s="0"/>
      <c r="CN606" s="0"/>
      <c r="CO606" s="0"/>
      <c r="CP606" s="0"/>
      <c r="CQ606" s="0"/>
      <c r="CR606" s="0"/>
      <c r="CS606" s="0"/>
      <c r="CT606" s="0"/>
      <c r="CU606" s="0"/>
      <c r="CV606" s="0"/>
      <c r="CW606" s="0"/>
      <c r="CX606" s="0"/>
      <c r="CY606" s="0"/>
      <c r="CZ606" s="0"/>
      <c r="DA606" s="0"/>
      <c r="DB606" s="0"/>
      <c r="DC606" s="0"/>
      <c r="DD606" s="0"/>
      <c r="DE606" s="0"/>
      <c r="DF606" s="0"/>
      <c r="DG606" s="0"/>
      <c r="DH606" s="0"/>
      <c r="DI606" s="0"/>
      <c r="DJ606" s="0"/>
      <c r="DK606" s="0"/>
      <c r="DL606" s="0"/>
      <c r="DM606" s="0"/>
      <c r="DN606" s="0"/>
      <c r="DO606" s="0"/>
      <c r="DP606" s="0"/>
      <c r="DQ606" s="0"/>
      <c r="DR606" s="0"/>
      <c r="DS606" s="0"/>
      <c r="DT606" s="0"/>
      <c r="DU606" s="0"/>
      <c r="DV606" s="0"/>
      <c r="DW606" s="0"/>
      <c r="DX606" s="0"/>
      <c r="DY606" s="0"/>
      <c r="DZ606" s="0"/>
      <c r="EA606" s="0"/>
      <c r="EB606" s="0"/>
      <c r="EC606" s="0"/>
      <c r="ED606" s="0"/>
      <c r="EE606" s="0"/>
      <c r="EF606" s="0"/>
      <c r="EG606" s="0"/>
      <c r="EH606" s="0"/>
      <c r="EI606" s="0"/>
      <c r="EJ606" s="0"/>
      <c r="EK606" s="0"/>
      <c r="EL606" s="0"/>
      <c r="EM606" s="0"/>
      <c r="EN606" s="0"/>
      <c r="EO606" s="0"/>
      <c r="EP606" s="0"/>
      <c r="EQ606" s="0"/>
      <c r="ER606" s="0"/>
      <c r="ES606" s="0"/>
      <c r="ET606" s="0"/>
      <c r="EU606" s="0"/>
      <c r="EV606" s="0"/>
      <c r="EW606" s="0"/>
      <c r="EX606" s="0"/>
      <c r="EY606" s="0"/>
      <c r="EZ606" s="0"/>
      <c r="FA606" s="0"/>
      <c r="FB606" s="0"/>
      <c r="FC606" s="0"/>
      <c r="FD606" s="0"/>
      <c r="FE606" s="0"/>
      <c r="FF606" s="0"/>
      <c r="FG606" s="0"/>
      <c r="FH606" s="0"/>
      <c r="FI606" s="0"/>
      <c r="FJ606" s="0"/>
      <c r="FK606" s="0"/>
      <c r="FL606" s="0"/>
      <c r="FM606" s="0"/>
      <c r="FN606" s="0"/>
      <c r="FO606" s="0"/>
      <c r="FP606" s="0"/>
      <c r="FQ606" s="0"/>
      <c r="FR606" s="0"/>
      <c r="FS606" s="0"/>
      <c r="FT606" s="0"/>
      <c r="FU606" s="0"/>
      <c r="FV606" s="0"/>
      <c r="FW606" s="0"/>
      <c r="FX606" s="0"/>
      <c r="FY606" s="0"/>
      <c r="FZ606" s="0"/>
      <c r="GA606" s="0"/>
      <c r="GB606" s="0"/>
      <c r="GC606" s="0"/>
      <c r="GD606" s="0"/>
      <c r="GE606" s="0"/>
      <c r="GF606" s="0"/>
      <c r="GG606" s="0"/>
      <c r="GH606" s="0"/>
      <c r="GI606" s="0"/>
      <c r="GJ606" s="0"/>
      <c r="GK606" s="0"/>
      <c r="GL606" s="0"/>
      <c r="GM606" s="0"/>
      <c r="GN606" s="0"/>
      <c r="GO606" s="0"/>
      <c r="GP606" s="0"/>
      <c r="GQ606" s="0"/>
      <c r="GR606" s="0"/>
      <c r="GS606" s="0"/>
      <c r="GT606" s="0"/>
      <c r="GU606" s="0"/>
      <c r="GV606" s="0"/>
      <c r="GW606" s="0"/>
      <c r="GX606" s="0"/>
      <c r="GY606" s="0"/>
      <c r="GZ606" s="0"/>
      <c r="HA606" s="0"/>
      <c r="HB606" s="0"/>
      <c r="HC606" s="0"/>
      <c r="HD606" s="0"/>
      <c r="HE606" s="0"/>
      <c r="HF606" s="0"/>
      <c r="HG606" s="0"/>
      <c r="HH606" s="0"/>
      <c r="HI606" s="0"/>
      <c r="HJ606" s="0"/>
      <c r="HK606" s="0"/>
      <c r="HL606" s="0"/>
      <c r="HM606" s="0"/>
      <c r="HN606" s="0"/>
      <c r="HO606" s="0"/>
      <c r="HP606" s="0"/>
      <c r="HQ606" s="0"/>
      <c r="HR606" s="0"/>
      <c r="HS606" s="0"/>
      <c r="HT606" s="0"/>
      <c r="HU606" s="0"/>
      <c r="HV606" s="0"/>
      <c r="HW606" s="0"/>
      <c r="HX606" s="0"/>
      <c r="HY606" s="0"/>
      <c r="HZ606" s="0"/>
      <c r="IA606" s="0"/>
      <c r="IB606" s="0"/>
      <c r="IC606" s="0"/>
      <c r="ID606" s="0"/>
      <c r="IE606" s="0"/>
      <c r="IF606" s="0"/>
      <c r="IG606" s="0"/>
      <c r="IH606" s="0"/>
      <c r="II606" s="0"/>
      <c r="IJ606" s="0"/>
      <c r="IK606" s="0"/>
      <c r="IL606" s="0"/>
      <c r="IM606" s="0"/>
      <c r="IN606" s="0"/>
      <c r="IO606" s="0"/>
      <c r="IP606" s="0"/>
      <c r="IQ606" s="0"/>
      <c r="IR606" s="0"/>
      <c r="IS606" s="0"/>
      <c r="IT606" s="0"/>
      <c r="IU606" s="0"/>
      <c r="IV606" s="0"/>
    </row>
    <row r="607" customFormat="false" ht="15" hidden="false" customHeight="true" outlineLevel="0" collapsed="false">
      <c r="A607" s="0"/>
      <c r="B607" s="0"/>
      <c r="C607" s="0"/>
      <c r="D607" s="0"/>
      <c r="E607" s="0"/>
      <c r="F607" s="0"/>
      <c r="G607" s="0"/>
      <c r="H607" s="0"/>
      <c r="I607" s="0"/>
      <c r="J607" s="0"/>
      <c r="K607" s="0"/>
      <c r="L607" s="0"/>
      <c r="V607" s="0"/>
      <c r="W607" s="0"/>
      <c r="X607" s="0"/>
      <c r="Y607" s="0"/>
      <c r="Z607" s="0"/>
      <c r="AA607" s="0"/>
      <c r="AB607" s="0"/>
      <c r="AC607" s="0"/>
      <c r="AD607" s="0"/>
      <c r="AE607" s="0"/>
      <c r="AF607" s="0"/>
      <c r="AG607" s="0"/>
      <c r="AH607" s="0"/>
      <c r="AI607" s="0"/>
      <c r="AJ607" s="0"/>
      <c r="AK607" s="0"/>
      <c r="AL607" s="0"/>
      <c r="AM607" s="0"/>
      <c r="AN607" s="0"/>
      <c r="AO607" s="0"/>
      <c r="AP607" s="0"/>
      <c r="AQ607" s="0"/>
      <c r="AR607" s="0"/>
      <c r="AS607" s="0"/>
      <c r="AT607" s="0"/>
      <c r="AU607" s="0"/>
      <c r="BI607" s="0"/>
      <c r="BJ607" s="0"/>
      <c r="BK607" s="0"/>
      <c r="BL607" s="0"/>
      <c r="BM607" s="0"/>
      <c r="BN607" s="0"/>
      <c r="BO607" s="0"/>
      <c r="BP607" s="0"/>
      <c r="BQ607" s="0"/>
      <c r="BR607" s="0"/>
      <c r="BS607" s="0"/>
      <c r="BT607" s="0"/>
      <c r="BU607" s="0"/>
      <c r="BV607" s="0"/>
      <c r="BW607" s="0"/>
      <c r="BX607" s="0"/>
      <c r="BY607" s="0"/>
      <c r="BZ607" s="0"/>
      <c r="CA607" s="0"/>
      <c r="CB607" s="0"/>
      <c r="CC607" s="0"/>
      <c r="CD607" s="0"/>
      <c r="CE607" s="0"/>
      <c r="CF607" s="0"/>
      <c r="CG607" s="0"/>
      <c r="CH607" s="0"/>
      <c r="CI607" s="0"/>
      <c r="CJ607" s="0"/>
      <c r="CK607" s="0"/>
      <c r="CL607" s="0"/>
      <c r="CM607" s="0"/>
      <c r="CN607" s="0"/>
      <c r="CO607" s="0"/>
      <c r="CP607" s="0"/>
      <c r="CQ607" s="0"/>
      <c r="CR607" s="0"/>
      <c r="CS607" s="0"/>
      <c r="CT607" s="0"/>
      <c r="CU607" s="0"/>
      <c r="CV607" s="0"/>
      <c r="CW607" s="0"/>
      <c r="CX607" s="0"/>
      <c r="CY607" s="0"/>
      <c r="CZ607" s="0"/>
      <c r="DA607" s="0"/>
      <c r="DB607" s="0"/>
      <c r="DC607" s="0"/>
      <c r="DD607" s="0"/>
      <c r="DE607" s="0"/>
      <c r="DF607" s="0"/>
      <c r="DG607" s="0"/>
      <c r="DH607" s="0"/>
      <c r="DI607" s="0"/>
      <c r="DJ607" s="0"/>
      <c r="DK607" s="0"/>
      <c r="DL607" s="0"/>
      <c r="DM607" s="0"/>
      <c r="DN607" s="0"/>
      <c r="DO607" s="0"/>
      <c r="DP607" s="0"/>
      <c r="DQ607" s="0"/>
      <c r="DR607" s="0"/>
      <c r="DS607" s="0"/>
      <c r="DT607" s="0"/>
      <c r="DU607" s="0"/>
      <c r="DV607" s="0"/>
      <c r="DW607" s="0"/>
      <c r="DX607" s="0"/>
      <c r="DY607" s="0"/>
      <c r="DZ607" s="0"/>
      <c r="EA607" s="0"/>
      <c r="EB607" s="0"/>
      <c r="EC607" s="0"/>
      <c r="ED607" s="0"/>
      <c r="EE607" s="0"/>
      <c r="EF607" s="0"/>
      <c r="EG607" s="0"/>
      <c r="EH607" s="0"/>
      <c r="EI607" s="0"/>
      <c r="EJ607" s="0"/>
      <c r="EK607" s="0"/>
      <c r="EL607" s="0"/>
      <c r="EM607" s="0"/>
      <c r="EN607" s="0"/>
      <c r="EO607" s="0"/>
      <c r="EP607" s="0"/>
      <c r="EQ607" s="0"/>
      <c r="ER607" s="0"/>
      <c r="ES607" s="0"/>
      <c r="ET607" s="0"/>
      <c r="EU607" s="0"/>
      <c r="EV607" s="0"/>
      <c r="EW607" s="0"/>
      <c r="EX607" s="0"/>
      <c r="EY607" s="0"/>
      <c r="EZ607" s="0"/>
      <c r="FA607" s="0"/>
      <c r="FB607" s="0"/>
      <c r="FC607" s="0"/>
      <c r="FD607" s="0"/>
      <c r="FE607" s="0"/>
      <c r="FF607" s="0"/>
      <c r="FG607" s="0"/>
      <c r="FH607" s="0"/>
      <c r="FI607" s="0"/>
      <c r="FJ607" s="0"/>
      <c r="FK607" s="0"/>
      <c r="FL607" s="0"/>
      <c r="FM607" s="0"/>
      <c r="FN607" s="0"/>
      <c r="FO607" s="0"/>
      <c r="FP607" s="0"/>
      <c r="FQ607" s="0"/>
      <c r="FR607" s="0"/>
      <c r="FS607" s="0"/>
      <c r="FT607" s="0"/>
      <c r="FU607" s="0"/>
      <c r="FV607" s="0"/>
      <c r="FW607" s="0"/>
      <c r="FX607" s="0"/>
      <c r="FY607" s="0"/>
      <c r="FZ607" s="0"/>
      <c r="GA607" s="0"/>
      <c r="GB607" s="0"/>
      <c r="GC607" s="0"/>
      <c r="GD607" s="0"/>
      <c r="GE607" s="0"/>
      <c r="GF607" s="0"/>
      <c r="GG607" s="0"/>
      <c r="GH607" s="0"/>
      <c r="GI607" s="0"/>
      <c r="GJ607" s="0"/>
      <c r="GK607" s="0"/>
      <c r="GL607" s="0"/>
      <c r="GM607" s="0"/>
      <c r="GN607" s="0"/>
      <c r="GO607" s="0"/>
      <c r="GP607" s="0"/>
      <c r="GQ607" s="0"/>
      <c r="GR607" s="0"/>
      <c r="GS607" s="0"/>
      <c r="GT607" s="0"/>
      <c r="GU607" s="0"/>
      <c r="GV607" s="0"/>
      <c r="GW607" s="0"/>
      <c r="GX607" s="0"/>
      <c r="GY607" s="0"/>
      <c r="GZ607" s="0"/>
      <c r="HA607" s="0"/>
      <c r="HB607" s="0"/>
      <c r="HC607" s="0"/>
      <c r="HD607" s="0"/>
      <c r="HE607" s="0"/>
      <c r="HF607" s="0"/>
      <c r="HG607" s="0"/>
      <c r="HH607" s="0"/>
      <c r="HI607" s="0"/>
      <c r="HJ607" s="0"/>
      <c r="HK607" s="0"/>
      <c r="HL607" s="0"/>
      <c r="HM607" s="0"/>
      <c r="HN607" s="0"/>
      <c r="HO607" s="0"/>
      <c r="HP607" s="0"/>
      <c r="HQ607" s="0"/>
      <c r="HR607" s="0"/>
      <c r="HS607" s="0"/>
      <c r="HT607" s="0"/>
      <c r="HU607" s="0"/>
      <c r="HV607" s="0"/>
      <c r="HW607" s="0"/>
      <c r="HX607" s="0"/>
      <c r="HY607" s="0"/>
      <c r="HZ607" s="0"/>
      <c r="IA607" s="0"/>
      <c r="IB607" s="0"/>
      <c r="IC607" s="0"/>
      <c r="ID607" s="0"/>
      <c r="IE607" s="0"/>
      <c r="IF607" s="0"/>
      <c r="IG607" s="0"/>
      <c r="IH607" s="0"/>
      <c r="II607" s="0"/>
      <c r="IJ607" s="0"/>
      <c r="IK607" s="0"/>
      <c r="IL607" s="0"/>
      <c r="IM607" s="0"/>
      <c r="IN607" s="0"/>
      <c r="IO607" s="0"/>
      <c r="IP607" s="0"/>
      <c r="IQ607" s="0"/>
      <c r="IR607" s="0"/>
      <c r="IS607" s="0"/>
      <c r="IT607" s="0"/>
      <c r="IU607" s="0"/>
      <c r="IV607" s="0"/>
    </row>
    <row r="608" customFormat="false" ht="15" hidden="false" customHeight="true" outlineLevel="0" collapsed="false">
      <c r="A608" s="869" t="s">
        <v>1404</v>
      </c>
      <c r="B608" s="869"/>
      <c r="C608" s="869"/>
      <c r="D608" s="869"/>
      <c r="E608" s="869"/>
      <c r="F608" s="869"/>
      <c r="G608" s="869"/>
      <c r="H608" s="53"/>
      <c r="I608" s="53"/>
      <c r="J608" s="53"/>
      <c r="K608" s="870"/>
      <c r="L608" s="871"/>
      <c r="V608" s="0"/>
      <c r="W608" s="0"/>
      <c r="X608" s="0"/>
      <c r="Y608" s="0"/>
      <c r="Z608" s="0"/>
      <c r="AA608" s="0"/>
      <c r="AB608" s="0"/>
      <c r="AC608" s="0"/>
      <c r="AD608" s="0"/>
      <c r="AE608" s="0"/>
      <c r="AF608" s="0"/>
      <c r="AG608" s="0"/>
      <c r="AH608" s="0"/>
      <c r="AI608" s="0"/>
      <c r="AJ608" s="0"/>
      <c r="AK608" s="0"/>
      <c r="AL608" s="0"/>
      <c r="AM608" s="0"/>
      <c r="AN608" s="0"/>
      <c r="AO608" s="0"/>
      <c r="AP608" s="0"/>
      <c r="AQ608" s="0"/>
      <c r="AR608" s="0"/>
      <c r="AS608" s="0"/>
      <c r="AT608" s="0"/>
      <c r="AU608" s="0"/>
      <c r="BI608" s="0"/>
      <c r="BJ608" s="0"/>
      <c r="BK608" s="0"/>
      <c r="BL608" s="0"/>
      <c r="BM608" s="0"/>
      <c r="BN608" s="0"/>
      <c r="BO608" s="0"/>
      <c r="BP608" s="0"/>
      <c r="BQ608" s="0"/>
      <c r="BR608" s="0"/>
      <c r="BS608" s="0"/>
      <c r="BT608" s="0"/>
      <c r="BU608" s="0"/>
      <c r="BV608" s="0"/>
      <c r="BW608" s="0"/>
      <c r="BX608" s="0"/>
      <c r="BY608" s="0"/>
      <c r="BZ608" s="0"/>
      <c r="CA608" s="0"/>
      <c r="CB608" s="0"/>
      <c r="CC608" s="0"/>
      <c r="CD608" s="0"/>
      <c r="CE608" s="0"/>
      <c r="CF608" s="0"/>
      <c r="CG608" s="0"/>
      <c r="CH608" s="0"/>
      <c r="CI608" s="0"/>
      <c r="CJ608" s="0"/>
      <c r="CK608" s="0"/>
      <c r="CL608" s="0"/>
      <c r="CM608" s="0"/>
      <c r="CN608" s="0"/>
      <c r="CO608" s="0"/>
      <c r="CP608" s="0"/>
      <c r="CQ608" s="0"/>
      <c r="CR608" s="0"/>
      <c r="CS608" s="0"/>
      <c r="CT608" s="0"/>
      <c r="CU608" s="0"/>
      <c r="CV608" s="0"/>
      <c r="CW608" s="0"/>
      <c r="CX608" s="0"/>
      <c r="CY608" s="0"/>
      <c r="CZ608" s="0"/>
      <c r="DA608" s="0"/>
      <c r="DB608" s="0"/>
      <c r="DC608" s="0"/>
      <c r="DD608" s="0"/>
      <c r="DE608" s="0"/>
      <c r="DF608" s="0"/>
      <c r="DG608" s="0"/>
      <c r="DH608" s="0"/>
      <c r="DI608" s="0"/>
      <c r="DJ608" s="0"/>
      <c r="DK608" s="0"/>
      <c r="DL608" s="0"/>
      <c r="DM608" s="0"/>
      <c r="DN608" s="0"/>
      <c r="DO608" s="0"/>
      <c r="DP608" s="0"/>
      <c r="DQ608" s="0"/>
      <c r="DR608" s="0"/>
      <c r="DS608" s="0"/>
      <c r="DT608" s="0"/>
      <c r="DU608" s="0"/>
      <c r="DV608" s="0"/>
      <c r="DW608" s="0"/>
      <c r="DX608" s="0"/>
      <c r="DY608" s="0"/>
      <c r="DZ608" s="0"/>
      <c r="EA608" s="0"/>
      <c r="EB608" s="0"/>
      <c r="EC608" s="0"/>
      <c r="ED608" s="0"/>
      <c r="EE608" s="0"/>
      <c r="EF608" s="0"/>
      <c r="EG608" s="0"/>
      <c r="EH608" s="0"/>
      <c r="EI608" s="0"/>
      <c r="EJ608" s="0"/>
      <c r="EK608" s="0"/>
      <c r="EL608" s="0"/>
      <c r="EM608" s="0"/>
      <c r="EN608" s="0"/>
      <c r="EO608" s="0"/>
      <c r="EP608" s="0"/>
      <c r="EQ608" s="0"/>
      <c r="ER608" s="0"/>
      <c r="ES608" s="0"/>
      <c r="ET608" s="0"/>
      <c r="EU608" s="0"/>
      <c r="EV608" s="0"/>
      <c r="EW608" s="0"/>
      <c r="EX608" s="0"/>
      <c r="EY608" s="0"/>
      <c r="EZ608" s="0"/>
      <c r="FA608" s="0"/>
      <c r="FB608" s="0"/>
      <c r="FC608" s="0"/>
      <c r="FD608" s="0"/>
      <c r="FE608" s="0"/>
      <c r="FF608" s="0"/>
      <c r="FG608" s="0"/>
      <c r="FH608" s="0"/>
      <c r="FI608" s="0"/>
      <c r="FJ608" s="0"/>
      <c r="FK608" s="0"/>
      <c r="FL608" s="0"/>
      <c r="FM608" s="0"/>
      <c r="FN608" s="0"/>
      <c r="FO608" s="0"/>
      <c r="FP608" s="0"/>
      <c r="FQ608" s="0"/>
      <c r="FR608" s="0"/>
      <c r="FS608" s="0"/>
      <c r="FT608" s="0"/>
      <c r="FU608" s="0"/>
      <c r="FV608" s="0"/>
      <c r="FW608" s="0"/>
      <c r="FX608" s="0"/>
      <c r="FY608" s="0"/>
      <c r="FZ608" s="0"/>
      <c r="GA608" s="0"/>
      <c r="GB608" s="0"/>
      <c r="GC608" s="0"/>
      <c r="GD608" s="0"/>
      <c r="GE608" s="0"/>
      <c r="GF608" s="0"/>
      <c r="GG608" s="0"/>
      <c r="GH608" s="0"/>
      <c r="GI608" s="0"/>
      <c r="GJ608" s="0"/>
      <c r="GK608" s="0"/>
      <c r="GL608" s="0"/>
      <c r="GM608" s="0"/>
      <c r="GN608" s="0"/>
      <c r="GO608" s="0"/>
      <c r="GP608" s="0"/>
      <c r="GQ608" s="0"/>
      <c r="GR608" s="0"/>
      <c r="GS608" s="0"/>
      <c r="GT608" s="0"/>
      <c r="GU608" s="0"/>
      <c r="GV608" s="0"/>
      <c r="GW608" s="0"/>
      <c r="GX608" s="0"/>
      <c r="GY608" s="0"/>
      <c r="GZ608" s="0"/>
      <c r="HA608" s="0"/>
      <c r="HB608" s="0"/>
      <c r="HC608" s="0"/>
      <c r="HD608" s="0"/>
      <c r="HE608" s="0"/>
      <c r="HF608" s="0"/>
      <c r="HG608" s="0"/>
      <c r="HH608" s="0"/>
      <c r="HI608" s="0"/>
      <c r="HJ608" s="0"/>
      <c r="HK608" s="0"/>
      <c r="HL608" s="0"/>
      <c r="HM608" s="0"/>
      <c r="HN608" s="0"/>
      <c r="HO608" s="0"/>
      <c r="HP608" s="0"/>
      <c r="HQ608" s="0"/>
      <c r="HR608" s="0"/>
      <c r="HS608" s="0"/>
      <c r="HT608" s="0"/>
      <c r="HU608" s="0"/>
      <c r="HV608" s="0"/>
      <c r="HW608" s="0"/>
      <c r="HX608" s="0"/>
      <c r="HY608" s="0"/>
      <c r="HZ608" s="0"/>
      <c r="IA608" s="0"/>
      <c r="IB608" s="0"/>
      <c r="IC608" s="0"/>
      <c r="ID608" s="0"/>
      <c r="IE608" s="0"/>
      <c r="IF608" s="0"/>
      <c r="IG608" s="0"/>
      <c r="IH608" s="0"/>
      <c r="II608" s="0"/>
      <c r="IJ608" s="0"/>
      <c r="IK608" s="0"/>
      <c r="IL608" s="0"/>
      <c r="IM608" s="0"/>
      <c r="IN608" s="0"/>
      <c r="IO608" s="0"/>
      <c r="IP608" s="0"/>
      <c r="IQ608" s="0"/>
      <c r="IR608" s="0"/>
      <c r="IS608" s="0"/>
      <c r="IT608" s="0"/>
      <c r="IU608" s="0"/>
      <c r="IV608" s="0"/>
    </row>
    <row r="609" customFormat="false" ht="15" hidden="false" customHeight="true" outlineLevel="0" collapsed="false">
      <c r="A609" s="1005"/>
      <c r="B609" s="1005"/>
      <c r="C609" s="1005"/>
      <c r="D609" s="1005"/>
      <c r="E609" s="1005"/>
      <c r="F609" s="1005"/>
      <c r="G609" s="1005"/>
      <c r="H609" s="14"/>
      <c r="I609" s="14"/>
      <c r="K609" s="903"/>
      <c r="L609" s="877"/>
      <c r="M609" s="0"/>
      <c r="N609" s="0"/>
      <c r="O609" s="0"/>
      <c r="P609" s="0"/>
      <c r="Q609" s="0"/>
      <c r="R609" s="0"/>
      <c r="S609" s="0"/>
      <c r="T609" s="0"/>
      <c r="U609" s="0"/>
      <c r="V609" s="0"/>
      <c r="W609" s="0"/>
      <c r="X609" s="0"/>
      <c r="Y609" s="0"/>
      <c r="Z609" s="0"/>
      <c r="AA609" s="0"/>
      <c r="AB609" s="0"/>
      <c r="AC609" s="0"/>
      <c r="AD609" s="0"/>
      <c r="AE609" s="0"/>
      <c r="AF609" s="0"/>
      <c r="AG609" s="0"/>
      <c r="AH609" s="0"/>
      <c r="AI609" s="0"/>
      <c r="AJ609" s="0"/>
      <c r="AK609" s="0"/>
      <c r="AL609" s="0"/>
      <c r="AM609" s="0"/>
      <c r="AN609" s="0"/>
      <c r="AO609" s="0"/>
      <c r="AP609" s="0"/>
      <c r="AQ609" s="0"/>
      <c r="AR609" s="0"/>
      <c r="AS609" s="0"/>
      <c r="AT609" s="0"/>
      <c r="AU609" s="0"/>
      <c r="BI609" s="0"/>
      <c r="BJ609" s="0"/>
      <c r="BK609" s="0"/>
      <c r="BL609" s="0"/>
      <c r="BM609" s="0"/>
      <c r="BN609" s="0"/>
      <c r="BO609" s="0"/>
      <c r="BP609" s="0"/>
      <c r="BQ609" s="0"/>
      <c r="BR609" s="0"/>
      <c r="BS609" s="0"/>
      <c r="BT609" s="0"/>
      <c r="BU609" s="0"/>
      <c r="BV609" s="0"/>
      <c r="BW609" s="0"/>
      <c r="BX609" s="0"/>
      <c r="BY609" s="0"/>
      <c r="BZ609" s="0"/>
      <c r="CA609" s="0"/>
      <c r="CB609" s="0"/>
      <c r="CC609" s="0"/>
      <c r="CD609" s="0"/>
      <c r="CE609" s="0"/>
      <c r="CF609" s="0"/>
      <c r="CG609" s="0"/>
      <c r="CH609" s="0"/>
      <c r="CI609" s="0"/>
      <c r="CJ609" s="0"/>
      <c r="CK609" s="0"/>
      <c r="CL609" s="0"/>
      <c r="CM609" s="0"/>
      <c r="CN609" s="0"/>
      <c r="CO609" s="0"/>
      <c r="CP609" s="0"/>
      <c r="CQ609" s="0"/>
      <c r="CR609" s="0"/>
      <c r="CS609" s="0"/>
      <c r="CT609" s="0"/>
      <c r="CU609" s="0"/>
      <c r="CV609" s="0"/>
      <c r="CW609" s="0"/>
      <c r="CX609" s="0"/>
      <c r="CY609" s="0"/>
      <c r="CZ609" s="0"/>
      <c r="DA609" s="0"/>
      <c r="DB609" s="0"/>
      <c r="DC609" s="0"/>
      <c r="DD609" s="0"/>
      <c r="DE609" s="0"/>
      <c r="DF609" s="0"/>
      <c r="DG609" s="0"/>
      <c r="DH609" s="0"/>
      <c r="DI609" s="0"/>
      <c r="DJ609" s="0"/>
      <c r="DK609" s="0"/>
      <c r="DL609" s="0"/>
      <c r="DM609" s="0"/>
      <c r="DN609" s="0"/>
      <c r="DO609" s="0"/>
      <c r="DP609" s="0"/>
      <c r="DQ609" s="0"/>
      <c r="DR609" s="0"/>
      <c r="DS609" s="0"/>
      <c r="DT609" s="0"/>
      <c r="DU609" s="0"/>
      <c r="DV609" s="0"/>
      <c r="DW609" s="0"/>
      <c r="DX609" s="0"/>
      <c r="DY609" s="0"/>
      <c r="DZ609" s="0"/>
      <c r="EA609" s="0"/>
      <c r="EB609" s="0"/>
      <c r="EC609" s="0"/>
      <c r="ED609" s="0"/>
      <c r="EE609" s="0"/>
      <c r="EF609" s="0"/>
      <c r="EG609" s="0"/>
      <c r="EH609" s="0"/>
      <c r="EI609" s="0"/>
      <c r="EJ609" s="0"/>
      <c r="EK609" s="0"/>
      <c r="EL609" s="0"/>
      <c r="EM609" s="0"/>
      <c r="EN609" s="0"/>
      <c r="EO609" s="0"/>
      <c r="EP609" s="0"/>
      <c r="EQ609" s="0"/>
      <c r="ER609" s="0"/>
      <c r="ES609" s="0"/>
      <c r="ET609" s="0"/>
      <c r="EU609" s="0"/>
      <c r="EV609" s="0"/>
      <c r="EW609" s="0"/>
      <c r="EX609" s="0"/>
      <c r="EY609" s="0"/>
      <c r="EZ609" s="0"/>
      <c r="FA609" s="0"/>
      <c r="FB609" s="0"/>
      <c r="FC609" s="0"/>
      <c r="FD609" s="0"/>
      <c r="FE609" s="0"/>
      <c r="FF609" s="0"/>
      <c r="FG609" s="0"/>
      <c r="FH609" s="0"/>
      <c r="FI609" s="0"/>
      <c r="FJ609" s="0"/>
      <c r="FK609" s="0"/>
      <c r="FL609" s="0"/>
      <c r="FM609" s="0"/>
      <c r="FN609" s="0"/>
      <c r="FO609" s="0"/>
      <c r="FP609" s="0"/>
      <c r="FQ609" s="0"/>
      <c r="FR609" s="0"/>
      <c r="FS609" s="0"/>
      <c r="FT609" s="0"/>
      <c r="FU609" s="0"/>
      <c r="FV609" s="0"/>
      <c r="FW609" s="0"/>
      <c r="FX609" s="0"/>
      <c r="FY609" s="0"/>
      <c r="FZ609" s="0"/>
      <c r="GA609" s="0"/>
      <c r="GB609" s="0"/>
      <c r="GC609" s="0"/>
      <c r="GD609" s="0"/>
      <c r="GE609" s="0"/>
      <c r="GF609" s="0"/>
      <c r="GG609" s="0"/>
      <c r="GH609" s="0"/>
      <c r="GI609" s="0"/>
      <c r="GJ609" s="0"/>
      <c r="GK609" s="0"/>
      <c r="GL609" s="0"/>
      <c r="GM609" s="0"/>
      <c r="GN609" s="0"/>
      <c r="GO609" s="0"/>
      <c r="GP609" s="0"/>
      <c r="GQ609" s="0"/>
      <c r="GR609" s="0"/>
      <c r="GS609" s="0"/>
      <c r="GT609" s="0"/>
      <c r="GU609" s="0"/>
      <c r="GV609" s="0"/>
      <c r="GW609" s="0"/>
      <c r="GX609" s="0"/>
      <c r="GY609" s="0"/>
      <c r="GZ609" s="0"/>
      <c r="HA609" s="0"/>
      <c r="HB609" s="0"/>
      <c r="HC609" s="0"/>
      <c r="HD609" s="0"/>
      <c r="HE609" s="0"/>
      <c r="HF609" s="0"/>
      <c r="HG609" s="0"/>
      <c r="HH609" s="0"/>
      <c r="HI609" s="0"/>
      <c r="HJ609" s="0"/>
      <c r="HK609" s="0"/>
      <c r="HL609" s="0"/>
      <c r="HM609" s="0"/>
      <c r="HN609" s="0"/>
      <c r="HO609" s="0"/>
      <c r="HP609" s="0"/>
      <c r="HQ609" s="0"/>
      <c r="HR609" s="0"/>
      <c r="HS609" s="0"/>
      <c r="HT609" s="0"/>
      <c r="HU609" s="0"/>
      <c r="HV609" s="0"/>
      <c r="HW609" s="0"/>
      <c r="HX609" s="0"/>
      <c r="HY609" s="0"/>
      <c r="HZ609" s="0"/>
      <c r="IA609" s="0"/>
      <c r="IB609" s="0"/>
      <c r="IC609" s="0"/>
      <c r="ID609" s="0"/>
      <c r="IE609" s="0"/>
      <c r="IF609" s="0"/>
      <c r="IG609" s="0"/>
      <c r="IH609" s="0"/>
      <c r="II609" s="0"/>
      <c r="IJ609" s="0"/>
      <c r="IK609" s="0"/>
      <c r="IL609" s="0"/>
      <c r="IM609" s="0"/>
      <c r="IN609" s="0"/>
      <c r="IO609" s="0"/>
      <c r="IP609" s="0"/>
      <c r="IQ609" s="0"/>
      <c r="IR609" s="0"/>
      <c r="IS609" s="0"/>
      <c r="IT609" s="0"/>
      <c r="IU609" s="0"/>
      <c r="IV609" s="0"/>
    </row>
    <row r="610" customFormat="false" ht="20.1" hidden="false" customHeight="true" outlineLevel="0" collapsed="false">
      <c r="A610" s="1036" t="s">
        <v>1405</v>
      </c>
      <c r="B610" s="1065" t="n">
        <f aca="false">'Bilan apparent'!G43</f>
        <v>2246.4</v>
      </c>
      <c r="C610" s="0"/>
      <c r="D610" s="1031" t="s">
        <v>1406</v>
      </c>
      <c r="E610" s="1031"/>
      <c r="F610" s="1066" t="n">
        <f aca="false">B610/B24</f>
        <v>29.174025974026</v>
      </c>
      <c r="G610" s="55"/>
      <c r="H610" s="0"/>
      <c r="I610" s="0"/>
      <c r="J610" s="931"/>
      <c r="K610" s="1067"/>
      <c r="L610" s="1067"/>
      <c r="M610" s="0"/>
      <c r="N610" s="0"/>
      <c r="O610" s="0"/>
      <c r="P610" s="0"/>
      <c r="Q610" s="0"/>
      <c r="R610" s="0"/>
      <c r="S610" s="0"/>
      <c r="T610" s="0"/>
      <c r="U610" s="0"/>
      <c r="V610" s="0"/>
      <c r="W610" s="0"/>
      <c r="X610" s="0"/>
      <c r="Y610" s="0"/>
      <c r="Z610" s="0"/>
      <c r="AA610" s="0"/>
      <c r="AB610" s="0"/>
      <c r="AC610" s="0"/>
      <c r="AD610" s="0"/>
      <c r="AE610" s="0"/>
      <c r="AF610" s="0"/>
      <c r="AG610" s="0"/>
      <c r="AH610" s="0"/>
      <c r="AI610" s="0"/>
      <c r="AJ610" s="0"/>
      <c r="AK610" s="0"/>
      <c r="AL610" s="0"/>
      <c r="AM610" s="0"/>
      <c r="AN610" s="0"/>
      <c r="AO610" s="0"/>
      <c r="AP610" s="0"/>
      <c r="AQ610" s="0"/>
      <c r="AR610" s="0"/>
      <c r="AS610" s="0"/>
      <c r="AT610" s="0"/>
      <c r="AU610" s="0"/>
      <c r="BI610" s="0"/>
      <c r="BJ610" s="0"/>
      <c r="BK610" s="0"/>
      <c r="BL610" s="0"/>
      <c r="BM610" s="0"/>
      <c r="BN610" s="0"/>
      <c r="BO610" s="0"/>
      <c r="BP610" s="0"/>
      <c r="BQ610" s="0"/>
      <c r="BR610" s="0"/>
      <c r="BS610" s="0"/>
      <c r="BT610" s="0"/>
      <c r="BU610" s="0"/>
      <c r="BV610" s="0"/>
      <c r="BW610" s="0"/>
      <c r="BX610" s="0"/>
      <c r="BY610" s="0"/>
      <c r="BZ610" s="0"/>
      <c r="CA610" s="0"/>
      <c r="CB610" s="0"/>
      <c r="CC610" s="0"/>
      <c r="CD610" s="0"/>
      <c r="CE610" s="0"/>
      <c r="CF610" s="0"/>
      <c r="CG610" s="0"/>
      <c r="CH610" s="0"/>
      <c r="CI610" s="0"/>
      <c r="CJ610" s="0"/>
      <c r="CK610" s="0"/>
      <c r="CL610" s="0"/>
      <c r="CM610" s="0"/>
      <c r="CN610" s="0"/>
      <c r="CO610" s="0"/>
      <c r="CP610" s="0"/>
      <c r="CQ610" s="0"/>
      <c r="CR610" s="0"/>
      <c r="CS610" s="0"/>
      <c r="CT610" s="0"/>
      <c r="CU610" s="0"/>
      <c r="CV610" s="0"/>
      <c r="CW610" s="0"/>
      <c r="CX610" s="0"/>
      <c r="CY610" s="0"/>
      <c r="CZ610" s="0"/>
      <c r="DA610" s="0"/>
      <c r="DB610" s="0"/>
      <c r="DC610" s="0"/>
      <c r="DD610" s="0"/>
      <c r="DE610" s="0"/>
      <c r="DF610" s="0"/>
      <c r="DG610" s="0"/>
      <c r="DH610" s="0"/>
      <c r="DI610" s="0"/>
      <c r="DJ610" s="0"/>
      <c r="DK610" s="0"/>
      <c r="DL610" s="0"/>
      <c r="DM610" s="0"/>
      <c r="DN610" s="0"/>
      <c r="DO610" s="0"/>
      <c r="DP610" s="0"/>
      <c r="DQ610" s="0"/>
      <c r="DR610" s="0"/>
      <c r="DS610" s="0"/>
      <c r="DT610" s="0"/>
      <c r="DU610" s="0"/>
      <c r="DV610" s="0"/>
      <c r="DW610" s="0"/>
      <c r="DX610" s="0"/>
      <c r="DY610" s="0"/>
      <c r="DZ610" s="0"/>
      <c r="EA610" s="0"/>
      <c r="EB610" s="0"/>
      <c r="EC610" s="0"/>
      <c r="ED610" s="0"/>
      <c r="EE610" s="0"/>
      <c r="EF610" s="0"/>
      <c r="EG610" s="0"/>
      <c r="EH610" s="0"/>
      <c r="EI610" s="0"/>
      <c r="EJ610" s="0"/>
      <c r="EK610" s="0"/>
      <c r="EL610" s="0"/>
      <c r="EM610" s="0"/>
      <c r="EN610" s="0"/>
      <c r="EO610" s="0"/>
      <c r="EP610" s="0"/>
      <c r="EQ610" s="0"/>
      <c r="ER610" s="0"/>
      <c r="ES610" s="0"/>
      <c r="ET610" s="0"/>
      <c r="EU610" s="0"/>
      <c r="EV610" s="0"/>
      <c r="EW610" s="0"/>
      <c r="EX610" s="0"/>
      <c r="EY610" s="0"/>
      <c r="EZ610" s="0"/>
      <c r="FA610" s="0"/>
      <c r="FB610" s="0"/>
      <c r="FC610" s="0"/>
      <c r="FD610" s="0"/>
      <c r="FE610" s="0"/>
      <c r="FF610" s="0"/>
      <c r="FG610" s="0"/>
      <c r="FH610" s="0"/>
      <c r="FI610" s="0"/>
      <c r="FJ610" s="0"/>
      <c r="FK610" s="0"/>
      <c r="FL610" s="0"/>
      <c r="FM610" s="0"/>
      <c r="FN610" s="0"/>
      <c r="FO610" s="0"/>
      <c r="FP610" s="0"/>
      <c r="FQ610" s="0"/>
      <c r="FR610" s="0"/>
      <c r="FS610" s="0"/>
      <c r="FT610" s="0"/>
      <c r="FU610" s="0"/>
      <c r="FV610" s="0"/>
      <c r="FW610" s="0"/>
      <c r="FX610" s="0"/>
      <c r="FY610" s="0"/>
      <c r="FZ610" s="0"/>
      <c r="GA610" s="0"/>
      <c r="GB610" s="0"/>
      <c r="GC610" s="0"/>
      <c r="GD610" s="0"/>
      <c r="GE610" s="0"/>
      <c r="GF610" s="0"/>
      <c r="GG610" s="0"/>
      <c r="GH610" s="0"/>
      <c r="GI610" s="0"/>
      <c r="GJ610" s="0"/>
      <c r="GK610" s="0"/>
      <c r="GL610" s="0"/>
      <c r="GM610" s="0"/>
      <c r="GN610" s="0"/>
      <c r="GO610" s="0"/>
      <c r="GP610" s="0"/>
      <c r="GQ610" s="0"/>
      <c r="GR610" s="0"/>
      <c r="GS610" s="0"/>
      <c r="GT610" s="0"/>
      <c r="GU610" s="0"/>
      <c r="GV610" s="0"/>
      <c r="GW610" s="0"/>
      <c r="GX610" s="0"/>
      <c r="GY610" s="0"/>
      <c r="GZ610" s="0"/>
      <c r="HA610" s="0"/>
      <c r="HB610" s="0"/>
      <c r="HC610" s="0"/>
      <c r="HD610" s="0"/>
      <c r="HE610" s="0"/>
      <c r="HF610" s="0"/>
      <c r="HG610" s="0"/>
      <c r="HH610" s="0"/>
      <c r="HI610" s="0"/>
      <c r="HJ610" s="0"/>
      <c r="HK610" s="0"/>
      <c r="HL610" s="0"/>
      <c r="HM610" s="0"/>
      <c r="HN610" s="0"/>
      <c r="HO610" s="0"/>
      <c r="HP610" s="0"/>
      <c r="HQ610" s="0"/>
      <c r="HR610" s="0"/>
      <c r="HS610" s="0"/>
      <c r="HT610" s="0"/>
      <c r="HU610" s="0"/>
      <c r="HV610" s="0"/>
      <c r="HW610" s="0"/>
      <c r="HX610" s="0"/>
      <c r="HY610" s="0"/>
      <c r="HZ610" s="0"/>
      <c r="IA610" s="0"/>
      <c r="IB610" s="0"/>
      <c r="IC610" s="0"/>
      <c r="ID610" s="0"/>
      <c r="IE610" s="0"/>
      <c r="IF610" s="0"/>
      <c r="IG610" s="0"/>
      <c r="IH610" s="0"/>
      <c r="II610" s="0"/>
      <c r="IJ610" s="0"/>
      <c r="IK610" s="0"/>
      <c r="IL610" s="0"/>
      <c r="IM610" s="0"/>
      <c r="IN610" s="0"/>
      <c r="IO610" s="0"/>
      <c r="IP610" s="0"/>
      <c r="IQ610" s="0"/>
      <c r="IR610" s="0"/>
      <c r="IS610" s="0"/>
      <c r="IT610" s="0"/>
      <c r="IU610" s="0"/>
      <c r="IV610" s="0"/>
    </row>
    <row r="611" customFormat="false" ht="16.5" hidden="false" customHeight="true" outlineLevel="0" collapsed="false">
      <c r="A611" s="0"/>
      <c r="B611" s="0"/>
      <c r="C611" s="0"/>
      <c r="D611" s="0"/>
      <c r="E611" s="0"/>
      <c r="F611" s="0"/>
      <c r="G611" s="0"/>
      <c r="H611" s="0"/>
      <c r="I611" s="0"/>
      <c r="J611" s="0"/>
      <c r="K611" s="0"/>
      <c r="L611" s="0"/>
      <c r="M611" s="0"/>
      <c r="N611" s="0"/>
      <c r="O611" s="0"/>
      <c r="P611" s="0"/>
      <c r="Q611" s="0"/>
      <c r="R611" s="0"/>
      <c r="S611" s="0"/>
      <c r="T611" s="0"/>
      <c r="U611" s="0"/>
      <c r="V611" s="0"/>
      <c r="W611" s="0"/>
      <c r="X611" s="0"/>
      <c r="Y611" s="0"/>
      <c r="Z611" s="0"/>
      <c r="AA611" s="0"/>
      <c r="AB611" s="0"/>
      <c r="AC611" s="0"/>
      <c r="AD611" s="0"/>
      <c r="AE611" s="0"/>
      <c r="AF611" s="0"/>
      <c r="AG611" s="0"/>
      <c r="AH611" s="0"/>
      <c r="AI611" s="0"/>
      <c r="AJ611" s="0"/>
      <c r="AK611" s="0"/>
      <c r="AL611" s="0"/>
      <c r="AM611" s="0"/>
      <c r="AN611" s="0"/>
      <c r="AO611" s="0"/>
      <c r="AP611" s="0"/>
      <c r="AQ611" s="0"/>
      <c r="AR611" s="0"/>
      <c r="AS611" s="0"/>
      <c r="AT611" s="0"/>
      <c r="AU611" s="0"/>
      <c r="BI611" s="0"/>
      <c r="BJ611" s="0"/>
      <c r="BK611" s="0"/>
      <c r="BL611" s="0"/>
      <c r="BM611" s="0"/>
      <c r="BN611" s="0"/>
      <c r="BO611" s="0"/>
      <c r="BP611" s="0"/>
      <c r="BQ611" s="0"/>
      <c r="BR611" s="0"/>
      <c r="BS611" s="0"/>
      <c r="BT611" s="0"/>
      <c r="BU611" s="0"/>
      <c r="BV611" s="0"/>
      <c r="BW611" s="0"/>
      <c r="BX611" s="0"/>
      <c r="BY611" s="0"/>
      <c r="BZ611" s="0"/>
      <c r="CA611" s="0"/>
      <c r="CB611" s="0"/>
      <c r="CC611" s="0"/>
      <c r="CD611" s="0"/>
      <c r="CE611" s="0"/>
      <c r="CF611" s="0"/>
      <c r="CG611" s="0"/>
      <c r="CH611" s="0"/>
      <c r="CI611" s="0"/>
      <c r="CJ611" s="0"/>
      <c r="CK611" s="0"/>
      <c r="CL611" s="0"/>
      <c r="CM611" s="0"/>
      <c r="CN611" s="0"/>
      <c r="CO611" s="0"/>
      <c r="CP611" s="0"/>
      <c r="CQ611" s="0"/>
      <c r="CR611" s="0"/>
      <c r="CS611" s="0"/>
      <c r="CT611" s="0"/>
      <c r="CU611" s="0"/>
      <c r="CV611" s="0"/>
      <c r="CW611" s="0"/>
      <c r="CX611" s="0"/>
      <c r="CY611" s="0"/>
      <c r="CZ611" s="0"/>
      <c r="DA611" s="0"/>
      <c r="DB611" s="0"/>
      <c r="DC611" s="0"/>
      <c r="DD611" s="0"/>
      <c r="DE611" s="0"/>
      <c r="DF611" s="0"/>
      <c r="DG611" s="0"/>
      <c r="DH611" s="0"/>
      <c r="DI611" s="0"/>
      <c r="DJ611" s="0"/>
      <c r="DK611" s="0"/>
      <c r="DL611" s="0"/>
      <c r="DM611" s="0"/>
      <c r="DN611" s="0"/>
      <c r="DO611" s="0"/>
      <c r="DP611" s="0"/>
      <c r="DQ611" s="0"/>
      <c r="DR611" s="0"/>
      <c r="DS611" s="0"/>
      <c r="DT611" s="0"/>
      <c r="DU611" s="0"/>
      <c r="DV611" s="0"/>
      <c r="DW611" s="0"/>
      <c r="DX611" s="0"/>
      <c r="DY611" s="0"/>
      <c r="DZ611" s="0"/>
      <c r="EA611" s="0"/>
      <c r="EB611" s="0"/>
      <c r="EC611" s="0"/>
      <c r="ED611" s="0"/>
      <c r="EE611" s="0"/>
      <c r="EF611" s="0"/>
      <c r="EG611" s="0"/>
      <c r="EH611" s="0"/>
      <c r="EI611" s="0"/>
      <c r="EJ611" s="0"/>
      <c r="EK611" s="0"/>
      <c r="EL611" s="0"/>
      <c r="EM611" s="0"/>
      <c r="EN611" s="0"/>
      <c r="EO611" s="0"/>
      <c r="EP611" s="0"/>
      <c r="EQ611" s="0"/>
      <c r="ER611" s="0"/>
      <c r="ES611" s="0"/>
      <c r="ET611" s="0"/>
      <c r="EU611" s="0"/>
      <c r="EV611" s="0"/>
      <c r="EW611" s="0"/>
      <c r="EX611" s="0"/>
      <c r="EY611" s="0"/>
      <c r="EZ611" s="0"/>
      <c r="FA611" s="0"/>
      <c r="FB611" s="0"/>
      <c r="FC611" s="0"/>
      <c r="FD611" s="0"/>
      <c r="FE611" s="0"/>
      <c r="FF611" s="0"/>
      <c r="FG611" s="0"/>
      <c r="FH611" s="0"/>
      <c r="FI611" s="0"/>
      <c r="FJ611" s="0"/>
      <c r="FK611" s="0"/>
      <c r="FL611" s="0"/>
      <c r="FM611" s="0"/>
      <c r="FN611" s="0"/>
      <c r="FO611" s="0"/>
      <c r="FP611" s="0"/>
      <c r="FQ611" s="0"/>
      <c r="FR611" s="0"/>
      <c r="FS611" s="0"/>
      <c r="FT611" s="0"/>
      <c r="FU611" s="0"/>
      <c r="FV611" s="0"/>
      <c r="FW611" s="0"/>
      <c r="FX611" s="0"/>
      <c r="FY611" s="0"/>
      <c r="FZ611" s="0"/>
      <c r="GA611" s="0"/>
      <c r="GB611" s="0"/>
      <c r="GC611" s="0"/>
      <c r="GD611" s="0"/>
      <c r="GE611" s="0"/>
      <c r="GF611" s="0"/>
      <c r="GG611" s="0"/>
      <c r="GH611" s="0"/>
      <c r="GI611" s="0"/>
      <c r="GJ611" s="0"/>
      <c r="GK611" s="0"/>
      <c r="GL611" s="0"/>
      <c r="GM611" s="0"/>
      <c r="GN611" s="0"/>
      <c r="GO611" s="0"/>
      <c r="GP611" s="0"/>
      <c r="GQ611" s="0"/>
      <c r="GR611" s="0"/>
      <c r="GS611" s="0"/>
      <c r="GT611" s="0"/>
      <c r="GU611" s="0"/>
      <c r="GV611" s="0"/>
      <c r="GW611" s="0"/>
      <c r="GX611" s="0"/>
      <c r="GY611" s="0"/>
      <c r="GZ611" s="0"/>
      <c r="HA611" s="0"/>
      <c r="HB611" s="0"/>
      <c r="HC611" s="0"/>
      <c r="HD611" s="0"/>
      <c r="HE611" s="0"/>
      <c r="HF611" s="0"/>
      <c r="HG611" s="0"/>
      <c r="HH611" s="0"/>
      <c r="HI611" s="0"/>
      <c r="HJ611" s="0"/>
      <c r="HK611" s="0"/>
      <c r="HL611" s="0"/>
      <c r="HM611" s="0"/>
      <c r="HN611" s="0"/>
      <c r="HO611" s="0"/>
      <c r="HP611" s="0"/>
      <c r="HQ611" s="0"/>
      <c r="HR611" s="0"/>
      <c r="HS611" s="0"/>
      <c r="HT611" s="0"/>
      <c r="HU611" s="0"/>
      <c r="HV611" s="0"/>
      <c r="HW611" s="0"/>
      <c r="HX611" s="0"/>
      <c r="HY611" s="0"/>
      <c r="HZ611" s="0"/>
      <c r="IA611" s="0"/>
      <c r="IB611" s="0"/>
      <c r="IC611" s="0"/>
      <c r="ID611" s="0"/>
      <c r="IE611" s="0"/>
      <c r="IF611" s="0"/>
      <c r="IG611" s="0"/>
      <c r="IH611" s="0"/>
      <c r="II611" s="0"/>
      <c r="IJ611" s="0"/>
      <c r="IK611" s="0"/>
      <c r="IL611" s="0"/>
      <c r="IM611" s="0"/>
      <c r="IN611" s="0"/>
      <c r="IO611" s="0"/>
      <c r="IP611" s="0"/>
      <c r="IQ611" s="0"/>
      <c r="IR611" s="0"/>
      <c r="IS611" s="0"/>
      <c r="IT611" s="0"/>
      <c r="IU611" s="0"/>
      <c r="IV611" s="0"/>
    </row>
    <row r="612" customFormat="false" ht="20.1" hidden="false" customHeight="true" outlineLevel="0" collapsed="false">
      <c r="A612" s="0"/>
      <c r="B612" s="0"/>
      <c r="C612" s="0"/>
      <c r="D612" s="0"/>
      <c r="E612" s="0"/>
      <c r="F612" s="0"/>
      <c r="G612" s="0"/>
      <c r="H612" s="0"/>
      <c r="I612" s="0"/>
      <c r="J612" s="0"/>
      <c r="K612" s="0"/>
      <c r="L612" s="0"/>
      <c r="M612" s="0"/>
      <c r="N612" s="0"/>
      <c r="O612" s="0"/>
      <c r="P612" s="0"/>
      <c r="Q612" s="0"/>
      <c r="R612" s="0"/>
      <c r="S612" s="0"/>
      <c r="T612" s="0"/>
      <c r="U612" s="0"/>
      <c r="V612" s="0"/>
      <c r="W612" s="0"/>
      <c r="X612" s="0"/>
      <c r="Y612" s="0"/>
      <c r="Z612" s="0"/>
      <c r="AA612" s="0"/>
      <c r="AB612" s="0"/>
      <c r="AC612" s="0"/>
      <c r="AD612" s="0"/>
      <c r="AE612" s="0"/>
      <c r="AF612" s="0"/>
      <c r="AG612" s="0"/>
      <c r="AH612" s="0"/>
      <c r="AI612" s="0"/>
      <c r="AJ612" s="0"/>
      <c r="AK612" s="0"/>
      <c r="AL612" s="0"/>
      <c r="AM612" s="0"/>
      <c r="AN612" s="0"/>
      <c r="AO612" s="0"/>
      <c r="AP612" s="0"/>
      <c r="AQ612" s="0"/>
      <c r="AR612" s="0"/>
      <c r="AS612" s="0"/>
      <c r="AT612" s="0"/>
      <c r="AU612" s="0"/>
      <c r="BI612" s="0"/>
      <c r="BJ612" s="0"/>
      <c r="BK612" s="0"/>
      <c r="BL612" s="0"/>
      <c r="BM612" s="0"/>
      <c r="BN612" s="0"/>
      <c r="BO612" s="0"/>
      <c r="BP612" s="0"/>
      <c r="BQ612" s="0"/>
      <c r="BR612" s="0"/>
      <c r="BS612" s="0"/>
      <c r="BT612" s="0"/>
      <c r="BU612" s="0"/>
      <c r="BV612" s="0"/>
      <c r="BW612" s="0"/>
      <c r="BX612" s="0"/>
      <c r="BY612" s="0"/>
      <c r="BZ612" s="0"/>
      <c r="CA612" s="0"/>
      <c r="CB612" s="0"/>
      <c r="CC612" s="0"/>
      <c r="CD612" s="0"/>
      <c r="CE612" s="0"/>
      <c r="CF612" s="0"/>
      <c r="CG612" s="0"/>
      <c r="CH612" s="0"/>
      <c r="CI612" s="0"/>
      <c r="CJ612" s="0"/>
      <c r="CK612" s="0"/>
      <c r="CL612" s="0"/>
      <c r="CM612" s="0"/>
      <c r="CN612" s="0"/>
      <c r="CO612" s="0"/>
      <c r="CP612" s="0"/>
      <c r="CQ612" s="0"/>
      <c r="CR612" s="0"/>
      <c r="CS612" s="0"/>
      <c r="CT612" s="0"/>
      <c r="CU612" s="0"/>
      <c r="CV612" s="0"/>
      <c r="CW612" s="0"/>
      <c r="CX612" s="0"/>
      <c r="CY612" s="0"/>
      <c r="CZ612" s="0"/>
      <c r="DA612" s="0"/>
      <c r="DB612" s="0"/>
      <c r="DC612" s="0"/>
      <c r="DD612" s="0"/>
      <c r="DE612" s="0"/>
      <c r="DF612" s="0"/>
      <c r="DG612" s="0"/>
      <c r="DH612" s="0"/>
      <c r="DI612" s="0"/>
      <c r="DJ612" s="0"/>
      <c r="DK612" s="0"/>
      <c r="DL612" s="0"/>
      <c r="DM612" s="0"/>
      <c r="DN612" s="0"/>
      <c r="DO612" s="0"/>
      <c r="DP612" s="0"/>
      <c r="DQ612" s="0"/>
      <c r="DR612" s="0"/>
      <c r="DS612" s="0"/>
      <c r="DT612" s="0"/>
      <c r="DU612" s="0"/>
      <c r="DV612" s="0"/>
      <c r="DW612" s="0"/>
      <c r="DX612" s="0"/>
      <c r="DY612" s="0"/>
      <c r="DZ612" s="0"/>
      <c r="EA612" s="0"/>
      <c r="EB612" s="0"/>
      <c r="EC612" s="0"/>
      <c r="ED612" s="0"/>
      <c r="EE612" s="0"/>
      <c r="EF612" s="0"/>
      <c r="EG612" s="0"/>
      <c r="EH612" s="0"/>
      <c r="EI612" s="0"/>
      <c r="EJ612" s="0"/>
      <c r="EK612" s="0"/>
      <c r="EL612" s="0"/>
      <c r="EM612" s="0"/>
      <c r="EN612" s="0"/>
      <c r="EO612" s="0"/>
      <c r="EP612" s="0"/>
      <c r="EQ612" s="0"/>
      <c r="ER612" s="0"/>
      <c r="ES612" s="0"/>
      <c r="ET612" s="0"/>
      <c r="EU612" s="0"/>
      <c r="EV612" s="0"/>
      <c r="EW612" s="0"/>
      <c r="EX612" s="0"/>
      <c r="EY612" s="0"/>
      <c r="EZ612" s="0"/>
      <c r="FA612" s="0"/>
      <c r="FB612" s="0"/>
      <c r="FC612" s="0"/>
      <c r="FD612" s="0"/>
      <c r="FE612" s="0"/>
      <c r="FF612" s="0"/>
      <c r="FG612" s="0"/>
      <c r="FH612" s="0"/>
      <c r="FI612" s="0"/>
      <c r="FJ612" s="0"/>
      <c r="FK612" s="0"/>
      <c r="FL612" s="0"/>
      <c r="FM612" s="0"/>
      <c r="FN612" s="0"/>
      <c r="FO612" s="0"/>
      <c r="FP612" s="0"/>
      <c r="FQ612" s="0"/>
      <c r="FR612" s="0"/>
      <c r="FS612" s="0"/>
      <c r="FT612" s="0"/>
      <c r="FU612" s="0"/>
      <c r="FV612" s="0"/>
      <c r="FW612" s="0"/>
      <c r="FX612" s="0"/>
      <c r="FY612" s="0"/>
      <c r="FZ612" s="0"/>
      <c r="GA612" s="0"/>
      <c r="GB612" s="0"/>
      <c r="GC612" s="0"/>
      <c r="GD612" s="0"/>
      <c r="GE612" s="0"/>
      <c r="GF612" s="0"/>
      <c r="GG612" s="0"/>
      <c r="GH612" s="0"/>
      <c r="GI612" s="0"/>
      <c r="GJ612" s="0"/>
      <c r="GK612" s="0"/>
      <c r="GL612" s="0"/>
      <c r="GM612" s="0"/>
      <c r="GN612" s="0"/>
      <c r="GO612" s="0"/>
      <c r="GP612" s="0"/>
      <c r="GQ612" s="0"/>
      <c r="GR612" s="0"/>
      <c r="GS612" s="0"/>
      <c r="GT612" s="0"/>
      <c r="GU612" s="0"/>
      <c r="GV612" s="0"/>
      <c r="GW612" s="0"/>
      <c r="GX612" s="0"/>
      <c r="GY612" s="0"/>
      <c r="GZ612" s="0"/>
      <c r="HA612" s="0"/>
      <c r="HB612" s="0"/>
      <c r="HC612" s="0"/>
      <c r="HD612" s="0"/>
      <c r="HE612" s="0"/>
      <c r="HF612" s="0"/>
      <c r="HG612" s="0"/>
      <c r="HH612" s="0"/>
      <c r="HI612" s="0"/>
      <c r="HJ612" s="0"/>
      <c r="HK612" s="0"/>
      <c r="HL612" s="0"/>
      <c r="HM612" s="0"/>
      <c r="HN612" s="0"/>
      <c r="HO612" s="0"/>
      <c r="HP612" s="0"/>
      <c r="HQ612" s="0"/>
      <c r="HR612" s="0"/>
      <c r="HS612" s="0"/>
      <c r="HT612" s="0"/>
      <c r="HU612" s="0"/>
      <c r="HV612" s="0"/>
      <c r="HW612" s="0"/>
      <c r="HX612" s="0"/>
      <c r="HY612" s="0"/>
      <c r="HZ612" s="0"/>
      <c r="IA612" s="0"/>
      <c r="IB612" s="0"/>
      <c r="IC612" s="0"/>
      <c r="ID612" s="0"/>
      <c r="IE612" s="0"/>
      <c r="IF612" s="0"/>
      <c r="IG612" s="0"/>
      <c r="IH612" s="0"/>
      <c r="II612" s="0"/>
      <c r="IJ612" s="0"/>
      <c r="IK612" s="0"/>
      <c r="IL612" s="0"/>
      <c r="IM612" s="0"/>
      <c r="IN612" s="0"/>
      <c r="IO612" s="0"/>
      <c r="IP612" s="0"/>
      <c r="IQ612" s="0"/>
      <c r="IR612" s="0"/>
      <c r="IS612" s="0"/>
      <c r="IT612" s="0"/>
      <c r="IU612" s="0"/>
      <c r="IV612" s="0"/>
    </row>
    <row r="613" customFormat="false" ht="20.1" hidden="false" customHeight="true" outlineLevel="0" collapsed="false">
      <c r="A613" s="869" t="s">
        <v>1407</v>
      </c>
      <c r="B613" s="869"/>
      <c r="C613" s="869"/>
      <c r="D613" s="869"/>
      <c r="E613" s="869"/>
      <c r="F613" s="869"/>
      <c r="G613" s="869"/>
      <c r="H613" s="53"/>
      <c r="I613" s="53"/>
      <c r="J613" s="53"/>
      <c r="K613" s="870"/>
      <c r="L613" s="871" t="s">
        <v>1382</v>
      </c>
      <c r="M613" s="0"/>
      <c r="N613" s="0"/>
      <c r="O613" s="0"/>
      <c r="P613" s="0"/>
      <c r="Q613" s="0"/>
      <c r="R613" s="0"/>
      <c r="S613" s="0"/>
      <c r="T613" s="0"/>
      <c r="U613" s="0"/>
      <c r="V613" s="0"/>
      <c r="W613" s="0"/>
      <c r="X613" s="0"/>
      <c r="Y613" s="0"/>
      <c r="Z613" s="0"/>
      <c r="AA613" s="0"/>
      <c r="AB613" s="0"/>
      <c r="AC613" s="0"/>
      <c r="AD613" s="0"/>
      <c r="AE613" s="0"/>
      <c r="AF613" s="0"/>
      <c r="AG613" s="0"/>
      <c r="AH613" s="0"/>
      <c r="AI613" s="0"/>
      <c r="AJ613" s="0"/>
      <c r="AK613" s="0"/>
      <c r="AL613" s="0"/>
      <c r="AM613" s="0"/>
      <c r="AN613" s="0"/>
      <c r="AO613" s="0"/>
      <c r="AP613" s="0"/>
      <c r="AQ613" s="0"/>
      <c r="AR613" s="0"/>
      <c r="AS613" s="0"/>
      <c r="AT613" s="0"/>
      <c r="AU613" s="0"/>
      <c r="BI613" s="0"/>
      <c r="BJ613" s="0"/>
      <c r="BK613" s="0"/>
      <c r="BL613" s="0"/>
      <c r="BM613" s="0"/>
      <c r="BN613" s="0"/>
      <c r="BO613" s="0"/>
      <c r="BP613" s="0"/>
      <c r="BQ613" s="0"/>
      <c r="BR613" s="0"/>
      <c r="BS613" s="0"/>
      <c r="BT613" s="0"/>
      <c r="BU613" s="0"/>
      <c r="BV613" s="0"/>
      <c r="BW613" s="0"/>
      <c r="BX613" s="0"/>
      <c r="BY613" s="0"/>
      <c r="BZ613" s="0"/>
      <c r="CA613" s="0"/>
      <c r="CB613" s="0"/>
      <c r="CC613" s="0"/>
      <c r="CD613" s="0"/>
      <c r="CE613" s="0"/>
      <c r="CF613" s="0"/>
      <c r="CG613" s="0"/>
      <c r="CH613" s="0"/>
      <c r="CI613" s="0"/>
      <c r="CJ613" s="0"/>
      <c r="CK613" s="0"/>
      <c r="CL613" s="0"/>
      <c r="CM613" s="0"/>
      <c r="CN613" s="0"/>
      <c r="CO613" s="0"/>
      <c r="CP613" s="0"/>
      <c r="CQ613" s="0"/>
      <c r="CR613" s="0"/>
      <c r="CS613" s="0"/>
      <c r="CT613" s="0"/>
      <c r="CU613" s="0"/>
      <c r="CV613" s="0"/>
      <c r="CW613" s="0"/>
      <c r="CX613" s="0"/>
      <c r="CY613" s="0"/>
      <c r="CZ613" s="0"/>
      <c r="DA613" s="0"/>
      <c r="DB613" s="0"/>
      <c r="DC613" s="0"/>
      <c r="DD613" s="0"/>
      <c r="DE613" s="0"/>
      <c r="DF613" s="0"/>
      <c r="DG613" s="0"/>
      <c r="DH613" s="0"/>
      <c r="DI613" s="0"/>
      <c r="DJ613" s="0"/>
      <c r="DK613" s="0"/>
      <c r="DL613" s="0"/>
      <c r="DM613" s="0"/>
      <c r="DN613" s="0"/>
      <c r="DO613" s="0"/>
      <c r="DP613" s="0"/>
      <c r="DQ613" s="0"/>
      <c r="DR613" s="0"/>
      <c r="DS613" s="0"/>
      <c r="DT613" s="0"/>
      <c r="DU613" s="0"/>
      <c r="DV613" s="0"/>
      <c r="DW613" s="0"/>
      <c r="DX613" s="0"/>
      <c r="DY613" s="0"/>
      <c r="DZ613" s="0"/>
      <c r="EA613" s="0"/>
      <c r="EB613" s="0"/>
      <c r="EC613" s="0"/>
      <c r="ED613" s="0"/>
      <c r="EE613" s="0"/>
      <c r="EF613" s="0"/>
      <c r="EG613" s="0"/>
      <c r="EH613" s="0"/>
      <c r="EI613" s="0"/>
      <c r="EJ613" s="0"/>
      <c r="EK613" s="0"/>
      <c r="EL613" s="0"/>
      <c r="EM613" s="0"/>
      <c r="EN613" s="0"/>
      <c r="EO613" s="0"/>
      <c r="EP613" s="0"/>
      <c r="EQ613" s="0"/>
      <c r="ER613" s="0"/>
      <c r="ES613" s="0"/>
      <c r="ET613" s="0"/>
      <c r="EU613" s="0"/>
      <c r="EV613" s="0"/>
      <c r="EW613" s="0"/>
      <c r="EX613" s="0"/>
      <c r="EY613" s="0"/>
      <c r="EZ613" s="0"/>
      <c r="FA613" s="0"/>
      <c r="FB613" s="0"/>
      <c r="FC613" s="0"/>
      <c r="FD613" s="0"/>
      <c r="FE613" s="0"/>
      <c r="FF613" s="0"/>
      <c r="FG613" s="0"/>
      <c r="FH613" s="0"/>
      <c r="FI613" s="0"/>
      <c r="FJ613" s="0"/>
      <c r="FK613" s="0"/>
      <c r="FL613" s="0"/>
      <c r="FM613" s="0"/>
      <c r="FN613" s="0"/>
      <c r="FO613" s="0"/>
      <c r="FP613" s="0"/>
      <c r="FQ613" s="0"/>
      <c r="FR613" s="0"/>
      <c r="FS613" s="0"/>
      <c r="FT613" s="0"/>
      <c r="FU613" s="0"/>
      <c r="FV613" s="0"/>
      <c r="FW613" s="0"/>
      <c r="FX613" s="0"/>
      <c r="FY613" s="0"/>
      <c r="FZ613" s="0"/>
      <c r="GA613" s="0"/>
      <c r="GB613" s="0"/>
      <c r="GC613" s="0"/>
      <c r="GD613" s="0"/>
      <c r="GE613" s="0"/>
      <c r="GF613" s="0"/>
      <c r="GG613" s="0"/>
      <c r="GH613" s="0"/>
      <c r="GI613" s="0"/>
      <c r="GJ613" s="0"/>
      <c r="GK613" s="0"/>
      <c r="GL613" s="0"/>
      <c r="GM613" s="0"/>
      <c r="GN613" s="0"/>
      <c r="GO613" s="0"/>
      <c r="GP613" s="0"/>
      <c r="GQ613" s="0"/>
      <c r="GR613" s="0"/>
      <c r="GS613" s="0"/>
      <c r="GT613" s="0"/>
      <c r="GU613" s="0"/>
      <c r="GV613" s="0"/>
      <c r="GW613" s="0"/>
      <c r="GX613" s="0"/>
      <c r="GY613" s="0"/>
      <c r="GZ613" s="0"/>
      <c r="HA613" s="0"/>
      <c r="HB613" s="0"/>
      <c r="HC613" s="0"/>
      <c r="HD613" s="0"/>
      <c r="HE613" s="0"/>
      <c r="HF613" s="0"/>
      <c r="HG613" s="0"/>
      <c r="HH613" s="0"/>
      <c r="HI613" s="0"/>
      <c r="HJ613" s="0"/>
      <c r="HK613" s="0"/>
      <c r="HL613" s="0"/>
      <c r="HM613" s="0"/>
      <c r="HN613" s="0"/>
      <c r="HO613" s="0"/>
      <c r="HP613" s="0"/>
      <c r="HQ613" s="0"/>
      <c r="HR613" s="0"/>
      <c r="HS613" s="0"/>
      <c r="HT613" s="0"/>
      <c r="HU613" s="0"/>
      <c r="HV613" s="0"/>
      <c r="HW613" s="0"/>
      <c r="HX613" s="0"/>
      <c r="HY613" s="0"/>
      <c r="HZ613" s="0"/>
      <c r="IA613" s="0"/>
      <c r="IB613" s="0"/>
      <c r="IC613" s="0"/>
      <c r="ID613" s="0"/>
      <c r="IE613" s="0"/>
      <c r="IF613" s="0"/>
      <c r="IG613" s="0"/>
      <c r="IH613" s="0"/>
      <c r="II613" s="0"/>
      <c r="IJ613" s="0"/>
      <c r="IK613" s="0"/>
      <c r="IL613" s="0"/>
      <c r="IM613" s="0"/>
      <c r="IN613" s="0"/>
      <c r="IO613" s="0"/>
      <c r="IP613" s="0"/>
      <c r="IQ613" s="0"/>
      <c r="IR613" s="0"/>
      <c r="IS613" s="0"/>
      <c r="IT613" s="0"/>
      <c r="IU613" s="0"/>
      <c r="IV613" s="0"/>
    </row>
    <row r="614" customFormat="false" ht="20.1" hidden="false" customHeight="true" outlineLevel="0" collapsed="false">
      <c r="A614" s="1005"/>
      <c r="B614" s="1005"/>
      <c r="C614" s="1005"/>
      <c r="D614" s="1005"/>
      <c r="E614" s="1005"/>
      <c r="F614" s="1005"/>
      <c r="G614" s="1005"/>
      <c r="H614" s="0"/>
      <c r="I614" s="0"/>
      <c r="J614" s="0"/>
      <c r="K614" s="903"/>
      <c r="L614" s="877"/>
      <c r="M614" s="0"/>
      <c r="N614" s="0"/>
      <c r="O614" s="0"/>
      <c r="P614" s="0"/>
      <c r="Q614" s="0"/>
      <c r="R614" s="0"/>
      <c r="S614" s="0"/>
      <c r="T614" s="0"/>
      <c r="U614" s="0"/>
      <c r="V614" s="0"/>
      <c r="W614" s="0"/>
      <c r="X614" s="0"/>
      <c r="Y614" s="0"/>
      <c r="Z614" s="0"/>
      <c r="AA614" s="0"/>
      <c r="AB614" s="0"/>
      <c r="AC614" s="0"/>
      <c r="AD614" s="0"/>
      <c r="AE614" s="0"/>
      <c r="AF614" s="0"/>
      <c r="AG614" s="0"/>
      <c r="AH614" s="0"/>
      <c r="AI614" s="0"/>
      <c r="AJ614" s="0"/>
      <c r="AK614" s="0"/>
      <c r="AL614" s="0"/>
      <c r="AM614" s="0"/>
      <c r="AN614" s="0"/>
      <c r="AO614" s="0"/>
      <c r="AP614" s="0"/>
      <c r="AQ614" s="0"/>
      <c r="AR614" s="0"/>
      <c r="AS614" s="0"/>
      <c r="AT614" s="0"/>
      <c r="AU614" s="0"/>
      <c r="BI614" s="0"/>
      <c r="BJ614" s="0"/>
      <c r="BK614" s="0"/>
      <c r="BL614" s="0"/>
      <c r="BM614" s="0"/>
      <c r="BN614" s="0"/>
      <c r="BO614" s="0"/>
      <c r="BP614" s="0"/>
      <c r="BQ614" s="0"/>
      <c r="BR614" s="0"/>
      <c r="BS614" s="0"/>
      <c r="BT614" s="0"/>
      <c r="BU614" s="0"/>
      <c r="BV614" s="0"/>
      <c r="BW614" s="0"/>
      <c r="BX614" s="0"/>
      <c r="BY614" s="0"/>
      <c r="BZ614" s="0"/>
      <c r="CA614" s="0"/>
      <c r="CB614" s="0"/>
      <c r="CC614" s="0"/>
      <c r="CD614" s="0"/>
      <c r="CE614" s="0"/>
      <c r="CF614" s="0"/>
      <c r="CG614" s="0"/>
      <c r="CH614" s="0"/>
      <c r="CI614" s="0"/>
      <c r="CJ614" s="0"/>
      <c r="CK614" s="0"/>
      <c r="CL614" s="0"/>
      <c r="CM614" s="0"/>
      <c r="CN614" s="0"/>
      <c r="CO614" s="0"/>
      <c r="CP614" s="0"/>
      <c r="CQ614" s="0"/>
      <c r="CR614" s="0"/>
      <c r="CS614" s="0"/>
      <c r="CT614" s="0"/>
      <c r="CU614" s="0"/>
      <c r="CV614" s="0"/>
      <c r="CW614" s="0"/>
      <c r="CX614" s="0"/>
      <c r="CY614" s="0"/>
      <c r="CZ614" s="0"/>
      <c r="DA614" s="0"/>
      <c r="DB614" s="0"/>
      <c r="DC614" s="0"/>
      <c r="DD614" s="0"/>
      <c r="DE614" s="0"/>
      <c r="DF614" s="0"/>
      <c r="DG614" s="0"/>
      <c r="DH614" s="0"/>
      <c r="DI614" s="0"/>
      <c r="DJ614" s="0"/>
      <c r="DK614" s="0"/>
      <c r="DL614" s="0"/>
      <c r="DM614" s="0"/>
      <c r="DN614" s="0"/>
      <c r="DO614" s="0"/>
      <c r="DP614" s="0"/>
      <c r="DQ614" s="0"/>
      <c r="DR614" s="0"/>
      <c r="DS614" s="0"/>
      <c r="DT614" s="0"/>
      <c r="DU614" s="0"/>
      <c r="DV614" s="0"/>
      <c r="DW614" s="0"/>
      <c r="DX614" s="0"/>
      <c r="DY614" s="0"/>
      <c r="DZ614" s="0"/>
      <c r="EA614" s="0"/>
      <c r="EB614" s="0"/>
      <c r="EC614" s="0"/>
      <c r="ED614" s="0"/>
      <c r="EE614" s="0"/>
      <c r="EF614" s="0"/>
      <c r="EG614" s="0"/>
      <c r="EH614" s="0"/>
      <c r="EI614" s="0"/>
      <c r="EJ614" s="0"/>
      <c r="EK614" s="0"/>
      <c r="EL614" s="0"/>
      <c r="EM614" s="0"/>
      <c r="EN614" s="0"/>
      <c r="EO614" s="0"/>
      <c r="EP614" s="0"/>
      <c r="EQ614" s="0"/>
      <c r="ER614" s="0"/>
      <c r="ES614" s="0"/>
      <c r="ET614" s="0"/>
      <c r="EU614" s="0"/>
      <c r="EV614" s="0"/>
      <c r="EW614" s="0"/>
      <c r="EX614" s="0"/>
      <c r="EY614" s="0"/>
      <c r="EZ614" s="0"/>
      <c r="FA614" s="0"/>
      <c r="FB614" s="0"/>
      <c r="FC614" s="0"/>
      <c r="FD614" s="0"/>
      <c r="FE614" s="0"/>
      <c r="FF614" s="0"/>
      <c r="FG614" s="0"/>
      <c r="FH614" s="0"/>
      <c r="FI614" s="0"/>
      <c r="FJ614" s="0"/>
      <c r="FK614" s="0"/>
      <c r="FL614" s="0"/>
      <c r="FM614" s="0"/>
      <c r="FN614" s="0"/>
      <c r="FO614" s="0"/>
      <c r="FP614" s="0"/>
      <c r="FQ614" s="0"/>
      <c r="FR614" s="0"/>
      <c r="FS614" s="0"/>
      <c r="FT614" s="0"/>
      <c r="FU614" s="0"/>
      <c r="FV614" s="0"/>
      <c r="FW614" s="0"/>
      <c r="FX614" s="0"/>
      <c r="FY614" s="0"/>
      <c r="FZ614" s="0"/>
      <c r="GA614" s="0"/>
      <c r="GB614" s="0"/>
      <c r="GC614" s="0"/>
      <c r="GD614" s="0"/>
      <c r="GE614" s="0"/>
      <c r="GF614" s="0"/>
      <c r="GG614" s="0"/>
      <c r="GH614" s="0"/>
      <c r="GI614" s="0"/>
      <c r="GJ614" s="0"/>
      <c r="GK614" s="0"/>
      <c r="GL614" s="0"/>
      <c r="GM614" s="0"/>
      <c r="GN614" s="0"/>
      <c r="GO614" s="0"/>
      <c r="GP614" s="0"/>
      <c r="GQ614" s="0"/>
      <c r="GR614" s="0"/>
      <c r="GS614" s="0"/>
      <c r="GT614" s="0"/>
      <c r="GU614" s="0"/>
      <c r="GV614" s="0"/>
      <c r="GW614" s="0"/>
      <c r="GX614" s="0"/>
      <c r="GY614" s="0"/>
      <c r="GZ614" s="0"/>
      <c r="HA614" s="0"/>
      <c r="HB614" s="0"/>
      <c r="HC614" s="0"/>
      <c r="HD614" s="0"/>
      <c r="HE614" s="0"/>
      <c r="HF614" s="0"/>
      <c r="HG614" s="0"/>
      <c r="HH614" s="0"/>
      <c r="HI614" s="0"/>
      <c r="HJ614" s="0"/>
      <c r="HK614" s="0"/>
      <c r="HL614" s="0"/>
      <c r="HM614" s="0"/>
      <c r="HN614" s="0"/>
      <c r="HO614" s="0"/>
      <c r="HP614" s="0"/>
      <c r="HQ614" s="0"/>
      <c r="HR614" s="0"/>
      <c r="HS614" s="0"/>
      <c r="HT614" s="0"/>
      <c r="HU614" s="0"/>
      <c r="HV614" s="0"/>
      <c r="HW614" s="0"/>
      <c r="HX614" s="0"/>
      <c r="HY614" s="0"/>
      <c r="HZ614" s="0"/>
      <c r="IA614" s="0"/>
      <c r="IB614" s="0"/>
      <c r="IC614" s="0"/>
      <c r="ID614" s="0"/>
      <c r="IE614" s="0"/>
      <c r="IF614" s="0"/>
      <c r="IG614" s="0"/>
      <c r="IH614" s="0"/>
      <c r="II614" s="0"/>
      <c r="IJ614" s="0"/>
      <c r="IK614" s="0"/>
      <c r="IL614" s="0"/>
      <c r="IM614" s="0"/>
      <c r="IN614" s="0"/>
      <c r="IO614" s="0"/>
      <c r="IP614" s="0"/>
      <c r="IQ614" s="0"/>
      <c r="IR614" s="0"/>
      <c r="IS614" s="0"/>
      <c r="IT614" s="0"/>
      <c r="IU614" s="0"/>
      <c r="IV614" s="0"/>
    </row>
    <row r="615" customFormat="false" ht="20.1" hidden="false" customHeight="true" outlineLevel="0" collapsed="false">
      <c r="A615" s="1068" t="s">
        <v>1408</v>
      </c>
      <c r="B615" s="1068"/>
      <c r="C615" s="1068"/>
      <c r="D615" s="1068"/>
      <c r="E615" s="1068"/>
      <c r="F615" s="1068"/>
      <c r="G615" s="812"/>
      <c r="H615" s="812"/>
      <c r="I615" s="1022"/>
      <c r="J615" s="620"/>
      <c r="K615" s="866"/>
      <c r="L615" s="877"/>
      <c r="M615" s="0"/>
      <c r="N615" s="0"/>
      <c r="O615" s="0"/>
      <c r="P615" s="0"/>
      <c r="Q615" s="0"/>
      <c r="R615" s="0"/>
      <c r="S615" s="0"/>
      <c r="T615" s="0"/>
      <c r="U615" s="0"/>
      <c r="V615" s="0"/>
      <c r="W615" s="0"/>
      <c r="X615" s="0"/>
      <c r="Y615" s="0"/>
      <c r="Z615" s="0"/>
      <c r="AA615" s="0"/>
      <c r="AB615" s="0"/>
      <c r="AC615" s="0"/>
      <c r="AD615" s="0"/>
      <c r="AE615" s="0"/>
      <c r="AF615" s="0"/>
      <c r="AG615" s="0"/>
      <c r="AH615" s="0"/>
      <c r="AI615" s="0"/>
      <c r="AJ615" s="0"/>
      <c r="AK615" s="0"/>
      <c r="AL615" s="0"/>
      <c r="AM615" s="0"/>
      <c r="AN615" s="0"/>
      <c r="AO615" s="0"/>
      <c r="AP615" s="0"/>
      <c r="AQ615" s="0"/>
      <c r="AR615" s="0"/>
      <c r="AS615" s="0"/>
      <c r="AT615" s="0"/>
      <c r="AU615" s="0"/>
      <c r="BI615" s="0"/>
      <c r="BJ615" s="0"/>
      <c r="BK615" s="0"/>
      <c r="BL615" s="0"/>
      <c r="BM615" s="0"/>
      <c r="BN615" s="0"/>
      <c r="BO615" s="0"/>
      <c r="BP615" s="0"/>
      <c r="BQ615" s="0"/>
      <c r="BR615" s="0"/>
      <c r="BS615" s="0"/>
      <c r="BT615" s="0"/>
      <c r="BU615" s="0"/>
      <c r="BV615" s="0"/>
      <c r="BW615" s="0"/>
      <c r="BX615" s="0"/>
      <c r="BY615" s="0"/>
      <c r="BZ615" s="0"/>
      <c r="CA615" s="0"/>
      <c r="CB615" s="0"/>
      <c r="CC615" s="0"/>
      <c r="CD615" s="0"/>
      <c r="CE615" s="0"/>
      <c r="CF615" s="0"/>
      <c r="CG615" s="0"/>
      <c r="CH615" s="0"/>
      <c r="CI615" s="0"/>
      <c r="CJ615" s="0"/>
      <c r="CK615" s="0"/>
      <c r="CL615" s="0"/>
      <c r="CM615" s="0"/>
      <c r="CN615" s="0"/>
      <c r="CO615" s="0"/>
      <c r="CP615" s="0"/>
      <c r="CQ615" s="0"/>
      <c r="CR615" s="0"/>
      <c r="CS615" s="0"/>
      <c r="CT615" s="0"/>
      <c r="CU615" s="0"/>
      <c r="CV615" s="0"/>
      <c r="CW615" s="0"/>
      <c r="CX615" s="0"/>
      <c r="CY615" s="0"/>
      <c r="CZ615" s="0"/>
      <c r="DA615" s="0"/>
      <c r="DB615" s="0"/>
      <c r="DC615" s="0"/>
      <c r="DD615" s="0"/>
      <c r="DE615" s="0"/>
      <c r="DF615" s="0"/>
      <c r="DG615" s="0"/>
      <c r="DH615" s="0"/>
      <c r="DI615" s="0"/>
      <c r="DJ615" s="0"/>
      <c r="DK615" s="0"/>
      <c r="DL615" s="0"/>
      <c r="DM615" s="0"/>
      <c r="DN615" s="0"/>
      <c r="DO615" s="0"/>
      <c r="DP615" s="0"/>
      <c r="DQ615" s="0"/>
      <c r="DR615" s="0"/>
      <c r="DS615" s="0"/>
      <c r="DT615" s="0"/>
      <c r="DU615" s="0"/>
      <c r="DV615" s="0"/>
      <c r="DW615" s="0"/>
      <c r="DX615" s="0"/>
      <c r="DY615" s="0"/>
      <c r="DZ615" s="0"/>
      <c r="EA615" s="0"/>
      <c r="EB615" s="0"/>
      <c r="EC615" s="0"/>
      <c r="ED615" s="0"/>
      <c r="EE615" s="0"/>
      <c r="EF615" s="0"/>
      <c r="EG615" s="0"/>
      <c r="EH615" s="0"/>
      <c r="EI615" s="0"/>
      <c r="EJ615" s="0"/>
      <c r="EK615" s="0"/>
      <c r="EL615" s="0"/>
      <c r="EM615" s="0"/>
      <c r="EN615" s="0"/>
      <c r="EO615" s="0"/>
      <c r="EP615" s="0"/>
      <c r="EQ615" s="0"/>
      <c r="ER615" s="0"/>
      <c r="ES615" s="0"/>
      <c r="ET615" s="0"/>
      <c r="EU615" s="0"/>
      <c r="EV615" s="0"/>
      <c r="EW615" s="0"/>
      <c r="EX615" s="0"/>
      <c r="EY615" s="0"/>
      <c r="EZ615" s="0"/>
      <c r="FA615" s="0"/>
      <c r="FB615" s="0"/>
      <c r="FC615" s="0"/>
      <c r="FD615" s="0"/>
      <c r="FE615" s="0"/>
      <c r="FF615" s="0"/>
      <c r="FG615" s="0"/>
      <c r="FH615" s="0"/>
      <c r="FI615" s="0"/>
      <c r="FJ615" s="0"/>
      <c r="FK615" s="0"/>
      <c r="FL615" s="0"/>
      <c r="FM615" s="0"/>
      <c r="FN615" s="0"/>
      <c r="FO615" s="0"/>
      <c r="FP615" s="0"/>
      <c r="FQ615" s="0"/>
      <c r="FR615" s="0"/>
      <c r="FS615" s="0"/>
      <c r="FT615" s="0"/>
      <c r="FU615" s="0"/>
      <c r="FV615" s="0"/>
      <c r="FW615" s="0"/>
      <c r="FX615" s="0"/>
      <c r="FY615" s="0"/>
      <c r="FZ615" s="0"/>
      <c r="GA615" s="0"/>
      <c r="GB615" s="0"/>
      <c r="GC615" s="0"/>
      <c r="GD615" s="0"/>
      <c r="GE615" s="0"/>
      <c r="GF615" s="0"/>
      <c r="GG615" s="0"/>
      <c r="GH615" s="0"/>
      <c r="GI615" s="0"/>
      <c r="GJ615" s="0"/>
      <c r="GK615" s="0"/>
      <c r="GL615" s="0"/>
      <c r="GM615" s="0"/>
      <c r="GN615" s="0"/>
      <c r="GO615" s="0"/>
      <c r="GP615" s="0"/>
      <c r="GQ615" s="0"/>
      <c r="GR615" s="0"/>
      <c r="GS615" s="0"/>
      <c r="GT615" s="0"/>
      <c r="GU615" s="0"/>
      <c r="GV615" s="0"/>
      <c r="GW615" s="0"/>
      <c r="GX615" s="0"/>
      <c r="GY615" s="0"/>
      <c r="GZ615" s="0"/>
      <c r="HA615" s="0"/>
      <c r="HB615" s="0"/>
      <c r="HC615" s="0"/>
      <c r="HD615" s="0"/>
      <c r="HE615" s="0"/>
      <c r="HF615" s="0"/>
      <c r="HG615" s="0"/>
      <c r="HH615" s="0"/>
      <c r="HI615" s="0"/>
      <c r="HJ615" s="0"/>
      <c r="HK615" s="0"/>
      <c r="HL615" s="0"/>
      <c r="HM615" s="0"/>
      <c r="HN615" s="0"/>
      <c r="HO615" s="0"/>
      <c r="HP615" s="0"/>
      <c r="HQ615" s="0"/>
      <c r="HR615" s="0"/>
      <c r="HS615" s="0"/>
      <c r="HT615" s="0"/>
      <c r="HU615" s="0"/>
      <c r="HV615" s="0"/>
      <c r="HW615" s="0"/>
      <c r="HX615" s="0"/>
      <c r="HY615" s="0"/>
      <c r="HZ615" s="0"/>
      <c r="IA615" s="0"/>
      <c r="IB615" s="0"/>
      <c r="IC615" s="0"/>
      <c r="ID615" s="0"/>
      <c r="IE615" s="0"/>
      <c r="IF615" s="0"/>
      <c r="IG615" s="0"/>
      <c r="IH615" s="0"/>
      <c r="II615" s="0"/>
      <c r="IJ615" s="0"/>
      <c r="IK615" s="0"/>
      <c r="IL615" s="0"/>
      <c r="IM615" s="0"/>
      <c r="IN615" s="0"/>
      <c r="IO615" s="0"/>
      <c r="IP615" s="0"/>
      <c r="IQ615" s="0"/>
      <c r="IR615" s="0"/>
      <c r="IS615" s="0"/>
      <c r="IT615" s="0"/>
      <c r="IU615" s="0"/>
      <c r="IV615" s="0"/>
    </row>
    <row r="616" customFormat="false" ht="28.5" hidden="false" customHeight="true" outlineLevel="0" collapsed="false">
      <c r="A616" s="1069" t="s">
        <v>1409</v>
      </c>
      <c r="B616" s="1069"/>
      <c r="C616" s="1070" t="s">
        <v>1410</v>
      </c>
      <c r="D616" s="1070" t="s">
        <v>1411</v>
      </c>
      <c r="E616" s="1071" t="s">
        <v>1412</v>
      </c>
      <c r="F616" s="1072" t="s">
        <v>1413</v>
      </c>
      <c r="G616" s="620"/>
      <c r="H616" s="620"/>
      <c r="I616" s="1022"/>
      <c r="J616" s="620"/>
      <c r="K616" s="866"/>
      <c r="L616" s="877"/>
      <c r="M616" s="0"/>
      <c r="N616" s="0"/>
      <c r="O616" s="0"/>
      <c r="P616" s="0"/>
      <c r="Q616" s="0"/>
      <c r="R616" s="0"/>
      <c r="S616" s="0"/>
      <c r="T616" s="0"/>
      <c r="U616" s="0"/>
      <c r="V616" s="0"/>
      <c r="W616" s="0"/>
      <c r="X616" s="0"/>
      <c r="Y616" s="0"/>
      <c r="Z616" s="0"/>
      <c r="AA616" s="0"/>
      <c r="AB616" s="0"/>
      <c r="AC616" s="0"/>
      <c r="AD616" s="0"/>
      <c r="AE616" s="0"/>
      <c r="AF616" s="0"/>
      <c r="AG616" s="0"/>
      <c r="AH616" s="0"/>
      <c r="AI616" s="0"/>
      <c r="AJ616" s="0"/>
      <c r="AK616" s="0"/>
      <c r="AL616" s="0"/>
      <c r="AM616" s="0"/>
      <c r="AN616" s="0"/>
      <c r="AO616" s="0"/>
      <c r="AP616" s="0"/>
      <c r="AQ616" s="0"/>
      <c r="AR616" s="0"/>
      <c r="AS616" s="0"/>
      <c r="AT616" s="0"/>
      <c r="AU616" s="0"/>
      <c r="BI616" s="0"/>
      <c r="BJ616" s="0"/>
      <c r="BK616" s="0"/>
      <c r="BL616" s="0"/>
      <c r="BM616" s="0"/>
      <c r="BN616" s="0"/>
      <c r="BO616" s="0"/>
      <c r="BP616" s="0"/>
      <c r="BQ616" s="0"/>
      <c r="BR616" s="0"/>
      <c r="BS616" s="0"/>
      <c r="BT616" s="0"/>
      <c r="BU616" s="0"/>
      <c r="BV616" s="0"/>
      <c r="BW616" s="0"/>
      <c r="BX616" s="0"/>
      <c r="BY616" s="0"/>
      <c r="BZ616" s="0"/>
      <c r="CA616" s="0"/>
      <c r="CB616" s="0"/>
      <c r="CC616" s="0"/>
      <c r="CD616" s="0"/>
      <c r="CE616" s="0"/>
      <c r="CF616" s="0"/>
      <c r="CG616" s="0"/>
      <c r="CH616" s="0"/>
      <c r="CI616" s="0"/>
      <c r="CJ616" s="0"/>
      <c r="CK616" s="0"/>
      <c r="CL616" s="0"/>
      <c r="CM616" s="0"/>
      <c r="CN616" s="0"/>
      <c r="CO616" s="0"/>
      <c r="CP616" s="0"/>
      <c r="CQ616" s="0"/>
      <c r="CR616" s="0"/>
      <c r="CS616" s="0"/>
      <c r="CT616" s="0"/>
      <c r="CU616" s="0"/>
      <c r="CV616" s="0"/>
      <c r="CW616" s="0"/>
      <c r="CX616" s="0"/>
      <c r="CY616" s="0"/>
      <c r="CZ616" s="0"/>
      <c r="DA616" s="0"/>
      <c r="DB616" s="0"/>
      <c r="DC616" s="0"/>
      <c r="DD616" s="0"/>
      <c r="DE616" s="0"/>
      <c r="DF616" s="0"/>
      <c r="DG616" s="0"/>
      <c r="DH616" s="0"/>
      <c r="DI616" s="0"/>
      <c r="DJ616" s="0"/>
      <c r="DK616" s="0"/>
      <c r="DL616" s="0"/>
      <c r="DM616" s="0"/>
      <c r="DN616" s="0"/>
      <c r="DO616" s="0"/>
      <c r="DP616" s="0"/>
      <c r="DQ616" s="0"/>
      <c r="DR616" s="0"/>
      <c r="DS616" s="0"/>
      <c r="DT616" s="0"/>
      <c r="DU616" s="0"/>
      <c r="DV616" s="0"/>
      <c r="DW616" s="0"/>
      <c r="DX616" s="0"/>
      <c r="DY616" s="0"/>
      <c r="DZ616" s="0"/>
      <c r="EA616" s="0"/>
      <c r="EB616" s="0"/>
      <c r="EC616" s="0"/>
      <c r="ED616" s="0"/>
      <c r="EE616" s="0"/>
      <c r="EF616" s="0"/>
      <c r="EG616" s="0"/>
      <c r="EH616" s="0"/>
      <c r="EI616" s="0"/>
      <c r="EJ616" s="0"/>
      <c r="EK616" s="0"/>
      <c r="EL616" s="0"/>
      <c r="EM616" s="0"/>
      <c r="EN616" s="0"/>
      <c r="EO616" s="0"/>
      <c r="EP616" s="0"/>
      <c r="EQ616" s="0"/>
      <c r="ER616" s="0"/>
      <c r="ES616" s="0"/>
      <c r="ET616" s="0"/>
      <c r="EU616" s="0"/>
      <c r="EV616" s="0"/>
      <c r="EW616" s="0"/>
      <c r="EX616" s="0"/>
      <c r="EY616" s="0"/>
      <c r="EZ616" s="0"/>
      <c r="FA616" s="0"/>
      <c r="FB616" s="0"/>
      <c r="FC616" s="0"/>
      <c r="FD616" s="0"/>
      <c r="FE616" s="0"/>
      <c r="FF616" s="0"/>
      <c r="FG616" s="0"/>
      <c r="FH616" s="0"/>
      <c r="FI616" s="0"/>
      <c r="FJ616" s="0"/>
      <c r="FK616" s="0"/>
      <c r="FL616" s="0"/>
      <c r="FM616" s="0"/>
      <c r="FN616" s="0"/>
      <c r="FO616" s="0"/>
      <c r="FP616" s="0"/>
      <c r="FQ616" s="0"/>
      <c r="FR616" s="0"/>
      <c r="FS616" s="0"/>
      <c r="FT616" s="0"/>
      <c r="FU616" s="0"/>
      <c r="FV616" s="0"/>
      <c r="FW616" s="0"/>
      <c r="FX616" s="0"/>
      <c r="FY616" s="0"/>
      <c r="FZ616" s="0"/>
      <c r="GA616" s="0"/>
      <c r="GB616" s="0"/>
      <c r="GC616" s="0"/>
      <c r="GD616" s="0"/>
      <c r="GE616" s="0"/>
      <c r="GF616" s="0"/>
      <c r="GG616" s="0"/>
      <c r="GH616" s="0"/>
      <c r="GI616" s="0"/>
      <c r="GJ616" s="0"/>
      <c r="GK616" s="0"/>
      <c r="GL616" s="0"/>
      <c r="GM616" s="0"/>
      <c r="GN616" s="0"/>
      <c r="GO616" s="0"/>
      <c r="GP616" s="0"/>
      <c r="GQ616" s="0"/>
      <c r="GR616" s="0"/>
      <c r="GS616" s="0"/>
      <c r="GT616" s="0"/>
      <c r="GU616" s="0"/>
      <c r="GV616" s="0"/>
      <c r="GW616" s="0"/>
      <c r="GX616" s="0"/>
      <c r="GY616" s="0"/>
      <c r="GZ616" s="0"/>
      <c r="HA616" s="0"/>
      <c r="HB616" s="0"/>
      <c r="HC616" s="0"/>
      <c r="HD616" s="0"/>
      <c r="HE616" s="0"/>
      <c r="HF616" s="0"/>
      <c r="HG616" s="0"/>
      <c r="HH616" s="0"/>
      <c r="HI616" s="0"/>
      <c r="HJ616" s="0"/>
      <c r="HK616" s="0"/>
      <c r="HL616" s="0"/>
      <c r="HM616" s="0"/>
      <c r="HN616" s="0"/>
      <c r="HO616" s="0"/>
      <c r="HP616" s="0"/>
      <c r="HQ616" s="0"/>
      <c r="HR616" s="0"/>
      <c r="HS616" s="0"/>
      <c r="HT616" s="0"/>
      <c r="HU616" s="0"/>
      <c r="HV616" s="0"/>
      <c r="HW616" s="0"/>
      <c r="HX616" s="0"/>
      <c r="HY616" s="0"/>
      <c r="HZ616" s="0"/>
      <c r="IA616" s="0"/>
      <c r="IB616" s="0"/>
      <c r="IC616" s="0"/>
      <c r="ID616" s="0"/>
      <c r="IE616" s="0"/>
      <c r="IF616" s="0"/>
      <c r="IG616" s="0"/>
      <c r="IH616" s="0"/>
      <c r="II616" s="0"/>
      <c r="IJ616" s="0"/>
      <c r="IK616" s="0"/>
      <c r="IL616" s="0"/>
      <c r="IM616" s="0"/>
      <c r="IN616" s="0"/>
      <c r="IO616" s="0"/>
      <c r="IP616" s="0"/>
      <c r="IQ616" s="0"/>
      <c r="IR616" s="0"/>
      <c r="IS616" s="0"/>
      <c r="IT616" s="0"/>
      <c r="IU616" s="0"/>
      <c r="IV616" s="0"/>
    </row>
    <row r="617" customFormat="false" ht="20.1" hidden="false" customHeight="true" outlineLevel="0" collapsed="false">
      <c r="A617" s="1073"/>
      <c r="B617" s="1073"/>
      <c r="C617" s="552"/>
      <c r="D617" s="552"/>
      <c r="E617" s="552" t="s">
        <v>1414</v>
      </c>
      <c r="F617" s="579" t="s">
        <v>1415</v>
      </c>
      <c r="G617" s="1074"/>
      <c r="H617" s="1074"/>
      <c r="I617" s="1022"/>
      <c r="J617" s="620"/>
      <c r="K617" s="866"/>
      <c r="L617" s="877"/>
      <c r="M617" s="0"/>
      <c r="N617" s="0"/>
      <c r="O617" s="0"/>
      <c r="P617" s="0"/>
      <c r="Q617" s="0"/>
      <c r="R617" s="0"/>
      <c r="S617" s="0"/>
      <c r="T617" s="0"/>
      <c r="U617" s="0"/>
      <c r="V617" s="0"/>
      <c r="W617" s="0"/>
      <c r="X617" s="0"/>
      <c r="Y617" s="0"/>
      <c r="Z617" s="0"/>
      <c r="AA617" s="0"/>
      <c r="AB617" s="0"/>
      <c r="AC617" s="0"/>
      <c r="AD617" s="0"/>
      <c r="AE617" s="0"/>
      <c r="AF617" s="0"/>
      <c r="AG617" s="0"/>
      <c r="AH617" s="0"/>
      <c r="AI617" s="0"/>
      <c r="AJ617" s="0"/>
      <c r="AK617" s="0"/>
      <c r="AL617" s="0"/>
      <c r="AM617" s="0"/>
      <c r="AN617" s="0"/>
      <c r="AO617" s="0"/>
      <c r="AP617" s="0"/>
      <c r="AQ617" s="0"/>
      <c r="AR617" s="0"/>
      <c r="AS617" s="0"/>
      <c r="AT617" s="0"/>
      <c r="AU617" s="0"/>
      <c r="BI617" s="0"/>
      <c r="BJ617" s="0"/>
      <c r="BK617" s="0"/>
      <c r="BL617" s="0"/>
      <c r="BM617" s="0"/>
      <c r="BN617" s="0"/>
      <c r="BO617" s="0"/>
      <c r="BP617" s="0"/>
      <c r="BQ617" s="0"/>
      <c r="BR617" s="0"/>
      <c r="BS617" s="0"/>
      <c r="BT617" s="0"/>
      <c r="BU617" s="0"/>
      <c r="BV617" s="0"/>
      <c r="BW617" s="0"/>
      <c r="BX617" s="0"/>
      <c r="BY617" s="0"/>
      <c r="BZ617" s="0"/>
      <c r="CA617" s="0"/>
      <c r="CB617" s="0"/>
      <c r="CC617" s="0"/>
      <c r="CD617" s="0"/>
      <c r="CE617" s="0"/>
      <c r="CF617" s="0"/>
      <c r="CG617" s="0"/>
      <c r="CH617" s="0"/>
      <c r="CI617" s="0"/>
      <c r="CJ617" s="0"/>
      <c r="CK617" s="0"/>
      <c r="CL617" s="0"/>
      <c r="CM617" s="0"/>
      <c r="CN617" s="0"/>
      <c r="CO617" s="0"/>
      <c r="CP617" s="0"/>
      <c r="CQ617" s="0"/>
      <c r="CR617" s="0"/>
      <c r="CS617" s="0"/>
      <c r="CT617" s="0"/>
      <c r="CU617" s="0"/>
      <c r="CV617" s="0"/>
      <c r="CW617" s="0"/>
      <c r="CX617" s="0"/>
      <c r="CY617" s="0"/>
      <c r="CZ617" s="0"/>
      <c r="DA617" s="0"/>
      <c r="DB617" s="0"/>
      <c r="DC617" s="0"/>
      <c r="DD617" s="0"/>
      <c r="DE617" s="0"/>
      <c r="DF617" s="0"/>
      <c r="DG617" s="0"/>
      <c r="DH617" s="0"/>
      <c r="DI617" s="0"/>
      <c r="DJ617" s="0"/>
      <c r="DK617" s="0"/>
      <c r="DL617" s="0"/>
      <c r="DM617" s="0"/>
      <c r="DN617" s="0"/>
      <c r="DO617" s="0"/>
      <c r="DP617" s="0"/>
      <c r="DQ617" s="0"/>
      <c r="DR617" s="0"/>
      <c r="DS617" s="0"/>
      <c r="DT617" s="0"/>
      <c r="DU617" s="0"/>
      <c r="DV617" s="0"/>
      <c r="DW617" s="0"/>
      <c r="DX617" s="0"/>
      <c r="DY617" s="0"/>
      <c r="DZ617" s="0"/>
      <c r="EA617" s="0"/>
      <c r="EB617" s="0"/>
      <c r="EC617" s="0"/>
      <c r="ED617" s="0"/>
      <c r="EE617" s="0"/>
      <c r="EF617" s="0"/>
      <c r="EG617" s="0"/>
      <c r="EH617" s="0"/>
      <c r="EI617" s="0"/>
      <c r="EJ617" s="0"/>
      <c r="EK617" s="0"/>
      <c r="EL617" s="0"/>
      <c r="EM617" s="0"/>
      <c r="EN617" s="0"/>
      <c r="EO617" s="0"/>
      <c r="EP617" s="0"/>
      <c r="EQ617" s="0"/>
      <c r="ER617" s="0"/>
      <c r="ES617" s="0"/>
      <c r="ET617" s="0"/>
      <c r="EU617" s="0"/>
      <c r="EV617" s="0"/>
      <c r="EW617" s="0"/>
      <c r="EX617" s="0"/>
      <c r="EY617" s="0"/>
      <c r="EZ617" s="0"/>
      <c r="FA617" s="0"/>
      <c r="FB617" s="0"/>
      <c r="FC617" s="0"/>
      <c r="FD617" s="0"/>
      <c r="FE617" s="0"/>
      <c r="FF617" s="0"/>
      <c r="FG617" s="0"/>
      <c r="FH617" s="0"/>
      <c r="FI617" s="0"/>
      <c r="FJ617" s="0"/>
      <c r="FK617" s="0"/>
      <c r="FL617" s="0"/>
      <c r="FM617" s="0"/>
      <c r="FN617" s="0"/>
      <c r="FO617" s="0"/>
      <c r="FP617" s="0"/>
      <c r="FQ617" s="0"/>
      <c r="FR617" s="0"/>
      <c r="FS617" s="0"/>
      <c r="FT617" s="0"/>
      <c r="FU617" s="0"/>
      <c r="FV617" s="0"/>
      <c r="FW617" s="0"/>
      <c r="FX617" s="0"/>
      <c r="FY617" s="0"/>
      <c r="FZ617" s="0"/>
      <c r="GA617" s="0"/>
      <c r="GB617" s="0"/>
      <c r="GC617" s="0"/>
      <c r="GD617" s="0"/>
      <c r="GE617" s="0"/>
      <c r="GF617" s="0"/>
      <c r="GG617" s="0"/>
      <c r="GH617" s="0"/>
      <c r="GI617" s="0"/>
      <c r="GJ617" s="0"/>
      <c r="GK617" s="0"/>
      <c r="GL617" s="0"/>
      <c r="GM617" s="0"/>
      <c r="GN617" s="0"/>
      <c r="GO617" s="0"/>
      <c r="GP617" s="0"/>
      <c r="GQ617" s="0"/>
      <c r="GR617" s="0"/>
      <c r="GS617" s="0"/>
      <c r="GT617" s="0"/>
      <c r="GU617" s="0"/>
      <c r="GV617" s="0"/>
      <c r="GW617" s="0"/>
      <c r="GX617" s="0"/>
      <c r="GY617" s="0"/>
      <c r="GZ617" s="0"/>
      <c r="HA617" s="0"/>
      <c r="HB617" s="0"/>
      <c r="HC617" s="0"/>
      <c r="HD617" s="0"/>
      <c r="HE617" s="0"/>
      <c r="HF617" s="0"/>
      <c r="HG617" s="0"/>
      <c r="HH617" s="0"/>
      <c r="HI617" s="0"/>
      <c r="HJ617" s="0"/>
      <c r="HK617" s="0"/>
      <c r="HL617" s="0"/>
      <c r="HM617" s="0"/>
      <c r="HN617" s="0"/>
      <c r="HO617" s="0"/>
      <c r="HP617" s="0"/>
      <c r="HQ617" s="0"/>
      <c r="HR617" s="0"/>
      <c r="HS617" s="0"/>
      <c r="HT617" s="0"/>
      <c r="HU617" s="0"/>
      <c r="HV617" s="0"/>
      <c r="HW617" s="0"/>
      <c r="HX617" s="0"/>
      <c r="HY617" s="0"/>
      <c r="HZ617" s="0"/>
      <c r="IA617" s="0"/>
      <c r="IB617" s="0"/>
      <c r="IC617" s="0"/>
      <c r="ID617" s="0"/>
      <c r="IE617" s="0"/>
      <c r="IF617" s="0"/>
      <c r="IG617" s="0"/>
      <c r="IH617" s="0"/>
      <c r="II617" s="0"/>
      <c r="IJ617" s="0"/>
      <c r="IK617" s="0"/>
      <c r="IL617" s="0"/>
      <c r="IM617" s="0"/>
      <c r="IN617" s="0"/>
      <c r="IO617" s="0"/>
      <c r="IP617" s="0"/>
      <c r="IQ617" s="0"/>
      <c r="IR617" s="0"/>
      <c r="IS617" s="0"/>
      <c r="IT617" s="0"/>
      <c r="IU617" s="0"/>
      <c r="IV617" s="0"/>
    </row>
    <row r="618" customFormat="false" ht="20.1" hidden="false" customHeight="true" outlineLevel="0" collapsed="false">
      <c r="A618" s="1075" t="s">
        <v>545</v>
      </c>
      <c r="B618" s="1075"/>
      <c r="C618" s="552" t="s">
        <v>546</v>
      </c>
      <c r="D618" s="926" t="n">
        <v>32800</v>
      </c>
      <c r="E618" s="1076" t="n">
        <v>0.290502793296089</v>
      </c>
      <c r="F618" s="1077" t="n">
        <f aca="false">D618*E618</f>
        <v>9528.49162011172</v>
      </c>
      <c r="G618" s="1078" t="s">
        <v>1416</v>
      </c>
      <c r="H618" s="1079"/>
      <c r="I618" s="1022"/>
      <c r="J618" s="620"/>
      <c r="K618" s="866"/>
      <c r="L618" s="877"/>
      <c r="M618" s="0"/>
      <c r="N618" s="0"/>
      <c r="O618" s="0"/>
      <c r="P618" s="0"/>
      <c r="Q618" s="0"/>
      <c r="R618" s="0"/>
      <c r="S618" s="0"/>
      <c r="T618" s="0"/>
      <c r="U618" s="0"/>
      <c r="V618" s="0"/>
      <c r="W618" s="0"/>
      <c r="X618" s="0"/>
      <c r="Y618" s="0"/>
      <c r="Z618" s="0"/>
      <c r="AA618" s="0"/>
      <c r="AB618" s="0"/>
      <c r="AC618" s="0"/>
      <c r="AD618" s="0"/>
      <c r="AE618" s="0"/>
      <c r="AF618" s="0"/>
      <c r="AG618" s="0"/>
      <c r="AH618" s="0"/>
      <c r="AI618" s="0"/>
      <c r="AJ618" s="0"/>
      <c r="AK618" s="0"/>
      <c r="AL618" s="0"/>
      <c r="AM618" s="0"/>
      <c r="AN618" s="0"/>
      <c r="AO618" s="0"/>
      <c r="AP618" s="0"/>
      <c r="AQ618" s="0"/>
      <c r="AR618" s="0"/>
      <c r="AS618" s="0"/>
      <c r="AT618" s="0"/>
      <c r="AU618" s="0"/>
      <c r="BI618" s="0"/>
      <c r="BJ618" s="0"/>
      <c r="BK618" s="0"/>
      <c r="BL618" s="0"/>
      <c r="BM618" s="0"/>
      <c r="BN618" s="0"/>
      <c r="BO618" s="0"/>
      <c r="BP618" s="0"/>
      <c r="BQ618" s="0"/>
      <c r="BR618" s="0"/>
      <c r="BS618" s="0"/>
      <c r="BT618" s="0"/>
      <c r="BU618" s="0"/>
      <c r="BV618" s="0"/>
      <c r="BW618" s="0"/>
      <c r="BX618" s="0"/>
      <c r="BY618" s="0"/>
      <c r="BZ618" s="0"/>
      <c r="CA618" s="0"/>
      <c r="CB618" s="0"/>
      <c r="CC618" s="0"/>
      <c r="CD618" s="0"/>
      <c r="CE618" s="0"/>
      <c r="CF618" s="0"/>
      <c r="CG618" s="0"/>
      <c r="CH618" s="0"/>
      <c r="CI618" s="0"/>
      <c r="CJ618" s="0"/>
      <c r="CK618" s="0"/>
      <c r="CL618" s="0"/>
      <c r="CM618" s="0"/>
      <c r="CN618" s="0"/>
      <c r="CO618" s="0"/>
      <c r="CP618" s="0"/>
      <c r="CQ618" s="0"/>
      <c r="CR618" s="0"/>
      <c r="CS618" s="0"/>
      <c r="CT618" s="0"/>
      <c r="CU618" s="0"/>
      <c r="CV618" s="0"/>
      <c r="CW618" s="0"/>
      <c r="CX618" s="0"/>
      <c r="CY618" s="0"/>
      <c r="CZ618" s="0"/>
      <c r="DA618" s="0"/>
      <c r="DB618" s="0"/>
      <c r="DC618" s="0"/>
      <c r="DD618" s="0"/>
      <c r="DE618" s="0"/>
      <c r="DF618" s="0"/>
      <c r="DG618" s="0"/>
      <c r="DH618" s="0"/>
      <c r="DI618" s="0"/>
      <c r="DJ618" s="0"/>
      <c r="DK618" s="0"/>
      <c r="DL618" s="0"/>
      <c r="DM618" s="0"/>
      <c r="DN618" s="0"/>
      <c r="DO618" s="0"/>
      <c r="DP618" s="0"/>
      <c r="DQ618" s="0"/>
      <c r="DR618" s="0"/>
      <c r="DS618" s="0"/>
      <c r="DT618" s="0"/>
      <c r="DU618" s="0"/>
      <c r="DV618" s="0"/>
      <c r="DW618" s="0"/>
      <c r="DX618" s="0"/>
      <c r="DY618" s="0"/>
      <c r="DZ618" s="0"/>
      <c r="EA618" s="0"/>
      <c r="EB618" s="0"/>
      <c r="EC618" s="0"/>
      <c r="ED618" s="0"/>
      <c r="EE618" s="0"/>
      <c r="EF618" s="0"/>
      <c r="EG618" s="0"/>
      <c r="EH618" s="0"/>
      <c r="EI618" s="0"/>
      <c r="EJ618" s="0"/>
      <c r="EK618" s="0"/>
      <c r="EL618" s="0"/>
      <c r="EM618" s="0"/>
      <c r="EN618" s="0"/>
      <c r="EO618" s="0"/>
      <c r="EP618" s="0"/>
      <c r="EQ618" s="0"/>
      <c r="ER618" s="0"/>
      <c r="ES618" s="0"/>
      <c r="ET618" s="0"/>
      <c r="EU618" s="0"/>
      <c r="EV618" s="0"/>
      <c r="EW618" s="0"/>
      <c r="EX618" s="0"/>
      <c r="EY618" s="0"/>
      <c r="EZ618" s="0"/>
      <c r="FA618" s="0"/>
      <c r="FB618" s="0"/>
      <c r="FC618" s="0"/>
      <c r="FD618" s="0"/>
      <c r="FE618" s="0"/>
      <c r="FF618" s="0"/>
      <c r="FG618" s="0"/>
      <c r="FH618" s="0"/>
      <c r="FI618" s="0"/>
      <c r="FJ618" s="0"/>
      <c r="FK618" s="0"/>
      <c r="FL618" s="0"/>
      <c r="FM618" s="0"/>
      <c r="FN618" s="0"/>
      <c r="FO618" s="0"/>
      <c r="FP618" s="0"/>
      <c r="FQ618" s="0"/>
      <c r="FR618" s="0"/>
      <c r="FS618" s="0"/>
      <c r="FT618" s="0"/>
      <c r="FU618" s="0"/>
      <c r="FV618" s="0"/>
      <c r="FW618" s="0"/>
      <c r="FX618" s="0"/>
      <c r="FY618" s="0"/>
      <c r="FZ618" s="0"/>
      <c r="GA618" s="0"/>
      <c r="GB618" s="0"/>
      <c r="GC618" s="0"/>
      <c r="GD618" s="0"/>
      <c r="GE618" s="0"/>
      <c r="GF618" s="0"/>
      <c r="GG618" s="0"/>
      <c r="GH618" s="0"/>
      <c r="GI618" s="0"/>
      <c r="GJ618" s="0"/>
      <c r="GK618" s="0"/>
      <c r="GL618" s="0"/>
      <c r="GM618" s="0"/>
      <c r="GN618" s="0"/>
      <c r="GO618" s="0"/>
      <c r="GP618" s="0"/>
      <c r="GQ618" s="0"/>
      <c r="GR618" s="0"/>
      <c r="GS618" s="0"/>
      <c r="GT618" s="0"/>
      <c r="GU618" s="0"/>
      <c r="GV618" s="0"/>
      <c r="GW618" s="0"/>
      <c r="GX618" s="0"/>
      <c r="GY618" s="0"/>
      <c r="GZ618" s="0"/>
      <c r="HA618" s="0"/>
      <c r="HB618" s="0"/>
      <c r="HC618" s="0"/>
      <c r="HD618" s="0"/>
      <c r="HE618" s="0"/>
      <c r="HF618" s="0"/>
      <c r="HG618" s="0"/>
      <c r="HH618" s="0"/>
      <c r="HI618" s="0"/>
      <c r="HJ618" s="0"/>
      <c r="HK618" s="0"/>
      <c r="HL618" s="0"/>
      <c r="HM618" s="0"/>
      <c r="HN618" s="0"/>
      <c r="HO618" s="0"/>
      <c r="HP618" s="0"/>
      <c r="HQ618" s="0"/>
      <c r="HR618" s="0"/>
      <c r="HS618" s="0"/>
      <c r="HT618" s="0"/>
      <c r="HU618" s="0"/>
      <c r="HV618" s="0"/>
      <c r="HW618" s="0"/>
      <c r="HX618" s="0"/>
      <c r="HY618" s="0"/>
      <c r="HZ618" s="0"/>
      <c r="IA618" s="0"/>
      <c r="IB618" s="0"/>
      <c r="IC618" s="0"/>
      <c r="ID618" s="0"/>
      <c r="IE618" s="0"/>
      <c r="IF618" s="0"/>
      <c r="IG618" s="0"/>
      <c r="IH618" s="0"/>
      <c r="II618" s="0"/>
      <c r="IJ618" s="0"/>
      <c r="IK618" s="0"/>
      <c r="IL618" s="0"/>
      <c r="IM618" s="0"/>
      <c r="IN618" s="0"/>
      <c r="IO618" s="0"/>
      <c r="IP618" s="0"/>
      <c r="IQ618" s="0"/>
      <c r="IR618" s="0"/>
      <c r="IS618" s="0"/>
      <c r="IT618" s="0"/>
      <c r="IU618" s="0"/>
      <c r="IV618" s="0"/>
    </row>
    <row r="619" s="1080" customFormat="true" ht="20.1" hidden="false" customHeight="true" outlineLevel="0" collapsed="false">
      <c r="A619" s="1075" t="s">
        <v>547</v>
      </c>
      <c r="B619" s="1075"/>
      <c r="C619" s="552" t="s">
        <v>183</v>
      </c>
      <c r="D619" s="926" t="n">
        <v>5000</v>
      </c>
      <c r="E619" s="1076" t="n">
        <v>1.28491620111732</v>
      </c>
      <c r="F619" s="1077" t="n">
        <f aca="false">D619*E619</f>
        <v>6424.5810055866</v>
      </c>
      <c r="G619" s="1078"/>
      <c r="H619" s="935"/>
      <c r="I619" s="1022"/>
      <c r="J619" s="620"/>
      <c r="K619" s="866"/>
      <c r="L619" s="877"/>
      <c r="M619" s="0"/>
      <c r="N619" s="0"/>
      <c r="O619" s="0"/>
      <c r="P619" s="0"/>
      <c r="Q619" s="0"/>
      <c r="R619" s="0"/>
      <c r="S619" s="0"/>
      <c r="T619" s="0"/>
      <c r="U619" s="0"/>
    </row>
    <row r="620" customFormat="false" ht="20.1" hidden="false" customHeight="true" outlineLevel="0" collapsed="false">
      <c r="A620" s="1075" t="s">
        <v>549</v>
      </c>
      <c r="B620" s="1075"/>
      <c r="C620" s="552" t="s">
        <v>183</v>
      </c>
      <c r="D620" s="926"/>
      <c r="E620" s="926"/>
      <c r="F620" s="1077" t="n">
        <f aca="false">D620*E620</f>
        <v>0</v>
      </c>
      <c r="G620" s="1078"/>
      <c r="H620" s="1079"/>
      <c r="I620" s="1022"/>
      <c r="J620" s="620"/>
      <c r="K620" s="866"/>
      <c r="L620" s="877"/>
      <c r="M620" s="0"/>
      <c r="N620" s="0"/>
      <c r="O620" s="0"/>
      <c r="P620" s="0"/>
      <c r="Q620" s="0"/>
      <c r="R620" s="0"/>
      <c r="S620" s="0"/>
      <c r="T620" s="0"/>
      <c r="U620" s="0"/>
    </row>
    <row r="621" customFormat="false" ht="20.1" hidden="false" customHeight="true" outlineLevel="0" collapsed="false">
      <c r="A621" s="1075" t="s">
        <v>550</v>
      </c>
      <c r="B621" s="1075"/>
      <c r="C621" s="552" t="s">
        <v>551</v>
      </c>
      <c r="D621" s="926"/>
      <c r="E621" s="1076" t="n">
        <v>1.58100558659218</v>
      </c>
      <c r="F621" s="1077" t="n">
        <f aca="false">D621*E621</f>
        <v>0</v>
      </c>
      <c r="G621" s="1078"/>
      <c r="H621" s="935"/>
      <c r="I621" s="1022"/>
      <c r="J621" s="620"/>
      <c r="K621" s="866"/>
      <c r="L621" s="877"/>
      <c r="M621" s="0"/>
      <c r="N621" s="0"/>
      <c r="O621" s="0"/>
      <c r="P621" s="0"/>
      <c r="Q621" s="0"/>
      <c r="R621" s="0"/>
      <c r="S621" s="0"/>
      <c r="T621" s="0"/>
      <c r="U621" s="0"/>
    </row>
    <row r="622" customFormat="false" ht="20.1" hidden="false" customHeight="true" outlineLevel="0" collapsed="false">
      <c r="A622" s="1075" t="s">
        <v>552</v>
      </c>
      <c r="B622" s="1075"/>
      <c r="C622" s="552" t="s">
        <v>551</v>
      </c>
      <c r="D622" s="926"/>
      <c r="E622" s="1076" t="n">
        <v>0.51</v>
      </c>
      <c r="F622" s="1077" t="n">
        <f aca="false">D622*E622</f>
        <v>0</v>
      </c>
      <c r="G622" s="935"/>
      <c r="H622" s="1079"/>
      <c r="I622" s="1022"/>
      <c r="J622" s="620"/>
      <c r="K622" s="866"/>
      <c r="L622" s="877"/>
      <c r="M622" s="0"/>
      <c r="N622" s="0"/>
      <c r="O622" s="0"/>
      <c r="P622" s="0"/>
      <c r="Q622" s="0"/>
      <c r="R622" s="0"/>
      <c r="S622" s="0"/>
      <c r="T622" s="0"/>
      <c r="U622" s="0"/>
    </row>
    <row r="623" customFormat="false" ht="20.1" hidden="false" customHeight="true" outlineLevel="0" collapsed="false">
      <c r="A623" s="1075" t="s">
        <v>553</v>
      </c>
      <c r="B623" s="1075"/>
      <c r="C623" s="552" t="s">
        <v>554</v>
      </c>
      <c r="D623" s="926"/>
      <c r="E623" s="1076" t="n">
        <v>0.502793296089386</v>
      </c>
      <c r="F623" s="1077" t="n">
        <f aca="false">D623*E623</f>
        <v>0</v>
      </c>
      <c r="G623" s="935"/>
      <c r="H623" s="1079"/>
      <c r="I623" s="1022"/>
      <c r="J623" s="620"/>
      <c r="K623" s="866"/>
      <c r="L623" s="877"/>
      <c r="M623" s="0"/>
      <c r="N623" s="0"/>
      <c r="O623" s="0"/>
      <c r="P623" s="0"/>
      <c r="Q623" s="0"/>
      <c r="R623" s="0"/>
      <c r="S623" s="0"/>
      <c r="T623" s="0"/>
      <c r="U623" s="0"/>
    </row>
    <row r="624" customFormat="false" ht="20.1" hidden="false" customHeight="true" outlineLevel="0" collapsed="false">
      <c r="A624" s="1081" t="s">
        <v>555</v>
      </c>
      <c r="B624" s="1081"/>
      <c r="C624" s="552" t="s">
        <v>554</v>
      </c>
      <c r="D624" s="926"/>
      <c r="E624" s="1076" t="n">
        <v>0.502793296089386</v>
      </c>
      <c r="F624" s="1077" t="n">
        <f aca="false">D624*E624</f>
        <v>0</v>
      </c>
      <c r="G624" s="935"/>
      <c r="H624" s="1079"/>
      <c r="I624" s="1022"/>
      <c r="J624" s="620"/>
      <c r="K624" s="866"/>
      <c r="L624" s="877"/>
      <c r="M624" s="0"/>
      <c r="N624" s="0"/>
      <c r="O624" s="0"/>
      <c r="P624" s="0"/>
      <c r="Q624" s="0"/>
      <c r="R624" s="0"/>
      <c r="S624" s="0"/>
      <c r="T624" s="0"/>
      <c r="U624" s="0"/>
      <c r="V624" s="0"/>
      <c r="W624" s="0"/>
      <c r="X624" s="0"/>
      <c r="Y624" s="0"/>
      <c r="Z624" s="0"/>
      <c r="AA624" s="0"/>
      <c r="AB624" s="0"/>
      <c r="AC624" s="0"/>
      <c r="AD624" s="0"/>
      <c r="AE624" s="0"/>
      <c r="AF624" s="0"/>
      <c r="AG624" s="0"/>
      <c r="AH624" s="0"/>
      <c r="AI624" s="0"/>
      <c r="AJ624" s="0"/>
      <c r="AK624" s="0"/>
      <c r="AL624" s="0"/>
      <c r="AM624" s="0"/>
      <c r="AN624" s="0"/>
      <c r="AO624" s="0"/>
      <c r="AP624" s="0"/>
      <c r="AQ624" s="0"/>
      <c r="AR624" s="0"/>
      <c r="AS624" s="0"/>
      <c r="AT624" s="0"/>
      <c r="AU624" s="0"/>
      <c r="BI624" s="0"/>
      <c r="BJ624" s="0"/>
      <c r="BK624" s="0"/>
      <c r="BL624" s="0"/>
      <c r="BM624" s="0"/>
      <c r="BN624" s="0"/>
      <c r="BO624" s="0"/>
      <c r="BP624" s="0"/>
      <c r="BQ624" s="0"/>
      <c r="BR624" s="0"/>
      <c r="BS624" s="0"/>
      <c r="BT624" s="0"/>
      <c r="BU624" s="0"/>
      <c r="BV624" s="0"/>
      <c r="BW624" s="0"/>
      <c r="BX624" s="0"/>
      <c r="BY624" s="0"/>
      <c r="BZ624" s="0"/>
      <c r="CA624" s="0"/>
      <c r="CB624" s="0"/>
      <c r="CC624" s="0"/>
      <c r="CD624" s="0"/>
      <c r="CE624" s="0"/>
      <c r="CF624" s="0"/>
      <c r="CG624" s="0"/>
      <c r="CH624" s="0"/>
      <c r="CI624" s="0"/>
      <c r="CJ624" s="0"/>
      <c r="CK624" s="0"/>
      <c r="CL624" s="0"/>
      <c r="CM624" s="0"/>
      <c r="CN624" s="0"/>
      <c r="CO624" s="0"/>
      <c r="CP624" s="0"/>
      <c r="CQ624" s="0"/>
      <c r="CR624" s="0"/>
      <c r="CS624" s="0"/>
      <c r="CT624" s="0"/>
      <c r="CU624" s="0"/>
      <c r="CV624" s="0"/>
      <c r="CW624" s="0"/>
      <c r="CX624" s="0"/>
      <c r="CY624" s="0"/>
      <c r="CZ624" s="0"/>
      <c r="DA624" s="0"/>
      <c r="DB624" s="0"/>
      <c r="DC624" s="0"/>
      <c r="DD624" s="0"/>
      <c r="DE624" s="0"/>
      <c r="DF624" s="0"/>
      <c r="DG624" s="0"/>
      <c r="DH624" s="0"/>
      <c r="DI624" s="0"/>
      <c r="DJ624" s="0"/>
      <c r="DK624" s="0"/>
      <c r="DL624" s="0"/>
      <c r="DM624" s="0"/>
      <c r="DN624" s="0"/>
      <c r="DO624" s="0"/>
      <c r="DP624" s="0"/>
      <c r="DQ624" s="0"/>
      <c r="DR624" s="0"/>
      <c r="DS624" s="0"/>
      <c r="DT624" s="0"/>
      <c r="DU624" s="0"/>
      <c r="DV624" s="0"/>
      <c r="DW624" s="0"/>
      <c r="DX624" s="0"/>
      <c r="DY624" s="0"/>
      <c r="DZ624" s="0"/>
      <c r="EA624" s="0"/>
      <c r="EB624" s="0"/>
      <c r="EC624" s="0"/>
      <c r="ED624" s="0"/>
      <c r="EE624" s="0"/>
      <c r="EF624" s="0"/>
      <c r="EG624" s="0"/>
      <c r="EH624" s="0"/>
      <c r="EI624" s="0"/>
      <c r="EJ624" s="0"/>
      <c r="EK624" s="0"/>
      <c r="EL624" s="0"/>
      <c r="EM624" s="0"/>
      <c r="EN624" s="0"/>
      <c r="EO624" s="0"/>
      <c r="EP624" s="0"/>
      <c r="EQ624" s="0"/>
      <c r="ER624" s="0"/>
      <c r="ES624" s="0"/>
      <c r="ET624" s="0"/>
      <c r="EU624" s="0"/>
      <c r="EV624" s="0"/>
      <c r="EW624" s="0"/>
      <c r="EX624" s="0"/>
      <c r="EY624" s="0"/>
      <c r="EZ624" s="0"/>
      <c r="FA624" s="0"/>
      <c r="FB624" s="0"/>
      <c r="FC624" s="0"/>
      <c r="FD624" s="0"/>
      <c r="FE624" s="0"/>
      <c r="FF624" s="0"/>
      <c r="FG624" s="0"/>
      <c r="FH624" s="0"/>
      <c r="FI624" s="0"/>
      <c r="FJ624" s="0"/>
      <c r="FK624" s="0"/>
      <c r="FL624" s="0"/>
      <c r="FM624" s="0"/>
      <c r="FN624" s="0"/>
      <c r="FO624" s="0"/>
      <c r="FP624" s="0"/>
      <c r="FQ624" s="0"/>
      <c r="FR624" s="0"/>
      <c r="FS624" s="0"/>
      <c r="FT624" s="0"/>
      <c r="FU624" s="0"/>
      <c r="FV624" s="0"/>
      <c r="FW624" s="0"/>
      <c r="FX624" s="0"/>
      <c r="FY624" s="0"/>
      <c r="FZ624" s="0"/>
      <c r="GA624" s="0"/>
      <c r="GB624" s="0"/>
      <c r="GC624" s="0"/>
      <c r="GD624" s="0"/>
      <c r="GE624" s="0"/>
      <c r="GF624" s="0"/>
      <c r="GG624" s="0"/>
      <c r="GH624" s="0"/>
      <c r="GI624" s="0"/>
      <c r="GJ624" s="0"/>
      <c r="GK624" s="0"/>
      <c r="GL624" s="0"/>
      <c r="GM624" s="0"/>
      <c r="GN624" s="0"/>
      <c r="GO624" s="0"/>
      <c r="GP624" s="0"/>
      <c r="GQ624" s="0"/>
      <c r="GR624" s="0"/>
      <c r="GS624" s="0"/>
      <c r="GT624" s="0"/>
      <c r="GU624" s="0"/>
      <c r="GV624" s="0"/>
      <c r="GW624" s="0"/>
      <c r="GX624" s="0"/>
      <c r="GY624" s="0"/>
      <c r="GZ624" s="0"/>
      <c r="HA624" s="0"/>
      <c r="HB624" s="0"/>
      <c r="HC624" s="0"/>
      <c r="HD624" s="0"/>
      <c r="HE624" s="0"/>
      <c r="HF624" s="0"/>
      <c r="HG624" s="0"/>
      <c r="HH624" s="0"/>
      <c r="HI624" s="0"/>
      <c r="HJ624" s="0"/>
      <c r="HK624" s="0"/>
      <c r="HL624" s="0"/>
      <c r="HM624" s="0"/>
      <c r="HN624" s="0"/>
      <c r="HO624" s="0"/>
      <c r="HP624" s="0"/>
      <c r="HQ624" s="0"/>
      <c r="HR624" s="0"/>
      <c r="HS624" s="0"/>
      <c r="HT624" s="0"/>
      <c r="HU624" s="0"/>
      <c r="HV624" s="0"/>
      <c r="HW624" s="0"/>
      <c r="HX624" s="0"/>
      <c r="HY624" s="0"/>
      <c r="HZ624" s="0"/>
      <c r="IA624" s="0"/>
      <c r="IB624" s="0"/>
      <c r="IC624" s="0"/>
      <c r="ID624" s="0"/>
      <c r="IE624" s="0"/>
      <c r="IF624" s="0"/>
      <c r="IG624" s="0"/>
      <c r="IH624" s="0"/>
      <c r="II624" s="0"/>
      <c r="IJ624" s="0"/>
      <c r="IK624" s="0"/>
      <c r="IL624" s="0"/>
      <c r="IM624" s="0"/>
      <c r="IN624" s="0"/>
      <c r="IO624" s="0"/>
      <c r="IP624" s="0"/>
      <c r="IQ624" s="0"/>
      <c r="IR624" s="0"/>
      <c r="IS624" s="0"/>
      <c r="IT624" s="0"/>
      <c r="IU624" s="0"/>
      <c r="IV624" s="0"/>
    </row>
    <row r="625" customFormat="false" ht="20.1" hidden="false" customHeight="true" outlineLevel="0" collapsed="false">
      <c r="A625" s="1075" t="s">
        <v>556</v>
      </c>
      <c r="B625" s="1075"/>
      <c r="C625" s="552" t="s">
        <v>551</v>
      </c>
      <c r="D625" s="926"/>
      <c r="E625" s="1076" t="n">
        <v>0.782122905027933</v>
      </c>
      <c r="F625" s="1077" t="n">
        <f aca="false">D625*E625</f>
        <v>0</v>
      </c>
      <c r="G625" s="935"/>
      <c r="H625" s="935"/>
      <c r="I625" s="1022"/>
      <c r="J625" s="620"/>
      <c r="K625" s="866"/>
      <c r="L625" s="877"/>
      <c r="M625" s="0"/>
      <c r="N625" s="0"/>
      <c r="O625" s="0"/>
      <c r="P625" s="0"/>
      <c r="Q625" s="0"/>
      <c r="R625" s="0"/>
      <c r="S625" s="0"/>
      <c r="T625" s="0"/>
      <c r="U625" s="0"/>
      <c r="V625" s="0"/>
      <c r="W625" s="0"/>
      <c r="X625" s="0"/>
      <c r="Y625" s="0"/>
      <c r="Z625" s="0"/>
      <c r="AA625" s="0"/>
      <c r="AB625" s="0"/>
      <c r="AC625" s="0"/>
      <c r="AD625" s="0"/>
      <c r="AE625" s="0"/>
      <c r="AF625" s="0"/>
      <c r="AG625" s="0"/>
      <c r="AH625" s="0"/>
      <c r="AI625" s="0"/>
      <c r="AJ625" s="0"/>
      <c r="AK625" s="0"/>
      <c r="AL625" s="0"/>
      <c r="AM625" s="0"/>
      <c r="AN625" s="0"/>
      <c r="AO625" s="0"/>
      <c r="AP625" s="0"/>
      <c r="AQ625" s="0"/>
      <c r="AR625" s="0"/>
      <c r="AS625" s="0"/>
      <c r="AT625" s="0"/>
      <c r="AU625" s="0"/>
      <c r="BI625" s="0"/>
      <c r="BJ625" s="0"/>
      <c r="BK625" s="0"/>
      <c r="BL625" s="0"/>
      <c r="BM625" s="0"/>
      <c r="BN625" s="0"/>
      <c r="BO625" s="0"/>
      <c r="BP625" s="0"/>
      <c r="BQ625" s="0"/>
      <c r="BR625" s="0"/>
      <c r="BS625" s="0"/>
      <c r="BT625" s="0"/>
      <c r="BU625" s="0"/>
      <c r="BV625" s="0"/>
      <c r="BW625" s="0"/>
      <c r="BX625" s="0"/>
      <c r="BY625" s="0"/>
      <c r="BZ625" s="0"/>
      <c r="CA625" s="0"/>
      <c r="CB625" s="0"/>
      <c r="CC625" s="0"/>
      <c r="CD625" s="0"/>
      <c r="CE625" s="0"/>
      <c r="CF625" s="0"/>
      <c r="CG625" s="0"/>
      <c r="CH625" s="0"/>
      <c r="CI625" s="0"/>
      <c r="CJ625" s="0"/>
      <c r="CK625" s="0"/>
      <c r="CL625" s="0"/>
      <c r="CM625" s="0"/>
      <c r="CN625" s="0"/>
      <c r="CO625" s="0"/>
      <c r="CP625" s="0"/>
      <c r="CQ625" s="0"/>
      <c r="CR625" s="0"/>
      <c r="CS625" s="0"/>
      <c r="CT625" s="0"/>
      <c r="CU625" s="0"/>
      <c r="CV625" s="0"/>
      <c r="CW625" s="0"/>
      <c r="CX625" s="0"/>
      <c r="CY625" s="0"/>
      <c r="CZ625" s="0"/>
      <c r="DA625" s="0"/>
      <c r="DB625" s="0"/>
      <c r="DC625" s="0"/>
      <c r="DD625" s="0"/>
      <c r="DE625" s="0"/>
      <c r="DF625" s="0"/>
      <c r="DG625" s="0"/>
      <c r="DH625" s="0"/>
      <c r="DI625" s="0"/>
      <c r="DJ625" s="0"/>
      <c r="DK625" s="0"/>
      <c r="DL625" s="0"/>
      <c r="DM625" s="0"/>
      <c r="DN625" s="0"/>
      <c r="DO625" s="0"/>
      <c r="DP625" s="0"/>
      <c r="DQ625" s="0"/>
      <c r="DR625" s="0"/>
      <c r="DS625" s="0"/>
      <c r="DT625" s="0"/>
      <c r="DU625" s="0"/>
      <c r="DV625" s="0"/>
      <c r="DW625" s="0"/>
      <c r="DX625" s="0"/>
      <c r="DY625" s="0"/>
      <c r="DZ625" s="0"/>
      <c r="EA625" s="0"/>
      <c r="EB625" s="0"/>
      <c r="EC625" s="0"/>
      <c r="ED625" s="0"/>
      <c r="EE625" s="0"/>
      <c r="EF625" s="0"/>
      <c r="EG625" s="0"/>
      <c r="EH625" s="0"/>
      <c r="EI625" s="0"/>
      <c r="EJ625" s="0"/>
      <c r="EK625" s="0"/>
      <c r="EL625" s="0"/>
      <c r="EM625" s="0"/>
      <c r="EN625" s="0"/>
      <c r="EO625" s="0"/>
      <c r="EP625" s="0"/>
      <c r="EQ625" s="0"/>
      <c r="ER625" s="0"/>
      <c r="ES625" s="0"/>
      <c r="ET625" s="0"/>
      <c r="EU625" s="0"/>
      <c r="EV625" s="0"/>
      <c r="EW625" s="0"/>
      <c r="EX625" s="0"/>
      <c r="EY625" s="0"/>
      <c r="EZ625" s="0"/>
      <c r="FA625" s="0"/>
      <c r="FB625" s="0"/>
      <c r="FC625" s="0"/>
      <c r="FD625" s="0"/>
      <c r="FE625" s="0"/>
      <c r="FF625" s="0"/>
      <c r="FG625" s="0"/>
      <c r="FH625" s="0"/>
      <c r="FI625" s="0"/>
      <c r="FJ625" s="0"/>
      <c r="FK625" s="0"/>
      <c r="FL625" s="0"/>
      <c r="FM625" s="0"/>
      <c r="FN625" s="0"/>
      <c r="FO625" s="0"/>
      <c r="FP625" s="0"/>
      <c r="FQ625" s="0"/>
      <c r="FR625" s="0"/>
      <c r="FS625" s="0"/>
      <c r="FT625" s="0"/>
      <c r="FU625" s="0"/>
      <c r="FV625" s="0"/>
      <c r="FW625" s="0"/>
      <c r="FX625" s="0"/>
      <c r="FY625" s="0"/>
      <c r="FZ625" s="0"/>
      <c r="GA625" s="0"/>
      <c r="GB625" s="0"/>
      <c r="GC625" s="0"/>
      <c r="GD625" s="0"/>
      <c r="GE625" s="0"/>
      <c r="GF625" s="0"/>
      <c r="GG625" s="0"/>
      <c r="GH625" s="0"/>
      <c r="GI625" s="0"/>
      <c r="GJ625" s="0"/>
      <c r="GK625" s="0"/>
      <c r="GL625" s="0"/>
      <c r="GM625" s="0"/>
      <c r="GN625" s="0"/>
      <c r="GO625" s="0"/>
      <c r="GP625" s="0"/>
      <c r="GQ625" s="0"/>
      <c r="GR625" s="0"/>
      <c r="GS625" s="0"/>
      <c r="GT625" s="0"/>
      <c r="GU625" s="0"/>
      <c r="GV625" s="0"/>
      <c r="GW625" s="0"/>
      <c r="GX625" s="0"/>
      <c r="GY625" s="0"/>
      <c r="GZ625" s="0"/>
      <c r="HA625" s="0"/>
      <c r="HB625" s="0"/>
      <c r="HC625" s="0"/>
      <c r="HD625" s="0"/>
      <c r="HE625" s="0"/>
      <c r="HF625" s="0"/>
      <c r="HG625" s="0"/>
      <c r="HH625" s="0"/>
      <c r="HI625" s="0"/>
      <c r="HJ625" s="0"/>
      <c r="HK625" s="0"/>
      <c r="HL625" s="0"/>
      <c r="HM625" s="0"/>
      <c r="HN625" s="0"/>
      <c r="HO625" s="0"/>
      <c r="HP625" s="0"/>
      <c r="HQ625" s="0"/>
      <c r="HR625" s="0"/>
      <c r="HS625" s="0"/>
      <c r="HT625" s="0"/>
      <c r="HU625" s="0"/>
      <c r="HV625" s="0"/>
      <c r="HW625" s="0"/>
      <c r="HX625" s="0"/>
      <c r="HY625" s="0"/>
      <c r="HZ625" s="0"/>
      <c r="IA625" s="0"/>
      <c r="IB625" s="0"/>
      <c r="IC625" s="0"/>
      <c r="ID625" s="0"/>
      <c r="IE625" s="0"/>
      <c r="IF625" s="0"/>
      <c r="IG625" s="0"/>
      <c r="IH625" s="0"/>
      <c r="II625" s="0"/>
      <c r="IJ625" s="0"/>
      <c r="IK625" s="0"/>
      <c r="IL625" s="0"/>
      <c r="IM625" s="0"/>
      <c r="IN625" s="0"/>
      <c r="IO625" s="0"/>
      <c r="IP625" s="0"/>
      <c r="IQ625" s="0"/>
      <c r="IR625" s="0"/>
      <c r="IS625" s="0"/>
      <c r="IT625" s="0"/>
      <c r="IU625" s="0"/>
      <c r="IV625" s="0"/>
    </row>
    <row r="626" customFormat="false" ht="20.1" hidden="false" customHeight="true" outlineLevel="0" collapsed="false">
      <c r="A626" s="1075" t="s">
        <v>557</v>
      </c>
      <c r="B626" s="1075"/>
      <c r="C626" s="552" t="s">
        <v>183</v>
      </c>
      <c r="D626" s="926" t="n">
        <v>50</v>
      </c>
      <c r="E626" s="1076" t="n">
        <v>1.01061452513966</v>
      </c>
      <c r="F626" s="1077" t="n">
        <f aca="false">D626*E626</f>
        <v>50.530726256983</v>
      </c>
      <c r="G626" s="935"/>
      <c r="H626" s="935"/>
      <c r="I626" s="1022"/>
      <c r="J626" s="620"/>
      <c r="K626" s="866"/>
      <c r="L626" s="877"/>
      <c r="M626" s="0"/>
      <c r="N626" s="0"/>
      <c r="O626" s="0"/>
      <c r="P626" s="0"/>
      <c r="Q626" s="0"/>
      <c r="R626" s="0"/>
      <c r="S626" s="0"/>
      <c r="T626" s="0"/>
      <c r="U626" s="0"/>
      <c r="V626" s="0"/>
      <c r="W626" s="0"/>
      <c r="X626" s="0"/>
      <c r="Y626" s="0"/>
      <c r="Z626" s="0"/>
      <c r="AA626" s="0"/>
      <c r="AB626" s="0"/>
      <c r="AC626" s="0"/>
      <c r="AD626" s="0"/>
      <c r="AE626" s="0"/>
      <c r="AF626" s="0"/>
      <c r="AG626" s="0"/>
      <c r="AH626" s="0"/>
      <c r="AI626" s="0"/>
      <c r="AJ626" s="0"/>
      <c r="AK626" s="0"/>
      <c r="AL626" s="0"/>
      <c r="AM626" s="0"/>
      <c r="AN626" s="0"/>
      <c r="AO626" s="0"/>
      <c r="AP626" s="0"/>
      <c r="AQ626" s="0"/>
      <c r="AR626" s="0"/>
      <c r="AS626" s="0"/>
      <c r="AT626" s="0"/>
      <c r="AU626" s="0"/>
      <c r="BI626" s="0"/>
      <c r="BJ626" s="0"/>
      <c r="BK626" s="0"/>
      <c r="BL626" s="0"/>
      <c r="BM626" s="0"/>
      <c r="BN626" s="0"/>
      <c r="BO626" s="0"/>
      <c r="BP626" s="0"/>
      <c r="BQ626" s="0"/>
      <c r="BR626" s="0"/>
      <c r="BS626" s="0"/>
      <c r="BT626" s="0"/>
      <c r="BU626" s="0"/>
      <c r="BV626" s="0"/>
      <c r="BW626" s="0"/>
      <c r="BX626" s="0"/>
      <c r="BY626" s="0"/>
      <c r="BZ626" s="0"/>
      <c r="CA626" s="0"/>
      <c r="CB626" s="0"/>
      <c r="CC626" s="0"/>
      <c r="CD626" s="0"/>
      <c r="CE626" s="0"/>
      <c r="CF626" s="0"/>
      <c r="CG626" s="0"/>
      <c r="CH626" s="0"/>
      <c r="CI626" s="0"/>
      <c r="CJ626" s="0"/>
      <c r="CK626" s="0"/>
      <c r="CL626" s="0"/>
      <c r="CM626" s="0"/>
      <c r="CN626" s="0"/>
      <c r="CO626" s="0"/>
      <c r="CP626" s="0"/>
      <c r="CQ626" s="0"/>
      <c r="CR626" s="0"/>
      <c r="CS626" s="0"/>
      <c r="CT626" s="0"/>
      <c r="CU626" s="0"/>
      <c r="CV626" s="0"/>
      <c r="CW626" s="0"/>
      <c r="CX626" s="0"/>
      <c r="CY626" s="0"/>
      <c r="CZ626" s="0"/>
      <c r="DA626" s="0"/>
      <c r="DB626" s="0"/>
      <c r="DC626" s="0"/>
      <c r="DD626" s="0"/>
      <c r="DE626" s="0"/>
      <c r="DF626" s="0"/>
      <c r="DG626" s="0"/>
      <c r="DH626" s="0"/>
      <c r="DI626" s="0"/>
      <c r="DJ626" s="0"/>
      <c r="DK626" s="0"/>
      <c r="DL626" s="0"/>
      <c r="DM626" s="0"/>
      <c r="DN626" s="0"/>
      <c r="DO626" s="0"/>
      <c r="DP626" s="0"/>
      <c r="DQ626" s="0"/>
      <c r="DR626" s="0"/>
      <c r="DS626" s="0"/>
      <c r="DT626" s="0"/>
      <c r="DU626" s="0"/>
      <c r="DV626" s="0"/>
      <c r="DW626" s="0"/>
      <c r="DX626" s="0"/>
      <c r="DY626" s="0"/>
      <c r="DZ626" s="0"/>
      <c r="EA626" s="0"/>
      <c r="EB626" s="0"/>
      <c r="EC626" s="0"/>
      <c r="ED626" s="0"/>
      <c r="EE626" s="0"/>
      <c r="EF626" s="0"/>
      <c r="EG626" s="0"/>
      <c r="EH626" s="0"/>
      <c r="EI626" s="0"/>
      <c r="EJ626" s="0"/>
      <c r="EK626" s="0"/>
      <c r="EL626" s="0"/>
      <c r="EM626" s="0"/>
      <c r="EN626" s="0"/>
      <c r="EO626" s="0"/>
      <c r="EP626" s="0"/>
      <c r="EQ626" s="0"/>
      <c r="ER626" s="0"/>
      <c r="ES626" s="0"/>
      <c r="ET626" s="0"/>
      <c r="EU626" s="0"/>
      <c r="EV626" s="0"/>
      <c r="EW626" s="0"/>
      <c r="EX626" s="0"/>
      <c r="EY626" s="0"/>
      <c r="EZ626" s="0"/>
      <c r="FA626" s="0"/>
      <c r="FB626" s="0"/>
      <c r="FC626" s="0"/>
      <c r="FD626" s="0"/>
      <c r="FE626" s="0"/>
      <c r="FF626" s="0"/>
      <c r="FG626" s="0"/>
      <c r="FH626" s="0"/>
      <c r="FI626" s="0"/>
      <c r="FJ626" s="0"/>
      <c r="FK626" s="0"/>
      <c r="FL626" s="0"/>
      <c r="FM626" s="0"/>
      <c r="FN626" s="0"/>
      <c r="FO626" s="0"/>
      <c r="FP626" s="0"/>
      <c r="FQ626" s="0"/>
      <c r="FR626" s="0"/>
      <c r="FS626" s="0"/>
      <c r="FT626" s="0"/>
      <c r="FU626" s="0"/>
      <c r="FV626" s="0"/>
      <c r="FW626" s="0"/>
      <c r="FX626" s="0"/>
      <c r="FY626" s="0"/>
      <c r="FZ626" s="0"/>
      <c r="GA626" s="0"/>
      <c r="GB626" s="0"/>
      <c r="GC626" s="0"/>
      <c r="GD626" s="0"/>
      <c r="GE626" s="0"/>
      <c r="GF626" s="0"/>
      <c r="GG626" s="0"/>
      <c r="GH626" s="0"/>
      <c r="GI626" s="0"/>
      <c r="GJ626" s="0"/>
      <c r="GK626" s="0"/>
      <c r="GL626" s="0"/>
      <c r="GM626" s="0"/>
      <c r="GN626" s="0"/>
      <c r="GO626" s="0"/>
      <c r="GP626" s="0"/>
      <c r="GQ626" s="0"/>
      <c r="GR626" s="0"/>
      <c r="GS626" s="0"/>
      <c r="GT626" s="0"/>
      <c r="GU626" s="0"/>
      <c r="GV626" s="0"/>
      <c r="GW626" s="0"/>
      <c r="GX626" s="0"/>
      <c r="GY626" s="0"/>
      <c r="GZ626" s="0"/>
      <c r="HA626" s="0"/>
      <c r="HB626" s="0"/>
      <c r="HC626" s="0"/>
      <c r="HD626" s="0"/>
      <c r="HE626" s="0"/>
      <c r="HF626" s="0"/>
      <c r="HG626" s="0"/>
      <c r="HH626" s="0"/>
      <c r="HI626" s="0"/>
      <c r="HJ626" s="0"/>
      <c r="HK626" s="0"/>
      <c r="HL626" s="0"/>
      <c r="HM626" s="0"/>
      <c r="HN626" s="0"/>
      <c r="HO626" s="0"/>
      <c r="HP626" s="0"/>
      <c r="HQ626" s="0"/>
      <c r="HR626" s="0"/>
      <c r="HS626" s="0"/>
      <c r="HT626" s="0"/>
      <c r="HU626" s="0"/>
      <c r="HV626" s="0"/>
      <c r="HW626" s="0"/>
      <c r="HX626" s="0"/>
      <c r="HY626" s="0"/>
      <c r="HZ626" s="0"/>
      <c r="IA626" s="0"/>
      <c r="IB626" s="0"/>
      <c r="IC626" s="0"/>
      <c r="ID626" s="0"/>
      <c r="IE626" s="0"/>
      <c r="IF626" s="0"/>
      <c r="IG626" s="0"/>
      <c r="IH626" s="0"/>
      <c r="II626" s="0"/>
      <c r="IJ626" s="0"/>
      <c r="IK626" s="0"/>
      <c r="IL626" s="0"/>
      <c r="IM626" s="0"/>
      <c r="IN626" s="0"/>
      <c r="IO626" s="0"/>
      <c r="IP626" s="0"/>
      <c r="IQ626" s="0"/>
      <c r="IR626" s="0"/>
      <c r="IS626" s="0"/>
      <c r="IT626" s="0"/>
      <c r="IU626" s="0"/>
      <c r="IV626" s="0"/>
    </row>
    <row r="627" customFormat="false" ht="20.1" hidden="false" customHeight="true" outlineLevel="0" collapsed="false">
      <c r="A627" s="1075" t="s">
        <v>558</v>
      </c>
      <c r="B627" s="1075"/>
      <c r="C627" s="552" t="s">
        <v>551</v>
      </c>
      <c r="D627" s="926"/>
      <c r="E627" s="1076" t="n">
        <v>0.53072625698324</v>
      </c>
      <c r="F627" s="1082" t="n">
        <f aca="false">D627*E627</f>
        <v>0</v>
      </c>
      <c r="G627" s="935"/>
      <c r="H627" s="1079"/>
      <c r="I627" s="1022"/>
      <c r="J627" s="620"/>
      <c r="K627" s="866"/>
      <c r="L627" s="877"/>
      <c r="M627" s="0"/>
      <c r="N627" s="0"/>
      <c r="O627" s="0"/>
      <c r="P627" s="0"/>
      <c r="Q627" s="0"/>
      <c r="R627" s="0"/>
      <c r="S627" s="0"/>
      <c r="T627" s="0"/>
      <c r="U627" s="0"/>
      <c r="V627" s="0"/>
      <c r="W627" s="0"/>
      <c r="X627" s="0"/>
      <c r="Y627" s="0"/>
      <c r="Z627" s="0"/>
      <c r="AA627" s="0"/>
      <c r="AB627" s="0"/>
      <c r="AC627" s="0"/>
      <c r="AD627" s="0"/>
      <c r="AE627" s="0"/>
      <c r="AF627" s="0"/>
      <c r="AG627" s="0"/>
      <c r="AH627" s="0"/>
      <c r="AI627" s="0"/>
      <c r="AJ627" s="0"/>
      <c r="AK627" s="0"/>
      <c r="AL627" s="0"/>
      <c r="AM627" s="0"/>
      <c r="AN627" s="0"/>
      <c r="AO627" s="0"/>
      <c r="AP627" s="0"/>
      <c r="AQ627" s="0"/>
      <c r="AR627" s="0"/>
      <c r="AS627" s="0"/>
      <c r="AT627" s="0"/>
      <c r="AU627" s="0"/>
      <c r="BI627" s="0"/>
      <c r="BJ627" s="0"/>
      <c r="BK627" s="0"/>
      <c r="BL627" s="0"/>
      <c r="BM627" s="0"/>
      <c r="BN627" s="0"/>
      <c r="BO627" s="0"/>
      <c r="BP627" s="0"/>
      <c r="BQ627" s="0"/>
      <c r="BR627" s="0"/>
      <c r="BS627" s="0"/>
      <c r="BT627" s="0"/>
      <c r="BU627" s="0"/>
      <c r="BV627" s="0"/>
      <c r="BW627" s="0"/>
      <c r="BX627" s="0"/>
      <c r="BY627" s="0"/>
      <c r="BZ627" s="0"/>
      <c r="CA627" s="0"/>
      <c r="CB627" s="0"/>
      <c r="CC627" s="0"/>
      <c r="CD627" s="0"/>
      <c r="CE627" s="0"/>
      <c r="CF627" s="0"/>
      <c r="CG627" s="0"/>
      <c r="CH627" s="0"/>
      <c r="CI627" s="0"/>
      <c r="CJ627" s="0"/>
      <c r="CK627" s="0"/>
      <c r="CL627" s="0"/>
      <c r="CM627" s="0"/>
      <c r="CN627" s="0"/>
      <c r="CO627" s="0"/>
      <c r="CP627" s="0"/>
      <c r="CQ627" s="0"/>
      <c r="CR627" s="0"/>
      <c r="CS627" s="0"/>
      <c r="CT627" s="0"/>
      <c r="CU627" s="0"/>
      <c r="CV627" s="0"/>
      <c r="CW627" s="0"/>
      <c r="CX627" s="0"/>
      <c r="CY627" s="0"/>
      <c r="CZ627" s="0"/>
      <c r="DA627" s="0"/>
      <c r="DB627" s="0"/>
      <c r="DC627" s="0"/>
      <c r="DD627" s="0"/>
      <c r="DE627" s="0"/>
      <c r="DF627" s="0"/>
      <c r="DG627" s="0"/>
      <c r="DH627" s="0"/>
      <c r="DI627" s="0"/>
      <c r="DJ627" s="0"/>
      <c r="DK627" s="0"/>
      <c r="DL627" s="0"/>
      <c r="DM627" s="0"/>
      <c r="DN627" s="0"/>
      <c r="DO627" s="0"/>
      <c r="DP627" s="0"/>
      <c r="DQ627" s="0"/>
      <c r="DR627" s="0"/>
      <c r="DS627" s="0"/>
      <c r="DT627" s="0"/>
      <c r="DU627" s="0"/>
      <c r="DV627" s="0"/>
      <c r="DW627" s="0"/>
      <c r="DX627" s="0"/>
      <c r="DY627" s="0"/>
      <c r="DZ627" s="0"/>
      <c r="EA627" s="0"/>
      <c r="EB627" s="0"/>
      <c r="EC627" s="0"/>
      <c r="ED627" s="0"/>
      <c r="EE627" s="0"/>
      <c r="EF627" s="0"/>
      <c r="EG627" s="0"/>
      <c r="EH627" s="0"/>
      <c r="EI627" s="0"/>
      <c r="EJ627" s="0"/>
      <c r="EK627" s="0"/>
      <c r="EL627" s="0"/>
      <c r="EM627" s="0"/>
      <c r="EN627" s="0"/>
      <c r="EO627" s="0"/>
      <c r="EP627" s="0"/>
      <c r="EQ627" s="0"/>
      <c r="ER627" s="0"/>
      <c r="ES627" s="0"/>
      <c r="ET627" s="0"/>
      <c r="EU627" s="0"/>
      <c r="EV627" s="0"/>
      <c r="EW627" s="0"/>
      <c r="EX627" s="0"/>
      <c r="EY627" s="0"/>
      <c r="EZ627" s="0"/>
      <c r="FA627" s="0"/>
      <c r="FB627" s="0"/>
      <c r="FC627" s="0"/>
      <c r="FD627" s="0"/>
      <c r="FE627" s="0"/>
      <c r="FF627" s="0"/>
      <c r="FG627" s="0"/>
      <c r="FH627" s="0"/>
      <c r="FI627" s="0"/>
      <c r="FJ627" s="0"/>
      <c r="FK627" s="0"/>
      <c r="FL627" s="0"/>
      <c r="FM627" s="0"/>
      <c r="FN627" s="0"/>
      <c r="FO627" s="0"/>
      <c r="FP627" s="0"/>
      <c r="FQ627" s="0"/>
      <c r="FR627" s="0"/>
      <c r="FS627" s="0"/>
      <c r="FT627" s="0"/>
      <c r="FU627" s="0"/>
      <c r="FV627" s="0"/>
      <c r="FW627" s="0"/>
      <c r="FX627" s="0"/>
      <c r="FY627" s="0"/>
      <c r="FZ627" s="0"/>
      <c r="GA627" s="0"/>
      <c r="GB627" s="0"/>
      <c r="GC627" s="0"/>
      <c r="GD627" s="0"/>
      <c r="GE627" s="0"/>
      <c r="GF627" s="0"/>
      <c r="GG627" s="0"/>
      <c r="GH627" s="0"/>
      <c r="GI627" s="0"/>
      <c r="GJ627" s="0"/>
      <c r="GK627" s="0"/>
      <c r="GL627" s="0"/>
      <c r="GM627" s="0"/>
      <c r="GN627" s="0"/>
      <c r="GO627" s="0"/>
      <c r="GP627" s="0"/>
      <c r="GQ627" s="0"/>
      <c r="GR627" s="0"/>
      <c r="GS627" s="0"/>
      <c r="GT627" s="0"/>
      <c r="GU627" s="0"/>
      <c r="GV627" s="0"/>
      <c r="GW627" s="0"/>
      <c r="GX627" s="0"/>
      <c r="GY627" s="0"/>
      <c r="GZ627" s="0"/>
      <c r="HA627" s="0"/>
      <c r="HB627" s="0"/>
      <c r="HC627" s="0"/>
      <c r="HD627" s="0"/>
      <c r="HE627" s="0"/>
      <c r="HF627" s="0"/>
      <c r="HG627" s="0"/>
      <c r="HH627" s="0"/>
      <c r="HI627" s="0"/>
      <c r="HJ627" s="0"/>
      <c r="HK627" s="0"/>
      <c r="HL627" s="0"/>
      <c r="HM627" s="0"/>
      <c r="HN627" s="0"/>
      <c r="HO627" s="0"/>
      <c r="HP627" s="0"/>
      <c r="HQ627" s="0"/>
      <c r="HR627" s="0"/>
      <c r="HS627" s="0"/>
      <c r="HT627" s="0"/>
      <c r="HU627" s="0"/>
      <c r="HV627" s="0"/>
      <c r="HW627" s="0"/>
      <c r="HX627" s="0"/>
      <c r="HY627" s="0"/>
      <c r="HZ627" s="0"/>
      <c r="IA627" s="0"/>
      <c r="IB627" s="0"/>
      <c r="IC627" s="0"/>
      <c r="ID627" s="0"/>
      <c r="IE627" s="0"/>
      <c r="IF627" s="0"/>
      <c r="IG627" s="0"/>
      <c r="IH627" s="0"/>
      <c r="II627" s="0"/>
      <c r="IJ627" s="0"/>
      <c r="IK627" s="0"/>
      <c r="IL627" s="0"/>
      <c r="IM627" s="0"/>
      <c r="IN627" s="0"/>
      <c r="IO627" s="0"/>
      <c r="IP627" s="0"/>
      <c r="IQ627" s="0"/>
      <c r="IR627" s="0"/>
      <c r="IS627" s="0"/>
      <c r="IT627" s="0"/>
      <c r="IU627" s="0"/>
      <c r="IV627" s="0"/>
    </row>
    <row r="628" customFormat="false" ht="20.1" hidden="false" customHeight="true" outlineLevel="0" collapsed="false">
      <c r="A628" s="1083"/>
      <c r="B628" s="1084"/>
      <c r="C628" s="1085" t="s">
        <v>1417</v>
      </c>
      <c r="D628" s="1085"/>
      <c r="E628" s="1085"/>
      <c r="F628" s="1086" t="n">
        <f aca="false">SUM(F618:F627)</f>
        <v>16003.6033519553</v>
      </c>
      <c r="G628" s="1087"/>
      <c r="H628" s="19"/>
      <c r="I628" s="1022"/>
      <c r="J628" s="620"/>
      <c r="K628" s="866"/>
      <c r="L628" s="877"/>
      <c r="M628" s="0"/>
      <c r="N628" s="0"/>
      <c r="O628" s="0"/>
      <c r="P628" s="0"/>
      <c r="Q628" s="0"/>
      <c r="R628" s="0"/>
      <c r="S628" s="0"/>
      <c r="T628" s="0"/>
      <c r="U628" s="0"/>
      <c r="V628" s="0"/>
      <c r="W628" s="0"/>
      <c r="X628" s="0"/>
      <c r="Y628" s="0"/>
      <c r="Z628" s="0"/>
      <c r="AA628" s="0"/>
      <c r="AB628" s="0"/>
      <c r="AC628" s="0"/>
      <c r="AD628" s="0"/>
      <c r="AE628" s="0"/>
      <c r="AF628" s="0"/>
      <c r="AG628" s="0"/>
      <c r="AH628" s="0"/>
      <c r="AI628" s="0"/>
      <c r="AJ628" s="0"/>
      <c r="AK628" s="0"/>
      <c r="AL628" s="0"/>
      <c r="AM628" s="0"/>
      <c r="AN628" s="0"/>
      <c r="AO628" s="0"/>
      <c r="AP628" s="0"/>
      <c r="AQ628" s="0"/>
      <c r="AR628" s="0"/>
      <c r="AS628" s="0"/>
      <c r="AT628" s="0"/>
      <c r="AU628" s="0"/>
      <c r="BI628" s="0"/>
      <c r="BJ628" s="0"/>
      <c r="BK628" s="0"/>
      <c r="BL628" s="0"/>
      <c r="BM628" s="0"/>
      <c r="BN628" s="0"/>
      <c r="BO628" s="0"/>
      <c r="BP628" s="0"/>
      <c r="BQ628" s="0"/>
      <c r="BR628" s="0"/>
      <c r="BS628" s="0"/>
      <c r="BT628" s="0"/>
      <c r="BU628" s="0"/>
      <c r="BV628" s="0"/>
      <c r="BW628" s="0"/>
      <c r="BX628" s="0"/>
      <c r="BY628" s="0"/>
      <c r="BZ628" s="0"/>
      <c r="CA628" s="0"/>
      <c r="CB628" s="0"/>
      <c r="CC628" s="0"/>
      <c r="CD628" s="0"/>
      <c r="CE628" s="0"/>
      <c r="CF628" s="0"/>
      <c r="CG628" s="0"/>
      <c r="CH628" s="0"/>
      <c r="CI628" s="0"/>
      <c r="CJ628" s="0"/>
      <c r="CK628" s="0"/>
      <c r="CL628" s="0"/>
      <c r="CM628" s="0"/>
      <c r="CN628" s="0"/>
      <c r="CO628" s="0"/>
      <c r="CP628" s="0"/>
      <c r="CQ628" s="0"/>
      <c r="CR628" s="0"/>
      <c r="CS628" s="0"/>
      <c r="CT628" s="0"/>
      <c r="CU628" s="0"/>
      <c r="CV628" s="0"/>
      <c r="CW628" s="0"/>
      <c r="CX628" s="0"/>
      <c r="CY628" s="0"/>
      <c r="CZ628" s="0"/>
      <c r="DA628" s="0"/>
      <c r="DB628" s="0"/>
      <c r="DC628" s="0"/>
      <c r="DD628" s="0"/>
      <c r="DE628" s="0"/>
      <c r="DF628" s="0"/>
      <c r="DG628" s="0"/>
      <c r="DH628" s="0"/>
      <c r="DI628" s="0"/>
      <c r="DJ628" s="0"/>
      <c r="DK628" s="0"/>
      <c r="DL628" s="0"/>
      <c r="DM628" s="0"/>
      <c r="DN628" s="0"/>
      <c r="DO628" s="0"/>
      <c r="DP628" s="0"/>
      <c r="DQ628" s="0"/>
      <c r="DR628" s="0"/>
      <c r="DS628" s="0"/>
      <c r="DT628" s="0"/>
      <c r="DU628" s="0"/>
      <c r="DV628" s="0"/>
      <c r="DW628" s="0"/>
      <c r="DX628" s="0"/>
      <c r="DY628" s="0"/>
      <c r="DZ628" s="0"/>
      <c r="EA628" s="0"/>
      <c r="EB628" s="0"/>
      <c r="EC628" s="0"/>
      <c r="ED628" s="0"/>
      <c r="EE628" s="0"/>
      <c r="EF628" s="0"/>
      <c r="EG628" s="0"/>
      <c r="EH628" s="0"/>
      <c r="EI628" s="0"/>
      <c r="EJ628" s="0"/>
      <c r="EK628" s="0"/>
      <c r="EL628" s="0"/>
      <c r="EM628" s="0"/>
      <c r="EN628" s="0"/>
      <c r="EO628" s="0"/>
      <c r="EP628" s="0"/>
      <c r="EQ628" s="0"/>
      <c r="ER628" s="0"/>
      <c r="ES628" s="0"/>
      <c r="ET628" s="0"/>
      <c r="EU628" s="0"/>
      <c r="EV628" s="0"/>
      <c r="EW628" s="0"/>
      <c r="EX628" s="0"/>
      <c r="EY628" s="0"/>
      <c r="EZ628" s="0"/>
      <c r="FA628" s="0"/>
      <c r="FB628" s="0"/>
      <c r="FC628" s="0"/>
      <c r="FD628" s="0"/>
      <c r="FE628" s="0"/>
      <c r="FF628" s="0"/>
      <c r="FG628" s="0"/>
      <c r="FH628" s="0"/>
      <c r="FI628" s="0"/>
      <c r="FJ628" s="0"/>
      <c r="FK628" s="0"/>
      <c r="FL628" s="0"/>
      <c r="FM628" s="0"/>
      <c r="FN628" s="0"/>
      <c r="FO628" s="0"/>
      <c r="FP628" s="0"/>
      <c r="FQ628" s="0"/>
      <c r="FR628" s="0"/>
      <c r="FS628" s="0"/>
      <c r="FT628" s="0"/>
      <c r="FU628" s="0"/>
      <c r="FV628" s="0"/>
      <c r="FW628" s="0"/>
      <c r="FX628" s="0"/>
      <c r="FY628" s="0"/>
      <c r="FZ628" s="0"/>
      <c r="GA628" s="0"/>
      <c r="GB628" s="0"/>
      <c r="GC628" s="0"/>
      <c r="GD628" s="0"/>
      <c r="GE628" s="0"/>
      <c r="GF628" s="0"/>
      <c r="GG628" s="0"/>
      <c r="GH628" s="0"/>
      <c r="GI628" s="0"/>
      <c r="GJ628" s="0"/>
      <c r="GK628" s="0"/>
      <c r="GL628" s="0"/>
      <c r="GM628" s="0"/>
      <c r="GN628" s="0"/>
      <c r="GO628" s="0"/>
      <c r="GP628" s="0"/>
      <c r="GQ628" s="0"/>
      <c r="GR628" s="0"/>
      <c r="GS628" s="0"/>
      <c r="GT628" s="0"/>
      <c r="GU628" s="0"/>
      <c r="GV628" s="0"/>
      <c r="GW628" s="0"/>
      <c r="GX628" s="0"/>
      <c r="GY628" s="0"/>
      <c r="GZ628" s="0"/>
      <c r="HA628" s="0"/>
      <c r="HB628" s="0"/>
      <c r="HC628" s="0"/>
      <c r="HD628" s="0"/>
      <c r="HE628" s="0"/>
      <c r="HF628" s="0"/>
      <c r="HG628" s="0"/>
      <c r="HH628" s="0"/>
      <c r="HI628" s="0"/>
      <c r="HJ628" s="0"/>
      <c r="HK628" s="0"/>
      <c r="HL628" s="0"/>
      <c r="HM628" s="0"/>
      <c r="HN628" s="0"/>
      <c r="HO628" s="0"/>
      <c r="HP628" s="0"/>
      <c r="HQ628" s="0"/>
      <c r="HR628" s="0"/>
      <c r="HS628" s="0"/>
      <c r="HT628" s="0"/>
      <c r="HU628" s="0"/>
      <c r="HV628" s="0"/>
      <c r="HW628" s="0"/>
      <c r="HX628" s="0"/>
      <c r="HY628" s="0"/>
      <c r="HZ628" s="0"/>
      <c r="IA628" s="0"/>
      <c r="IB628" s="0"/>
      <c r="IC628" s="0"/>
      <c r="ID628" s="0"/>
      <c r="IE628" s="0"/>
      <c r="IF628" s="0"/>
      <c r="IG628" s="0"/>
      <c r="IH628" s="0"/>
      <c r="II628" s="0"/>
      <c r="IJ628" s="0"/>
      <c r="IK628" s="0"/>
      <c r="IL628" s="0"/>
      <c r="IM628" s="0"/>
      <c r="IN628" s="0"/>
      <c r="IO628" s="0"/>
      <c r="IP628" s="0"/>
      <c r="IQ628" s="0"/>
      <c r="IR628" s="0"/>
      <c r="IS628" s="0"/>
      <c r="IT628" s="0"/>
      <c r="IU628" s="0"/>
      <c r="IV628" s="0"/>
    </row>
    <row r="629" customFormat="false" ht="20.1" hidden="false" customHeight="true" outlineLevel="0" collapsed="false">
      <c r="A629" s="1088" t="s">
        <v>1418</v>
      </c>
      <c r="B629" s="1088"/>
      <c r="C629" s="1088"/>
      <c r="D629" s="1088"/>
      <c r="E629" s="1088"/>
      <c r="F629" s="1088"/>
      <c r="G629" s="0"/>
      <c r="H629" s="19"/>
      <c r="I629" s="0"/>
      <c r="J629" s="0"/>
      <c r="K629" s="1089"/>
      <c r="L629" s="877"/>
      <c r="M629" s="0"/>
      <c r="N629" s="0"/>
      <c r="O629" s="0"/>
      <c r="P629" s="0"/>
      <c r="Q629" s="0"/>
      <c r="R629" s="0"/>
      <c r="S629" s="0"/>
      <c r="T629" s="0"/>
      <c r="U629" s="0"/>
      <c r="V629" s="0"/>
      <c r="W629" s="0"/>
      <c r="X629" s="0"/>
      <c r="Y629" s="0"/>
      <c r="Z629" s="0"/>
      <c r="AA629" s="0"/>
      <c r="AB629" s="0"/>
      <c r="AC629" s="0"/>
      <c r="AD629" s="0"/>
      <c r="AE629" s="0"/>
      <c r="AF629" s="0"/>
      <c r="AG629" s="0"/>
      <c r="AH629" s="0"/>
      <c r="AI629" s="0"/>
      <c r="AJ629" s="0"/>
      <c r="AK629" s="0"/>
      <c r="AL629" s="0"/>
      <c r="AM629" s="0"/>
      <c r="AN629" s="0"/>
      <c r="AO629" s="0"/>
      <c r="AP629" s="0"/>
      <c r="AQ629" s="0"/>
      <c r="AR629" s="0"/>
      <c r="AS629" s="0"/>
      <c r="AT629" s="0"/>
      <c r="AU629" s="0"/>
      <c r="BI629" s="0"/>
      <c r="BJ629" s="0"/>
      <c r="BK629" s="0"/>
      <c r="BL629" s="0"/>
      <c r="BM629" s="0"/>
      <c r="BN629" s="0"/>
      <c r="BO629" s="0"/>
      <c r="BP629" s="0"/>
      <c r="BQ629" s="0"/>
      <c r="BR629" s="0"/>
      <c r="BS629" s="0"/>
      <c r="BT629" s="0"/>
      <c r="BU629" s="0"/>
      <c r="BV629" s="0"/>
      <c r="BW629" s="0"/>
      <c r="BX629" s="0"/>
      <c r="BY629" s="0"/>
      <c r="BZ629" s="0"/>
      <c r="CA629" s="0"/>
      <c r="CB629" s="0"/>
      <c r="CC629" s="0"/>
      <c r="CD629" s="0"/>
      <c r="CE629" s="0"/>
      <c r="CF629" s="0"/>
      <c r="CG629" s="0"/>
      <c r="CH629" s="0"/>
      <c r="CI629" s="0"/>
      <c r="CJ629" s="0"/>
      <c r="CK629" s="0"/>
      <c r="CL629" s="0"/>
      <c r="CM629" s="0"/>
      <c r="CN629" s="0"/>
      <c r="CO629" s="0"/>
      <c r="CP629" s="0"/>
      <c r="CQ629" s="0"/>
      <c r="CR629" s="0"/>
      <c r="CS629" s="0"/>
      <c r="CT629" s="0"/>
      <c r="CU629" s="0"/>
      <c r="CV629" s="0"/>
      <c r="CW629" s="0"/>
      <c r="CX629" s="0"/>
      <c r="CY629" s="0"/>
      <c r="CZ629" s="0"/>
      <c r="DA629" s="0"/>
      <c r="DB629" s="0"/>
      <c r="DC629" s="0"/>
      <c r="DD629" s="0"/>
      <c r="DE629" s="0"/>
      <c r="DF629" s="0"/>
      <c r="DG629" s="0"/>
      <c r="DH629" s="0"/>
      <c r="DI629" s="0"/>
      <c r="DJ629" s="0"/>
      <c r="DK629" s="0"/>
      <c r="DL629" s="0"/>
      <c r="DM629" s="0"/>
      <c r="DN629" s="0"/>
      <c r="DO629" s="0"/>
      <c r="DP629" s="0"/>
      <c r="DQ629" s="0"/>
      <c r="DR629" s="0"/>
      <c r="DS629" s="0"/>
      <c r="DT629" s="0"/>
      <c r="DU629" s="0"/>
      <c r="DV629" s="0"/>
      <c r="DW629" s="0"/>
      <c r="DX629" s="0"/>
      <c r="DY629" s="0"/>
      <c r="DZ629" s="0"/>
      <c r="EA629" s="0"/>
      <c r="EB629" s="0"/>
      <c r="EC629" s="0"/>
      <c r="ED629" s="0"/>
      <c r="EE629" s="0"/>
      <c r="EF629" s="0"/>
      <c r="EG629" s="0"/>
      <c r="EH629" s="0"/>
      <c r="EI629" s="0"/>
      <c r="EJ629" s="0"/>
      <c r="EK629" s="0"/>
      <c r="EL629" s="0"/>
      <c r="EM629" s="0"/>
      <c r="EN629" s="0"/>
      <c r="EO629" s="0"/>
      <c r="EP629" s="0"/>
      <c r="EQ629" s="0"/>
      <c r="ER629" s="0"/>
      <c r="ES629" s="0"/>
      <c r="ET629" s="0"/>
      <c r="EU629" s="0"/>
      <c r="EV629" s="0"/>
      <c r="EW629" s="0"/>
      <c r="EX629" s="0"/>
      <c r="EY629" s="0"/>
      <c r="EZ629" s="0"/>
      <c r="FA629" s="0"/>
      <c r="FB629" s="0"/>
      <c r="FC629" s="0"/>
      <c r="FD629" s="0"/>
      <c r="FE629" s="0"/>
      <c r="FF629" s="0"/>
      <c r="FG629" s="0"/>
      <c r="FH629" s="0"/>
      <c r="FI629" s="0"/>
      <c r="FJ629" s="0"/>
      <c r="FK629" s="0"/>
      <c r="FL629" s="0"/>
      <c r="FM629" s="0"/>
      <c r="FN629" s="0"/>
      <c r="FO629" s="0"/>
      <c r="FP629" s="0"/>
      <c r="FQ629" s="0"/>
      <c r="FR629" s="0"/>
      <c r="FS629" s="0"/>
      <c r="FT629" s="0"/>
      <c r="FU629" s="0"/>
      <c r="FV629" s="0"/>
      <c r="FW629" s="0"/>
      <c r="FX629" s="0"/>
      <c r="FY629" s="0"/>
      <c r="FZ629" s="0"/>
      <c r="GA629" s="0"/>
      <c r="GB629" s="0"/>
      <c r="GC629" s="0"/>
      <c r="GD629" s="0"/>
      <c r="GE629" s="0"/>
      <c r="GF629" s="0"/>
      <c r="GG629" s="0"/>
      <c r="GH629" s="0"/>
      <c r="GI629" s="0"/>
      <c r="GJ629" s="0"/>
      <c r="GK629" s="0"/>
      <c r="GL629" s="0"/>
      <c r="GM629" s="0"/>
      <c r="GN629" s="0"/>
      <c r="GO629" s="0"/>
      <c r="GP629" s="0"/>
      <c r="GQ629" s="0"/>
      <c r="GR629" s="0"/>
      <c r="GS629" s="0"/>
      <c r="GT629" s="0"/>
      <c r="GU629" s="0"/>
      <c r="GV629" s="0"/>
      <c r="GW629" s="0"/>
      <c r="GX629" s="0"/>
      <c r="GY629" s="0"/>
      <c r="GZ629" s="0"/>
      <c r="HA629" s="0"/>
      <c r="HB629" s="0"/>
      <c r="HC629" s="0"/>
      <c r="HD629" s="0"/>
      <c r="HE629" s="0"/>
      <c r="HF629" s="0"/>
      <c r="HG629" s="0"/>
      <c r="HH629" s="0"/>
      <c r="HI629" s="0"/>
      <c r="HJ629" s="0"/>
      <c r="HK629" s="0"/>
      <c r="HL629" s="0"/>
      <c r="HM629" s="0"/>
      <c r="HN629" s="0"/>
      <c r="HO629" s="0"/>
      <c r="HP629" s="0"/>
      <c r="HQ629" s="0"/>
      <c r="HR629" s="0"/>
      <c r="HS629" s="0"/>
      <c r="HT629" s="0"/>
      <c r="HU629" s="0"/>
      <c r="HV629" s="0"/>
      <c r="HW629" s="0"/>
      <c r="HX629" s="0"/>
      <c r="HY629" s="0"/>
      <c r="HZ629" s="0"/>
      <c r="IA629" s="0"/>
      <c r="IB629" s="0"/>
      <c r="IC629" s="0"/>
      <c r="ID629" s="0"/>
      <c r="IE629" s="0"/>
      <c r="IF629" s="0"/>
      <c r="IG629" s="0"/>
      <c r="IH629" s="0"/>
      <c r="II629" s="0"/>
      <c r="IJ629" s="0"/>
      <c r="IK629" s="0"/>
      <c r="IL629" s="0"/>
      <c r="IM629" s="0"/>
      <c r="IN629" s="0"/>
      <c r="IO629" s="0"/>
      <c r="IP629" s="0"/>
      <c r="IQ629" s="0"/>
      <c r="IR629" s="0"/>
      <c r="IS629" s="0"/>
      <c r="IT629" s="0"/>
      <c r="IU629" s="0"/>
      <c r="IV629" s="0"/>
    </row>
    <row r="630" customFormat="false" ht="25.5" hidden="false" customHeight="true" outlineLevel="0" collapsed="false">
      <c r="A630" s="1069" t="s">
        <v>1409</v>
      </c>
      <c r="B630" s="1069"/>
      <c r="C630" s="1070" t="s">
        <v>1410</v>
      </c>
      <c r="D630" s="1090" t="s">
        <v>1419</v>
      </c>
      <c r="E630" s="1091" t="s">
        <v>1412</v>
      </c>
      <c r="F630" s="469" t="s">
        <v>1420</v>
      </c>
      <c r="H630" s="55"/>
      <c r="I630" s="1092" t="s">
        <v>1421</v>
      </c>
      <c r="J630" s="1093" t="n">
        <f aca="false">F628+F641</f>
        <v>39258.5173184357</v>
      </c>
      <c r="K630" s="1089"/>
      <c r="L630" s="877"/>
      <c r="M630" s="0"/>
      <c r="N630" s="0"/>
      <c r="O630" s="0"/>
      <c r="P630" s="0"/>
      <c r="Q630" s="0"/>
      <c r="R630" s="0"/>
      <c r="S630" s="0"/>
      <c r="T630" s="0"/>
      <c r="U630" s="0"/>
      <c r="V630" s="0"/>
      <c r="W630" s="0"/>
      <c r="X630" s="0"/>
      <c r="Y630" s="0"/>
      <c r="Z630" s="0"/>
      <c r="AA630" s="0"/>
      <c r="AB630" s="0"/>
      <c r="AC630" s="0"/>
      <c r="AD630" s="0"/>
      <c r="AE630" s="0"/>
      <c r="AF630" s="0"/>
      <c r="AG630" s="0"/>
      <c r="AH630" s="0"/>
      <c r="AI630" s="0"/>
      <c r="AJ630" s="0"/>
      <c r="AK630" s="0"/>
      <c r="AL630" s="0"/>
      <c r="AM630" s="0"/>
      <c r="AN630" s="0"/>
      <c r="AO630" s="0"/>
      <c r="AP630" s="0"/>
      <c r="AQ630" s="0"/>
      <c r="AR630" s="0"/>
      <c r="AS630" s="0"/>
      <c r="AT630" s="0"/>
      <c r="AU630" s="0"/>
      <c r="BI630" s="0"/>
      <c r="BJ630" s="0"/>
      <c r="BK630" s="0"/>
      <c r="BL630" s="0"/>
      <c r="BM630" s="0"/>
      <c r="BN630" s="0"/>
      <c r="BO630" s="0"/>
      <c r="BP630" s="0"/>
      <c r="BQ630" s="0"/>
      <c r="BR630" s="0"/>
      <c r="BS630" s="0"/>
      <c r="BT630" s="0"/>
      <c r="BU630" s="0"/>
      <c r="BV630" s="0"/>
      <c r="BW630" s="0"/>
      <c r="BX630" s="0"/>
      <c r="BY630" s="0"/>
      <c r="BZ630" s="0"/>
      <c r="CA630" s="0"/>
      <c r="CB630" s="0"/>
      <c r="CC630" s="0"/>
      <c r="CD630" s="0"/>
      <c r="CE630" s="0"/>
      <c r="CF630" s="0"/>
      <c r="CG630" s="0"/>
      <c r="CH630" s="0"/>
      <c r="CI630" s="0"/>
      <c r="CJ630" s="0"/>
      <c r="CK630" s="0"/>
      <c r="CL630" s="0"/>
      <c r="CM630" s="0"/>
      <c r="CN630" s="0"/>
      <c r="CO630" s="0"/>
      <c r="CP630" s="0"/>
      <c r="CQ630" s="0"/>
      <c r="CR630" s="0"/>
      <c r="CS630" s="0"/>
      <c r="CT630" s="0"/>
      <c r="CU630" s="0"/>
      <c r="CV630" s="0"/>
      <c r="CW630" s="0"/>
      <c r="CX630" s="0"/>
      <c r="CY630" s="0"/>
      <c r="CZ630" s="0"/>
      <c r="DA630" s="0"/>
      <c r="DB630" s="0"/>
      <c r="DC630" s="0"/>
      <c r="DD630" s="0"/>
      <c r="DE630" s="0"/>
      <c r="DF630" s="0"/>
      <c r="DG630" s="0"/>
      <c r="DH630" s="0"/>
      <c r="DI630" s="0"/>
      <c r="DJ630" s="0"/>
      <c r="DK630" s="0"/>
      <c r="DL630" s="0"/>
      <c r="DM630" s="0"/>
      <c r="DN630" s="0"/>
      <c r="DO630" s="0"/>
      <c r="DP630" s="0"/>
      <c r="DQ630" s="0"/>
      <c r="DR630" s="0"/>
      <c r="DS630" s="0"/>
      <c r="DT630" s="0"/>
      <c r="DU630" s="0"/>
      <c r="DV630" s="0"/>
      <c r="DW630" s="0"/>
      <c r="DX630" s="0"/>
      <c r="DY630" s="0"/>
      <c r="DZ630" s="0"/>
      <c r="EA630" s="0"/>
      <c r="EB630" s="0"/>
      <c r="EC630" s="0"/>
      <c r="ED630" s="0"/>
      <c r="EE630" s="0"/>
      <c r="EF630" s="0"/>
      <c r="EG630" s="0"/>
      <c r="EH630" s="0"/>
      <c r="EI630" s="0"/>
      <c r="EJ630" s="0"/>
      <c r="EK630" s="0"/>
      <c r="EL630" s="0"/>
      <c r="EM630" s="0"/>
      <c r="EN630" s="0"/>
      <c r="EO630" s="0"/>
      <c r="EP630" s="0"/>
      <c r="EQ630" s="0"/>
      <c r="ER630" s="0"/>
      <c r="ES630" s="0"/>
      <c r="ET630" s="0"/>
      <c r="EU630" s="0"/>
      <c r="EV630" s="0"/>
      <c r="EW630" s="0"/>
      <c r="EX630" s="0"/>
      <c r="EY630" s="0"/>
      <c r="EZ630" s="0"/>
      <c r="FA630" s="0"/>
      <c r="FB630" s="0"/>
      <c r="FC630" s="0"/>
      <c r="FD630" s="0"/>
      <c r="FE630" s="0"/>
      <c r="FF630" s="0"/>
      <c r="FG630" s="0"/>
      <c r="FH630" s="0"/>
      <c r="FI630" s="0"/>
      <c r="FJ630" s="0"/>
      <c r="FK630" s="0"/>
      <c r="FL630" s="0"/>
      <c r="FM630" s="0"/>
      <c r="FN630" s="0"/>
      <c r="FO630" s="0"/>
      <c r="FP630" s="0"/>
      <c r="FQ630" s="0"/>
      <c r="FR630" s="0"/>
      <c r="FS630" s="0"/>
      <c r="FT630" s="0"/>
      <c r="FU630" s="0"/>
      <c r="FV630" s="0"/>
      <c r="FW630" s="0"/>
      <c r="FX630" s="0"/>
      <c r="FY630" s="0"/>
      <c r="FZ630" s="0"/>
      <c r="GA630" s="0"/>
      <c r="GB630" s="0"/>
      <c r="GC630" s="0"/>
      <c r="GD630" s="0"/>
      <c r="GE630" s="0"/>
      <c r="GF630" s="0"/>
      <c r="GG630" s="0"/>
      <c r="GH630" s="0"/>
      <c r="GI630" s="0"/>
      <c r="GJ630" s="0"/>
      <c r="GK630" s="0"/>
      <c r="GL630" s="0"/>
      <c r="GM630" s="0"/>
      <c r="GN630" s="0"/>
      <c r="GO630" s="0"/>
      <c r="GP630" s="0"/>
      <c r="GQ630" s="0"/>
      <c r="GR630" s="0"/>
      <c r="GS630" s="0"/>
      <c r="GT630" s="0"/>
      <c r="GU630" s="0"/>
      <c r="GV630" s="0"/>
      <c r="GW630" s="0"/>
      <c r="GX630" s="0"/>
      <c r="GY630" s="0"/>
      <c r="GZ630" s="0"/>
      <c r="HA630" s="0"/>
      <c r="HB630" s="0"/>
      <c r="HC630" s="0"/>
      <c r="HD630" s="0"/>
      <c r="HE630" s="0"/>
      <c r="HF630" s="0"/>
      <c r="HG630" s="0"/>
      <c r="HH630" s="0"/>
      <c r="HI630" s="0"/>
      <c r="HJ630" s="0"/>
      <c r="HK630" s="0"/>
      <c r="HL630" s="0"/>
      <c r="HM630" s="0"/>
      <c r="HN630" s="0"/>
      <c r="HO630" s="0"/>
      <c r="HP630" s="0"/>
      <c r="HQ630" s="0"/>
      <c r="HR630" s="0"/>
      <c r="HS630" s="0"/>
      <c r="HT630" s="0"/>
      <c r="HU630" s="0"/>
      <c r="HV630" s="0"/>
      <c r="HW630" s="0"/>
      <c r="HX630" s="0"/>
      <c r="HY630" s="0"/>
      <c r="HZ630" s="0"/>
      <c r="IA630" s="0"/>
      <c r="IB630" s="0"/>
      <c r="IC630" s="0"/>
      <c r="ID630" s="0"/>
      <c r="IE630" s="0"/>
      <c r="IF630" s="0"/>
      <c r="IG630" s="0"/>
      <c r="IH630" s="0"/>
      <c r="II630" s="0"/>
      <c r="IJ630" s="0"/>
      <c r="IK630" s="0"/>
      <c r="IL630" s="0"/>
      <c r="IM630" s="0"/>
      <c r="IN630" s="0"/>
      <c r="IO630" s="0"/>
      <c r="IP630" s="0"/>
      <c r="IQ630" s="0"/>
      <c r="IR630" s="0"/>
      <c r="IS630" s="0"/>
      <c r="IT630" s="0"/>
      <c r="IU630" s="0"/>
      <c r="IV630" s="0"/>
    </row>
    <row r="631" customFormat="false" ht="20.1" hidden="false" customHeight="true" outlineLevel="0" collapsed="false">
      <c r="A631" s="1094"/>
      <c r="B631" s="1095"/>
      <c r="C631" s="679"/>
      <c r="D631" s="679"/>
      <c r="E631" s="755" t="s">
        <v>1414</v>
      </c>
      <c r="F631" s="1096" t="s">
        <v>1415</v>
      </c>
      <c r="G631" s="0"/>
      <c r="H631" s="55"/>
      <c r="I631" s="1092"/>
      <c r="J631" s="1092"/>
      <c r="K631" s="1089"/>
      <c r="L631" s="877"/>
      <c r="M631" s="0"/>
      <c r="N631" s="0"/>
      <c r="O631" s="0"/>
      <c r="P631" s="0"/>
      <c r="Q631" s="0"/>
      <c r="R631" s="0"/>
      <c r="S631" s="0"/>
      <c r="T631" s="0"/>
      <c r="U631" s="0"/>
      <c r="V631" s="0"/>
      <c r="W631" s="0"/>
      <c r="X631" s="0"/>
      <c r="Y631" s="0"/>
      <c r="Z631" s="0"/>
      <c r="AA631" s="0"/>
      <c r="AB631" s="0"/>
      <c r="AC631" s="0"/>
      <c r="AD631" s="0"/>
      <c r="AE631" s="0"/>
      <c r="AF631" s="0"/>
      <c r="AG631" s="0"/>
      <c r="AH631" s="0"/>
      <c r="AI631" s="0"/>
      <c r="AJ631" s="0"/>
      <c r="AK631" s="0"/>
      <c r="AL631" s="0"/>
      <c r="AM631" s="0"/>
      <c r="AN631" s="0"/>
      <c r="AO631" s="0"/>
      <c r="AP631" s="0"/>
      <c r="AQ631" s="0"/>
      <c r="AR631" s="0"/>
      <c r="AS631" s="0"/>
      <c r="AT631" s="0"/>
      <c r="AU631" s="0"/>
      <c r="BI631" s="0"/>
      <c r="BJ631" s="0"/>
      <c r="BK631" s="0"/>
      <c r="BL631" s="0"/>
      <c r="BM631" s="0"/>
      <c r="BN631" s="0"/>
      <c r="BO631" s="0"/>
      <c r="BP631" s="0"/>
      <c r="BQ631" s="0"/>
      <c r="BR631" s="0"/>
      <c r="BS631" s="0"/>
      <c r="BT631" s="0"/>
      <c r="BU631" s="0"/>
      <c r="BV631" s="0"/>
      <c r="BW631" s="0"/>
      <c r="BX631" s="0"/>
      <c r="BY631" s="0"/>
      <c r="BZ631" s="0"/>
      <c r="CA631" s="0"/>
      <c r="CB631" s="0"/>
      <c r="CC631" s="0"/>
      <c r="CD631" s="0"/>
      <c r="CE631" s="0"/>
      <c r="CF631" s="0"/>
      <c r="CG631" s="0"/>
      <c r="CH631" s="0"/>
      <c r="CI631" s="0"/>
      <c r="CJ631" s="0"/>
      <c r="CK631" s="0"/>
      <c r="CL631" s="0"/>
      <c r="CM631" s="0"/>
      <c r="CN631" s="0"/>
      <c r="CO631" s="0"/>
      <c r="CP631" s="0"/>
      <c r="CQ631" s="0"/>
      <c r="CR631" s="0"/>
      <c r="CS631" s="0"/>
      <c r="CT631" s="0"/>
      <c r="CU631" s="0"/>
      <c r="CV631" s="0"/>
      <c r="CW631" s="0"/>
      <c r="CX631" s="0"/>
      <c r="CY631" s="0"/>
      <c r="CZ631" s="0"/>
      <c r="DA631" s="0"/>
      <c r="DB631" s="0"/>
      <c r="DC631" s="0"/>
      <c r="DD631" s="0"/>
      <c r="DE631" s="0"/>
      <c r="DF631" s="0"/>
      <c r="DG631" s="0"/>
      <c r="DH631" s="0"/>
      <c r="DI631" s="0"/>
      <c r="DJ631" s="0"/>
      <c r="DK631" s="0"/>
      <c r="DL631" s="0"/>
      <c r="DM631" s="0"/>
      <c r="DN631" s="0"/>
      <c r="DO631" s="0"/>
      <c r="DP631" s="0"/>
      <c r="DQ631" s="0"/>
      <c r="DR631" s="0"/>
      <c r="DS631" s="0"/>
      <c r="DT631" s="0"/>
      <c r="DU631" s="0"/>
      <c r="DV631" s="0"/>
      <c r="DW631" s="0"/>
      <c r="DX631" s="0"/>
      <c r="DY631" s="0"/>
      <c r="DZ631" s="0"/>
      <c r="EA631" s="0"/>
      <c r="EB631" s="0"/>
      <c r="EC631" s="0"/>
      <c r="ED631" s="0"/>
      <c r="EE631" s="0"/>
      <c r="EF631" s="0"/>
      <c r="EG631" s="0"/>
      <c r="EH631" s="0"/>
      <c r="EI631" s="0"/>
      <c r="EJ631" s="0"/>
      <c r="EK631" s="0"/>
      <c r="EL631" s="0"/>
      <c r="EM631" s="0"/>
      <c r="EN631" s="0"/>
      <c r="EO631" s="0"/>
      <c r="EP631" s="0"/>
      <c r="EQ631" s="0"/>
      <c r="ER631" s="0"/>
      <c r="ES631" s="0"/>
      <c r="ET631" s="0"/>
      <c r="EU631" s="0"/>
      <c r="EV631" s="0"/>
      <c r="EW631" s="0"/>
      <c r="EX631" s="0"/>
      <c r="EY631" s="0"/>
      <c r="EZ631" s="0"/>
      <c r="FA631" s="0"/>
      <c r="FB631" s="0"/>
      <c r="FC631" s="0"/>
      <c r="FD631" s="0"/>
      <c r="FE631" s="0"/>
      <c r="FF631" s="0"/>
      <c r="FG631" s="0"/>
      <c r="FH631" s="0"/>
      <c r="FI631" s="0"/>
      <c r="FJ631" s="0"/>
      <c r="FK631" s="0"/>
      <c r="FL631" s="0"/>
      <c r="FM631" s="0"/>
      <c r="FN631" s="0"/>
      <c r="FO631" s="0"/>
      <c r="FP631" s="0"/>
      <c r="FQ631" s="0"/>
      <c r="FR631" s="0"/>
      <c r="FS631" s="0"/>
      <c r="FT631" s="0"/>
      <c r="FU631" s="0"/>
      <c r="FV631" s="0"/>
      <c r="FW631" s="0"/>
      <c r="FX631" s="0"/>
      <c r="FY631" s="0"/>
      <c r="FZ631" s="0"/>
      <c r="GA631" s="0"/>
      <c r="GB631" s="0"/>
      <c r="GC631" s="0"/>
      <c r="GD631" s="0"/>
      <c r="GE631" s="0"/>
      <c r="GF631" s="0"/>
      <c r="GG631" s="0"/>
      <c r="GH631" s="0"/>
      <c r="GI631" s="0"/>
      <c r="GJ631" s="0"/>
      <c r="GK631" s="0"/>
      <c r="GL631" s="0"/>
      <c r="GM631" s="0"/>
      <c r="GN631" s="0"/>
      <c r="GO631" s="0"/>
      <c r="GP631" s="0"/>
      <c r="GQ631" s="0"/>
      <c r="GR631" s="0"/>
      <c r="GS631" s="0"/>
      <c r="GT631" s="0"/>
      <c r="GU631" s="0"/>
      <c r="GV631" s="0"/>
      <c r="GW631" s="0"/>
      <c r="GX631" s="0"/>
      <c r="GY631" s="0"/>
      <c r="GZ631" s="0"/>
      <c r="HA631" s="0"/>
      <c r="HB631" s="0"/>
      <c r="HC631" s="0"/>
      <c r="HD631" s="0"/>
      <c r="HE631" s="0"/>
      <c r="HF631" s="0"/>
      <c r="HG631" s="0"/>
      <c r="HH631" s="0"/>
      <c r="HI631" s="0"/>
      <c r="HJ631" s="0"/>
      <c r="HK631" s="0"/>
      <c r="HL631" s="0"/>
      <c r="HM631" s="0"/>
      <c r="HN631" s="0"/>
      <c r="HO631" s="0"/>
      <c r="HP631" s="0"/>
      <c r="HQ631" s="0"/>
      <c r="HR631" s="0"/>
      <c r="HS631" s="0"/>
      <c r="HT631" s="0"/>
      <c r="HU631" s="0"/>
      <c r="HV631" s="0"/>
      <c r="HW631" s="0"/>
      <c r="HX631" s="0"/>
      <c r="HY631" s="0"/>
      <c r="HZ631" s="0"/>
      <c r="IA631" s="0"/>
      <c r="IB631" s="0"/>
      <c r="IC631" s="0"/>
      <c r="ID631" s="0"/>
      <c r="IE631" s="0"/>
      <c r="IF631" s="0"/>
      <c r="IG631" s="0"/>
      <c r="IH631" s="0"/>
      <c r="II631" s="0"/>
      <c r="IJ631" s="0"/>
      <c r="IK631" s="0"/>
      <c r="IL631" s="0"/>
      <c r="IM631" s="0"/>
      <c r="IN631" s="0"/>
      <c r="IO631" s="0"/>
      <c r="IP631" s="0"/>
      <c r="IQ631" s="0"/>
      <c r="IR631" s="0"/>
      <c r="IS631" s="0"/>
      <c r="IT631" s="0"/>
      <c r="IU631" s="0"/>
      <c r="IV631" s="0"/>
    </row>
    <row r="632" customFormat="false" ht="20.1" hidden="false" customHeight="true" outlineLevel="0" collapsed="false">
      <c r="A632" s="1075" t="s">
        <v>1422</v>
      </c>
      <c r="B632" s="1075"/>
      <c r="C632" s="679" t="s">
        <v>1423</v>
      </c>
      <c r="D632" s="1097" t="n">
        <f aca="false">B158</f>
        <v>0</v>
      </c>
      <c r="E632" s="1098" t="n">
        <v>159.357541899441</v>
      </c>
      <c r="F632" s="1077" t="n">
        <f aca="false">D632*E632</f>
        <v>0</v>
      </c>
      <c r="G632" s="1099"/>
      <c r="H632" s="55"/>
      <c r="I632" s="55"/>
      <c r="J632" s="55"/>
      <c r="K632" s="1089"/>
      <c r="L632" s="877"/>
      <c r="M632" s="0"/>
      <c r="N632" s="0"/>
      <c r="O632" s="0"/>
      <c r="P632" s="0"/>
      <c r="Q632" s="0"/>
      <c r="R632" s="0"/>
      <c r="S632" s="0"/>
      <c r="T632" s="0"/>
      <c r="U632" s="0"/>
      <c r="V632" s="0"/>
      <c r="W632" s="0"/>
      <c r="X632" s="0"/>
      <c r="Y632" s="0"/>
      <c r="Z632" s="0"/>
      <c r="AA632" s="0"/>
      <c r="AB632" s="0"/>
      <c r="AC632" s="0"/>
      <c r="AD632" s="0"/>
      <c r="AE632" s="0"/>
      <c r="AF632" s="0"/>
      <c r="AG632" s="0"/>
      <c r="AH632" s="0"/>
      <c r="AI632" s="0"/>
      <c r="AJ632" s="0"/>
      <c r="AK632" s="0"/>
      <c r="AL632" s="0"/>
      <c r="AM632" s="0"/>
      <c r="AN632" s="0"/>
      <c r="AO632" s="0"/>
      <c r="AP632" s="0"/>
      <c r="AQ632" s="0"/>
      <c r="AR632" s="0"/>
      <c r="AS632" s="0"/>
      <c r="AT632" s="0"/>
      <c r="AU632" s="0"/>
      <c r="BI632" s="0"/>
      <c r="BJ632" s="0"/>
      <c r="BK632" s="0"/>
      <c r="BL632" s="0"/>
      <c r="BM632" s="0"/>
      <c r="BN632" s="0"/>
      <c r="BO632" s="0"/>
      <c r="BP632" s="0"/>
      <c r="BQ632" s="0"/>
      <c r="BR632" s="0"/>
      <c r="BS632" s="0"/>
      <c r="BT632" s="0"/>
      <c r="BU632" s="0"/>
      <c r="BV632" s="0"/>
      <c r="BW632" s="0"/>
      <c r="BX632" s="0"/>
      <c r="BY632" s="0"/>
      <c r="BZ632" s="0"/>
      <c r="CA632" s="0"/>
      <c r="CB632" s="0"/>
      <c r="CC632" s="0"/>
      <c r="CD632" s="0"/>
      <c r="CE632" s="0"/>
      <c r="CF632" s="0"/>
      <c r="CG632" s="0"/>
      <c r="CH632" s="0"/>
      <c r="CI632" s="0"/>
      <c r="CJ632" s="0"/>
      <c r="CK632" s="0"/>
      <c r="CL632" s="0"/>
      <c r="CM632" s="0"/>
      <c r="CN632" s="0"/>
      <c r="CO632" s="0"/>
      <c r="CP632" s="0"/>
      <c r="CQ632" s="0"/>
      <c r="CR632" s="0"/>
      <c r="CS632" s="0"/>
      <c r="CT632" s="0"/>
      <c r="CU632" s="0"/>
      <c r="CV632" s="0"/>
      <c r="CW632" s="0"/>
      <c r="CX632" s="0"/>
      <c r="CY632" s="0"/>
      <c r="CZ632" s="0"/>
      <c r="DA632" s="0"/>
      <c r="DB632" s="0"/>
      <c r="DC632" s="0"/>
      <c r="DD632" s="0"/>
      <c r="DE632" s="0"/>
      <c r="DF632" s="0"/>
      <c r="DG632" s="0"/>
      <c r="DH632" s="0"/>
      <c r="DI632" s="0"/>
      <c r="DJ632" s="0"/>
      <c r="DK632" s="0"/>
      <c r="DL632" s="0"/>
      <c r="DM632" s="0"/>
      <c r="DN632" s="0"/>
      <c r="DO632" s="0"/>
      <c r="DP632" s="0"/>
      <c r="DQ632" s="0"/>
      <c r="DR632" s="0"/>
      <c r="DS632" s="0"/>
      <c r="DT632" s="0"/>
      <c r="DU632" s="0"/>
      <c r="DV632" s="0"/>
      <c r="DW632" s="0"/>
      <c r="DX632" s="0"/>
      <c r="DY632" s="0"/>
      <c r="DZ632" s="0"/>
      <c r="EA632" s="0"/>
      <c r="EB632" s="0"/>
      <c r="EC632" s="0"/>
      <c r="ED632" s="0"/>
      <c r="EE632" s="0"/>
      <c r="EF632" s="0"/>
      <c r="EG632" s="0"/>
      <c r="EH632" s="0"/>
      <c r="EI632" s="0"/>
      <c r="EJ632" s="0"/>
      <c r="EK632" s="0"/>
      <c r="EL632" s="0"/>
      <c r="EM632" s="0"/>
      <c r="EN632" s="0"/>
      <c r="EO632" s="0"/>
      <c r="EP632" s="0"/>
      <c r="EQ632" s="0"/>
      <c r="ER632" s="0"/>
      <c r="ES632" s="0"/>
      <c r="ET632" s="0"/>
      <c r="EU632" s="0"/>
      <c r="EV632" s="0"/>
      <c r="EW632" s="0"/>
      <c r="EX632" s="0"/>
      <c r="EY632" s="0"/>
      <c r="EZ632" s="0"/>
      <c r="FA632" s="0"/>
      <c r="FB632" s="0"/>
      <c r="FC632" s="0"/>
      <c r="FD632" s="0"/>
      <c r="FE632" s="0"/>
      <c r="FF632" s="0"/>
      <c r="FG632" s="0"/>
      <c r="FH632" s="0"/>
      <c r="FI632" s="0"/>
      <c r="FJ632" s="0"/>
      <c r="FK632" s="0"/>
      <c r="FL632" s="0"/>
      <c r="FM632" s="0"/>
      <c r="FN632" s="0"/>
      <c r="FO632" s="0"/>
      <c r="FP632" s="0"/>
      <c r="FQ632" s="0"/>
      <c r="FR632" s="0"/>
      <c r="FS632" s="0"/>
      <c r="FT632" s="0"/>
      <c r="FU632" s="0"/>
      <c r="FV632" s="0"/>
      <c r="FW632" s="0"/>
      <c r="FX632" s="0"/>
      <c r="FY632" s="0"/>
      <c r="FZ632" s="0"/>
      <c r="GA632" s="0"/>
      <c r="GB632" s="0"/>
      <c r="GC632" s="0"/>
      <c r="GD632" s="0"/>
      <c r="GE632" s="0"/>
      <c r="GF632" s="0"/>
      <c r="GG632" s="0"/>
      <c r="GH632" s="0"/>
      <c r="GI632" s="0"/>
      <c r="GJ632" s="0"/>
      <c r="GK632" s="0"/>
      <c r="GL632" s="0"/>
      <c r="GM632" s="0"/>
      <c r="GN632" s="0"/>
      <c r="GO632" s="0"/>
      <c r="GP632" s="0"/>
      <c r="GQ632" s="0"/>
      <c r="GR632" s="0"/>
      <c r="GS632" s="0"/>
      <c r="GT632" s="0"/>
      <c r="GU632" s="0"/>
      <c r="GV632" s="0"/>
      <c r="GW632" s="0"/>
      <c r="GX632" s="0"/>
      <c r="GY632" s="0"/>
      <c r="GZ632" s="0"/>
      <c r="HA632" s="0"/>
      <c r="HB632" s="0"/>
      <c r="HC632" s="0"/>
      <c r="HD632" s="0"/>
      <c r="HE632" s="0"/>
      <c r="HF632" s="0"/>
      <c r="HG632" s="0"/>
      <c r="HH632" s="0"/>
      <c r="HI632" s="0"/>
      <c r="HJ632" s="0"/>
      <c r="HK632" s="0"/>
      <c r="HL632" s="0"/>
      <c r="HM632" s="0"/>
      <c r="HN632" s="0"/>
      <c r="HO632" s="0"/>
      <c r="HP632" s="0"/>
      <c r="HQ632" s="0"/>
      <c r="HR632" s="0"/>
      <c r="HS632" s="0"/>
      <c r="HT632" s="0"/>
      <c r="HU632" s="0"/>
      <c r="HV632" s="0"/>
      <c r="HW632" s="0"/>
      <c r="HX632" s="0"/>
      <c r="HY632" s="0"/>
      <c r="HZ632" s="0"/>
      <c r="IA632" s="0"/>
      <c r="IB632" s="0"/>
      <c r="IC632" s="0"/>
      <c r="ID632" s="0"/>
      <c r="IE632" s="0"/>
      <c r="IF632" s="0"/>
      <c r="IG632" s="0"/>
      <c r="IH632" s="0"/>
      <c r="II632" s="0"/>
      <c r="IJ632" s="0"/>
      <c r="IK632" s="0"/>
      <c r="IL632" s="0"/>
      <c r="IM632" s="0"/>
      <c r="IN632" s="0"/>
      <c r="IO632" s="0"/>
      <c r="IP632" s="0"/>
      <c r="IQ632" s="0"/>
      <c r="IR632" s="0"/>
      <c r="IS632" s="0"/>
      <c r="IT632" s="0"/>
      <c r="IU632" s="0"/>
      <c r="IV632" s="0"/>
    </row>
    <row r="633" customFormat="false" ht="20.1" hidden="false" customHeight="true" outlineLevel="0" collapsed="false">
      <c r="A633" s="1075" t="s">
        <v>1424</v>
      </c>
      <c r="B633" s="1075"/>
      <c r="C633" s="679" t="s">
        <v>1423</v>
      </c>
      <c r="D633" s="1097" t="n">
        <f aca="false">C162</f>
        <v>0</v>
      </c>
      <c r="E633" s="1098" t="n">
        <v>92.9888268156425</v>
      </c>
      <c r="F633" s="1077" t="n">
        <f aca="false">D633*E633</f>
        <v>0</v>
      </c>
      <c r="G633" s="1100"/>
      <c r="H633" s="1100"/>
      <c r="I633" s="0"/>
      <c r="J633" s="0"/>
      <c r="K633" s="0"/>
      <c r="L633" s="877"/>
      <c r="M633" s="0"/>
      <c r="N633" s="0"/>
      <c r="O633" s="0"/>
      <c r="P633" s="0"/>
      <c r="Q633" s="0"/>
      <c r="R633" s="0"/>
      <c r="S633" s="0"/>
      <c r="T633" s="0"/>
      <c r="U633" s="0"/>
      <c r="V633" s="0"/>
      <c r="W633" s="0"/>
      <c r="X633" s="0"/>
      <c r="Y633" s="0"/>
      <c r="Z633" s="0"/>
      <c r="AA633" s="0"/>
      <c r="AB633" s="0"/>
      <c r="AC633" s="0"/>
      <c r="AD633" s="0"/>
      <c r="AE633" s="0"/>
      <c r="AF633" s="0"/>
      <c r="AG633" s="0"/>
      <c r="AH633" s="0"/>
      <c r="AI633" s="0"/>
      <c r="AJ633" s="0"/>
      <c r="AK633" s="0"/>
      <c r="AL633" s="0"/>
      <c r="AM633" s="0"/>
      <c r="AN633" s="0"/>
      <c r="AO633" s="0"/>
      <c r="AP633" s="0"/>
      <c r="AQ633" s="0"/>
      <c r="AR633" s="0"/>
      <c r="AS633" s="0"/>
      <c r="AT633" s="0"/>
      <c r="AU633" s="0"/>
      <c r="BI633" s="0"/>
      <c r="BJ633" s="0"/>
      <c r="BK633" s="0"/>
      <c r="BL633" s="0"/>
      <c r="BM633" s="0"/>
      <c r="BN633" s="0"/>
      <c r="BO633" s="0"/>
      <c r="BP633" s="0"/>
      <c r="BQ633" s="0"/>
      <c r="BR633" s="0"/>
      <c r="BS633" s="0"/>
      <c r="BT633" s="0"/>
      <c r="BU633" s="0"/>
      <c r="BV633" s="0"/>
      <c r="BW633" s="0"/>
      <c r="BX633" s="0"/>
      <c r="BY633" s="0"/>
      <c r="BZ633" s="0"/>
      <c r="CA633" s="0"/>
      <c r="CB633" s="0"/>
      <c r="CC633" s="0"/>
      <c r="CD633" s="0"/>
      <c r="CE633" s="0"/>
      <c r="CF633" s="0"/>
      <c r="CG633" s="0"/>
      <c r="CH633" s="0"/>
      <c r="CI633" s="0"/>
      <c r="CJ633" s="0"/>
      <c r="CK633" s="0"/>
      <c r="CL633" s="0"/>
      <c r="CM633" s="0"/>
      <c r="CN633" s="0"/>
      <c r="CO633" s="0"/>
      <c r="CP633" s="0"/>
      <c r="CQ633" s="0"/>
      <c r="CR633" s="0"/>
      <c r="CS633" s="0"/>
      <c r="CT633" s="0"/>
      <c r="CU633" s="0"/>
      <c r="CV633" s="0"/>
      <c r="CW633" s="0"/>
      <c r="CX633" s="0"/>
      <c r="CY633" s="0"/>
      <c r="CZ633" s="0"/>
      <c r="DA633" s="0"/>
      <c r="DB633" s="0"/>
      <c r="DC633" s="0"/>
      <c r="DD633" s="0"/>
      <c r="DE633" s="0"/>
      <c r="DF633" s="0"/>
      <c r="DG633" s="0"/>
      <c r="DH633" s="0"/>
      <c r="DI633" s="0"/>
      <c r="DJ633" s="0"/>
      <c r="DK633" s="0"/>
      <c r="DL633" s="0"/>
      <c r="DM633" s="0"/>
      <c r="DN633" s="0"/>
      <c r="DO633" s="0"/>
      <c r="DP633" s="0"/>
      <c r="DQ633" s="0"/>
      <c r="DR633" s="0"/>
      <c r="DS633" s="0"/>
      <c r="DT633" s="0"/>
      <c r="DU633" s="0"/>
      <c r="DV633" s="0"/>
      <c r="DW633" s="0"/>
      <c r="DX633" s="0"/>
      <c r="DY633" s="0"/>
      <c r="DZ633" s="0"/>
      <c r="EA633" s="0"/>
      <c r="EB633" s="0"/>
      <c r="EC633" s="0"/>
      <c r="ED633" s="0"/>
      <c r="EE633" s="0"/>
      <c r="EF633" s="0"/>
      <c r="EG633" s="0"/>
      <c r="EH633" s="0"/>
      <c r="EI633" s="0"/>
      <c r="EJ633" s="0"/>
      <c r="EK633" s="0"/>
      <c r="EL633" s="0"/>
      <c r="EM633" s="0"/>
      <c r="EN633" s="0"/>
      <c r="EO633" s="0"/>
      <c r="EP633" s="0"/>
      <c r="EQ633" s="0"/>
      <c r="ER633" s="0"/>
      <c r="ES633" s="0"/>
      <c r="ET633" s="0"/>
      <c r="EU633" s="0"/>
      <c r="EV633" s="0"/>
      <c r="EW633" s="0"/>
      <c r="EX633" s="0"/>
      <c r="EY633" s="0"/>
      <c r="EZ633" s="0"/>
      <c r="FA633" s="0"/>
      <c r="FB633" s="0"/>
      <c r="FC633" s="0"/>
      <c r="FD633" s="0"/>
      <c r="FE633" s="0"/>
      <c r="FF633" s="0"/>
      <c r="FG633" s="0"/>
      <c r="FH633" s="0"/>
      <c r="FI633" s="0"/>
      <c r="FJ633" s="0"/>
      <c r="FK633" s="0"/>
      <c r="FL633" s="0"/>
      <c r="FM633" s="0"/>
      <c r="FN633" s="0"/>
      <c r="FO633" s="0"/>
      <c r="FP633" s="0"/>
      <c r="FQ633" s="0"/>
      <c r="FR633" s="0"/>
      <c r="FS633" s="0"/>
      <c r="FT633" s="0"/>
      <c r="FU633" s="0"/>
      <c r="FV633" s="0"/>
      <c r="FW633" s="0"/>
      <c r="FX633" s="0"/>
      <c r="FY633" s="0"/>
      <c r="FZ633" s="0"/>
      <c r="GA633" s="0"/>
      <c r="GB633" s="0"/>
      <c r="GC633" s="0"/>
      <c r="GD633" s="0"/>
      <c r="GE633" s="0"/>
      <c r="GF633" s="0"/>
      <c r="GG633" s="0"/>
      <c r="GH633" s="0"/>
      <c r="GI633" s="0"/>
      <c r="GJ633" s="0"/>
      <c r="GK633" s="0"/>
      <c r="GL633" s="0"/>
      <c r="GM633" s="0"/>
      <c r="GN633" s="0"/>
      <c r="GO633" s="0"/>
      <c r="GP633" s="0"/>
      <c r="GQ633" s="0"/>
      <c r="GR633" s="0"/>
      <c r="GS633" s="0"/>
      <c r="GT633" s="0"/>
      <c r="GU633" s="0"/>
      <c r="GV633" s="0"/>
      <c r="GW633" s="0"/>
      <c r="GX633" s="0"/>
      <c r="GY633" s="0"/>
      <c r="GZ633" s="0"/>
      <c r="HA633" s="0"/>
      <c r="HB633" s="0"/>
      <c r="HC633" s="0"/>
      <c r="HD633" s="0"/>
      <c r="HE633" s="0"/>
      <c r="HF633" s="0"/>
      <c r="HG633" s="0"/>
      <c r="HH633" s="0"/>
      <c r="HI633" s="0"/>
      <c r="HJ633" s="0"/>
      <c r="HK633" s="0"/>
      <c r="HL633" s="0"/>
      <c r="HM633" s="0"/>
      <c r="HN633" s="0"/>
      <c r="HO633" s="0"/>
      <c r="HP633" s="0"/>
      <c r="HQ633" s="0"/>
      <c r="HR633" s="0"/>
      <c r="HS633" s="0"/>
      <c r="HT633" s="0"/>
      <c r="HU633" s="0"/>
      <c r="HV633" s="0"/>
      <c r="HW633" s="0"/>
      <c r="HX633" s="0"/>
      <c r="HY633" s="0"/>
      <c r="HZ633" s="0"/>
      <c r="IA633" s="0"/>
      <c r="IB633" s="0"/>
      <c r="IC633" s="0"/>
      <c r="ID633" s="0"/>
      <c r="IE633" s="0"/>
      <c r="IF633" s="0"/>
      <c r="IG633" s="0"/>
      <c r="IH633" s="0"/>
      <c r="II633" s="0"/>
      <c r="IJ633" s="0"/>
      <c r="IK633" s="0"/>
      <c r="IL633" s="0"/>
      <c r="IM633" s="0"/>
      <c r="IN633" s="0"/>
      <c r="IO633" s="0"/>
      <c r="IP633" s="0"/>
      <c r="IQ633" s="0"/>
      <c r="IR633" s="0"/>
      <c r="IS633" s="0"/>
      <c r="IT633" s="0"/>
      <c r="IU633" s="0"/>
      <c r="IV633" s="0"/>
    </row>
    <row r="634" customFormat="false" ht="20.1" hidden="false" customHeight="true" outlineLevel="0" collapsed="false">
      <c r="A634" s="1081" t="s">
        <v>1425</v>
      </c>
      <c r="B634" s="1081"/>
      <c r="C634" s="679" t="s">
        <v>1423</v>
      </c>
      <c r="D634" s="1097" t="n">
        <f aca="false">B163</f>
        <v>72</v>
      </c>
      <c r="E634" s="1098" t="n">
        <v>71.5921787709497</v>
      </c>
      <c r="F634" s="1077" t="n">
        <f aca="false">D634*E634</f>
        <v>5154.63687150838</v>
      </c>
      <c r="G634" s="1100"/>
      <c r="H634" s="1100"/>
      <c r="I634" s="1101"/>
      <c r="J634" s="1102"/>
      <c r="K634" s="1089"/>
      <c r="L634" s="877"/>
      <c r="M634" s="0"/>
      <c r="N634" s="0"/>
      <c r="O634" s="0"/>
      <c r="P634" s="0"/>
      <c r="Q634" s="0"/>
      <c r="R634" s="0"/>
      <c r="S634" s="0"/>
      <c r="T634" s="0"/>
      <c r="U634" s="0"/>
      <c r="V634" s="0"/>
      <c r="W634" s="0"/>
      <c r="X634" s="0"/>
      <c r="Y634" s="0"/>
      <c r="Z634" s="0"/>
      <c r="AA634" s="0"/>
      <c r="AB634" s="0"/>
      <c r="AC634" s="0"/>
      <c r="AD634" s="0"/>
      <c r="AE634" s="0"/>
      <c r="AF634" s="0"/>
      <c r="AG634" s="0"/>
      <c r="AH634" s="0"/>
      <c r="AI634" s="0"/>
      <c r="AJ634" s="0"/>
      <c r="AK634" s="0"/>
      <c r="AL634" s="0"/>
      <c r="AM634" s="0"/>
      <c r="AN634" s="0"/>
      <c r="AO634" s="0"/>
      <c r="AP634" s="0"/>
      <c r="AQ634" s="0"/>
      <c r="AR634" s="0"/>
      <c r="AS634" s="0"/>
      <c r="AT634" s="0"/>
      <c r="AU634" s="0"/>
      <c r="BI634" s="0"/>
      <c r="BJ634" s="0"/>
      <c r="BK634" s="0"/>
      <c r="BL634" s="0"/>
      <c r="BM634" s="0"/>
      <c r="BN634" s="0"/>
      <c r="BO634" s="0"/>
      <c r="BP634" s="0"/>
      <c r="BQ634" s="0"/>
      <c r="BR634" s="0"/>
      <c r="BS634" s="0"/>
      <c r="BT634" s="0"/>
      <c r="BU634" s="0"/>
      <c r="BV634" s="0"/>
      <c r="BW634" s="0"/>
      <c r="BX634" s="0"/>
      <c r="BY634" s="0"/>
      <c r="BZ634" s="0"/>
      <c r="CA634" s="0"/>
      <c r="CB634" s="0"/>
      <c r="CC634" s="0"/>
      <c r="CD634" s="0"/>
      <c r="CE634" s="0"/>
      <c r="CF634" s="0"/>
      <c r="CG634" s="0"/>
      <c r="CH634" s="0"/>
      <c r="CI634" s="0"/>
      <c r="CJ634" s="0"/>
      <c r="CK634" s="0"/>
      <c r="CL634" s="0"/>
      <c r="CM634" s="0"/>
      <c r="CN634" s="0"/>
      <c r="CO634" s="0"/>
      <c r="CP634" s="0"/>
      <c r="CQ634" s="0"/>
      <c r="CR634" s="0"/>
      <c r="CS634" s="0"/>
      <c r="CT634" s="0"/>
      <c r="CU634" s="0"/>
      <c r="CV634" s="0"/>
      <c r="CW634" s="0"/>
      <c r="CX634" s="0"/>
      <c r="CY634" s="0"/>
      <c r="CZ634" s="0"/>
      <c r="DA634" s="0"/>
      <c r="DB634" s="0"/>
      <c r="DC634" s="0"/>
      <c r="DD634" s="0"/>
      <c r="DE634" s="0"/>
      <c r="DF634" s="0"/>
      <c r="DG634" s="0"/>
      <c r="DH634" s="0"/>
      <c r="DI634" s="0"/>
      <c r="DJ634" s="0"/>
      <c r="DK634" s="0"/>
      <c r="DL634" s="0"/>
      <c r="DM634" s="0"/>
      <c r="DN634" s="0"/>
      <c r="DO634" s="0"/>
      <c r="DP634" s="0"/>
      <c r="DQ634" s="0"/>
      <c r="DR634" s="0"/>
      <c r="DS634" s="0"/>
      <c r="DT634" s="0"/>
      <c r="DU634" s="0"/>
      <c r="DV634" s="0"/>
      <c r="DW634" s="0"/>
      <c r="DX634" s="0"/>
      <c r="DY634" s="0"/>
      <c r="DZ634" s="0"/>
      <c r="EA634" s="0"/>
      <c r="EB634" s="0"/>
      <c r="EC634" s="0"/>
      <c r="ED634" s="0"/>
      <c r="EE634" s="0"/>
      <c r="EF634" s="0"/>
      <c r="EG634" s="0"/>
      <c r="EH634" s="0"/>
      <c r="EI634" s="0"/>
      <c r="EJ634" s="0"/>
      <c r="EK634" s="0"/>
      <c r="EL634" s="0"/>
      <c r="EM634" s="0"/>
      <c r="EN634" s="0"/>
      <c r="EO634" s="0"/>
      <c r="EP634" s="0"/>
      <c r="EQ634" s="0"/>
      <c r="ER634" s="0"/>
      <c r="ES634" s="0"/>
      <c r="ET634" s="0"/>
      <c r="EU634" s="0"/>
      <c r="EV634" s="0"/>
      <c r="EW634" s="0"/>
      <c r="EX634" s="0"/>
      <c r="EY634" s="0"/>
      <c r="EZ634" s="0"/>
      <c r="FA634" s="0"/>
      <c r="FB634" s="0"/>
      <c r="FC634" s="0"/>
      <c r="FD634" s="0"/>
      <c r="FE634" s="0"/>
      <c r="FF634" s="0"/>
      <c r="FG634" s="0"/>
      <c r="FH634" s="0"/>
      <c r="FI634" s="0"/>
      <c r="FJ634" s="0"/>
      <c r="FK634" s="0"/>
      <c r="FL634" s="0"/>
      <c r="FM634" s="0"/>
      <c r="FN634" s="0"/>
      <c r="FO634" s="0"/>
      <c r="FP634" s="0"/>
      <c r="FQ634" s="0"/>
      <c r="FR634" s="0"/>
      <c r="FS634" s="0"/>
      <c r="FT634" s="0"/>
      <c r="FU634" s="0"/>
      <c r="FV634" s="0"/>
      <c r="FW634" s="0"/>
      <c r="FX634" s="0"/>
      <c r="FY634" s="0"/>
      <c r="FZ634" s="0"/>
      <c r="GA634" s="0"/>
      <c r="GB634" s="0"/>
      <c r="GC634" s="0"/>
      <c r="GD634" s="0"/>
      <c r="GE634" s="0"/>
      <c r="GF634" s="0"/>
      <c r="GG634" s="0"/>
      <c r="GH634" s="0"/>
      <c r="GI634" s="0"/>
      <c r="GJ634" s="0"/>
      <c r="GK634" s="0"/>
      <c r="GL634" s="0"/>
      <c r="GM634" s="0"/>
      <c r="GN634" s="0"/>
      <c r="GO634" s="0"/>
      <c r="GP634" s="0"/>
      <c r="GQ634" s="0"/>
      <c r="GR634" s="0"/>
      <c r="GS634" s="0"/>
      <c r="GT634" s="0"/>
      <c r="GU634" s="0"/>
      <c r="GV634" s="0"/>
      <c r="GW634" s="0"/>
      <c r="GX634" s="0"/>
      <c r="GY634" s="0"/>
      <c r="GZ634" s="0"/>
      <c r="HA634" s="0"/>
      <c r="HB634" s="0"/>
      <c r="HC634" s="0"/>
      <c r="HD634" s="0"/>
      <c r="HE634" s="0"/>
      <c r="HF634" s="0"/>
      <c r="HG634" s="0"/>
      <c r="HH634" s="0"/>
      <c r="HI634" s="0"/>
      <c r="HJ634" s="0"/>
      <c r="HK634" s="0"/>
      <c r="HL634" s="0"/>
      <c r="HM634" s="0"/>
      <c r="HN634" s="0"/>
      <c r="HO634" s="0"/>
      <c r="HP634" s="0"/>
      <c r="HQ634" s="0"/>
      <c r="HR634" s="0"/>
      <c r="HS634" s="0"/>
      <c r="HT634" s="0"/>
      <c r="HU634" s="0"/>
      <c r="HV634" s="0"/>
      <c r="HW634" s="0"/>
      <c r="HX634" s="0"/>
      <c r="HY634" s="0"/>
      <c r="HZ634" s="0"/>
      <c r="IA634" s="0"/>
      <c r="IB634" s="0"/>
      <c r="IC634" s="0"/>
      <c r="ID634" s="0"/>
      <c r="IE634" s="0"/>
      <c r="IF634" s="0"/>
      <c r="IG634" s="0"/>
      <c r="IH634" s="0"/>
      <c r="II634" s="0"/>
      <c r="IJ634" s="0"/>
      <c r="IK634" s="0"/>
      <c r="IL634" s="0"/>
      <c r="IM634" s="0"/>
      <c r="IN634" s="0"/>
      <c r="IO634" s="0"/>
      <c r="IP634" s="0"/>
      <c r="IQ634" s="0"/>
      <c r="IR634" s="0"/>
      <c r="IS634" s="0"/>
      <c r="IT634" s="0"/>
      <c r="IU634" s="0"/>
      <c r="IV634" s="0"/>
    </row>
    <row r="635" customFormat="false" ht="20.1" hidden="false" customHeight="true" outlineLevel="0" collapsed="false">
      <c r="A635" s="1075" t="s">
        <v>1426</v>
      </c>
      <c r="B635" s="1075"/>
      <c r="C635" s="679" t="s">
        <v>1427</v>
      </c>
      <c r="D635" s="1097" t="n">
        <f aca="false">C171</f>
        <v>0</v>
      </c>
      <c r="E635" s="1098" t="n">
        <v>84.3016759776536</v>
      </c>
      <c r="F635" s="1077" t="n">
        <f aca="false">D635*E635</f>
        <v>0</v>
      </c>
      <c r="G635" s="1100"/>
      <c r="H635" s="1031" t="s">
        <v>1428</v>
      </c>
      <c r="I635" s="1031"/>
      <c r="J635" s="1103" t="n">
        <f aca="false">IF(J630=0,"Erreur",J630/B24)</f>
        <v>509.850874265399</v>
      </c>
      <c r="K635" s="0"/>
      <c r="L635" s="0"/>
      <c r="M635" s="0"/>
      <c r="N635" s="0"/>
      <c r="O635" s="0"/>
      <c r="P635" s="0"/>
      <c r="Q635" s="0"/>
      <c r="R635" s="0"/>
      <c r="S635" s="0"/>
      <c r="T635" s="0"/>
      <c r="U635" s="0"/>
      <c r="V635" s="0"/>
      <c r="W635" s="0"/>
      <c r="X635" s="0"/>
      <c r="Y635" s="0"/>
      <c r="Z635" s="0"/>
      <c r="AA635" s="0"/>
      <c r="AB635" s="0"/>
      <c r="AC635" s="0"/>
      <c r="AD635" s="0"/>
      <c r="AE635" s="0"/>
      <c r="AF635" s="0"/>
      <c r="AG635" s="0"/>
      <c r="AH635" s="0"/>
      <c r="AI635" s="0"/>
      <c r="AJ635" s="0"/>
      <c r="AK635" s="0"/>
      <c r="AL635" s="0"/>
      <c r="AM635" s="0"/>
      <c r="AN635" s="0"/>
      <c r="AO635" s="0"/>
      <c r="AP635" s="0"/>
      <c r="AQ635" s="0"/>
      <c r="AR635" s="0"/>
      <c r="AS635" s="0"/>
      <c r="AT635" s="0"/>
      <c r="AU635" s="0"/>
      <c r="BI635" s="0"/>
      <c r="BJ635" s="0"/>
      <c r="BK635" s="0"/>
      <c r="BL635" s="0"/>
      <c r="BM635" s="0"/>
      <c r="BN635" s="0"/>
      <c r="BO635" s="0"/>
      <c r="BP635" s="0"/>
      <c r="BQ635" s="0"/>
      <c r="BR635" s="0"/>
      <c r="BS635" s="0"/>
      <c r="BT635" s="0"/>
      <c r="BU635" s="0"/>
      <c r="BV635" s="0"/>
      <c r="BW635" s="0"/>
      <c r="BX635" s="0"/>
      <c r="BY635" s="0"/>
      <c r="BZ635" s="0"/>
      <c r="CA635" s="0"/>
      <c r="CB635" s="0"/>
      <c r="CC635" s="0"/>
      <c r="CD635" s="0"/>
      <c r="CE635" s="0"/>
      <c r="CF635" s="0"/>
      <c r="CG635" s="0"/>
      <c r="CH635" s="0"/>
      <c r="CI635" s="0"/>
      <c r="CJ635" s="0"/>
      <c r="CK635" s="0"/>
      <c r="CL635" s="0"/>
      <c r="CM635" s="0"/>
      <c r="CN635" s="0"/>
      <c r="CO635" s="0"/>
      <c r="CP635" s="0"/>
      <c r="CQ635" s="0"/>
      <c r="CR635" s="0"/>
      <c r="CS635" s="0"/>
      <c r="CT635" s="0"/>
      <c r="CU635" s="0"/>
      <c r="CV635" s="0"/>
      <c r="CW635" s="0"/>
      <c r="CX635" s="0"/>
      <c r="CY635" s="0"/>
      <c r="CZ635" s="0"/>
      <c r="DA635" s="0"/>
      <c r="DB635" s="0"/>
      <c r="DC635" s="0"/>
      <c r="DD635" s="0"/>
      <c r="DE635" s="0"/>
      <c r="DF635" s="0"/>
      <c r="DG635" s="0"/>
      <c r="DH635" s="0"/>
      <c r="DI635" s="0"/>
      <c r="DJ635" s="0"/>
      <c r="DK635" s="0"/>
      <c r="DL635" s="0"/>
      <c r="DM635" s="0"/>
      <c r="DN635" s="0"/>
      <c r="DO635" s="0"/>
      <c r="DP635" s="0"/>
      <c r="DQ635" s="0"/>
      <c r="DR635" s="0"/>
      <c r="DS635" s="0"/>
      <c r="DT635" s="0"/>
      <c r="DU635" s="0"/>
      <c r="DV635" s="0"/>
      <c r="DW635" s="0"/>
      <c r="DX635" s="0"/>
      <c r="DY635" s="0"/>
      <c r="DZ635" s="0"/>
      <c r="EA635" s="0"/>
      <c r="EB635" s="0"/>
      <c r="EC635" s="0"/>
      <c r="ED635" s="0"/>
      <c r="EE635" s="0"/>
      <c r="EF635" s="0"/>
      <c r="EG635" s="0"/>
      <c r="EH635" s="0"/>
      <c r="EI635" s="0"/>
      <c r="EJ635" s="0"/>
      <c r="EK635" s="0"/>
      <c r="EL635" s="0"/>
      <c r="EM635" s="0"/>
      <c r="EN635" s="0"/>
      <c r="EO635" s="0"/>
      <c r="EP635" s="0"/>
      <c r="EQ635" s="0"/>
      <c r="ER635" s="0"/>
      <c r="ES635" s="0"/>
      <c r="ET635" s="0"/>
      <c r="EU635" s="0"/>
      <c r="EV635" s="0"/>
      <c r="EW635" s="0"/>
      <c r="EX635" s="0"/>
      <c r="EY635" s="0"/>
      <c r="EZ635" s="0"/>
      <c r="FA635" s="0"/>
      <c r="FB635" s="0"/>
      <c r="FC635" s="0"/>
      <c r="FD635" s="0"/>
      <c r="FE635" s="0"/>
      <c r="FF635" s="0"/>
      <c r="FG635" s="0"/>
      <c r="FH635" s="0"/>
      <c r="FI635" s="0"/>
      <c r="FJ635" s="0"/>
      <c r="FK635" s="0"/>
      <c r="FL635" s="0"/>
      <c r="FM635" s="0"/>
      <c r="FN635" s="0"/>
      <c r="FO635" s="0"/>
      <c r="FP635" s="0"/>
      <c r="FQ635" s="0"/>
      <c r="FR635" s="0"/>
      <c r="FS635" s="0"/>
      <c r="FT635" s="0"/>
      <c r="FU635" s="0"/>
      <c r="FV635" s="0"/>
      <c r="FW635" s="0"/>
      <c r="FX635" s="0"/>
      <c r="FY635" s="0"/>
      <c r="FZ635" s="0"/>
      <c r="GA635" s="0"/>
      <c r="GB635" s="0"/>
      <c r="GC635" s="0"/>
      <c r="GD635" s="0"/>
      <c r="GE635" s="0"/>
      <c r="GF635" s="0"/>
      <c r="GG635" s="0"/>
      <c r="GH635" s="0"/>
      <c r="GI635" s="0"/>
      <c r="GJ635" s="0"/>
      <c r="GK635" s="0"/>
      <c r="GL635" s="0"/>
      <c r="GM635" s="0"/>
      <c r="GN635" s="0"/>
      <c r="GO635" s="0"/>
      <c r="GP635" s="0"/>
      <c r="GQ635" s="0"/>
      <c r="GR635" s="0"/>
      <c r="GS635" s="0"/>
      <c r="GT635" s="0"/>
      <c r="GU635" s="0"/>
      <c r="GV635" s="0"/>
      <c r="GW635" s="0"/>
      <c r="GX635" s="0"/>
      <c r="GY635" s="0"/>
      <c r="GZ635" s="0"/>
      <c r="HA635" s="0"/>
      <c r="HB635" s="0"/>
      <c r="HC635" s="0"/>
      <c r="HD635" s="0"/>
      <c r="HE635" s="0"/>
      <c r="HF635" s="0"/>
      <c r="HG635" s="0"/>
      <c r="HH635" s="0"/>
      <c r="HI635" s="0"/>
      <c r="HJ635" s="0"/>
      <c r="HK635" s="0"/>
      <c r="HL635" s="0"/>
      <c r="HM635" s="0"/>
      <c r="HN635" s="0"/>
      <c r="HO635" s="0"/>
      <c r="HP635" s="0"/>
      <c r="HQ635" s="0"/>
      <c r="HR635" s="0"/>
      <c r="HS635" s="0"/>
      <c r="HT635" s="0"/>
      <c r="HU635" s="0"/>
      <c r="HV635" s="0"/>
      <c r="HW635" s="0"/>
      <c r="HX635" s="0"/>
      <c r="HY635" s="0"/>
      <c r="HZ635" s="0"/>
      <c r="IA635" s="0"/>
      <c r="IB635" s="0"/>
      <c r="IC635" s="0"/>
      <c r="ID635" s="0"/>
      <c r="IE635" s="0"/>
      <c r="IF635" s="0"/>
      <c r="IG635" s="0"/>
      <c r="IH635" s="0"/>
      <c r="II635" s="0"/>
      <c r="IJ635" s="0"/>
      <c r="IK635" s="0"/>
      <c r="IL635" s="0"/>
      <c r="IM635" s="0"/>
      <c r="IN635" s="0"/>
      <c r="IO635" s="0"/>
      <c r="IP635" s="0"/>
      <c r="IQ635" s="0"/>
      <c r="IR635" s="0"/>
      <c r="IS635" s="0"/>
      <c r="IT635" s="0"/>
      <c r="IU635" s="0"/>
      <c r="IV635" s="0"/>
    </row>
    <row r="636" customFormat="false" ht="20.1" hidden="false" customHeight="true" outlineLevel="0" collapsed="false">
      <c r="A636" s="1081" t="s">
        <v>1429</v>
      </c>
      <c r="B636" s="1081"/>
      <c r="C636" s="679" t="s">
        <v>1430</v>
      </c>
      <c r="D636" s="1097" t="n">
        <f aca="false">B172</f>
        <v>0</v>
      </c>
      <c r="E636" s="1098" t="n">
        <v>100.558659217877</v>
      </c>
      <c r="F636" s="1077" t="n">
        <f aca="false">D636*E636</f>
        <v>0</v>
      </c>
      <c r="G636" s="1100"/>
      <c r="H636" s="1100"/>
      <c r="I636" s="1100"/>
      <c r="J636" s="1102"/>
      <c r="K636" s="1089"/>
      <c r="L636" s="877"/>
      <c r="M636" s="0"/>
      <c r="N636" s="0"/>
      <c r="O636" s="0"/>
      <c r="P636" s="0"/>
      <c r="Q636" s="0"/>
      <c r="R636" s="0"/>
      <c r="S636" s="0"/>
      <c r="T636" s="0"/>
      <c r="U636" s="0"/>
      <c r="V636" s="0"/>
      <c r="W636" s="0"/>
      <c r="X636" s="0"/>
      <c r="Y636" s="0"/>
      <c r="Z636" s="0"/>
      <c r="AA636" s="0"/>
      <c r="AB636" s="0"/>
      <c r="AC636" s="0"/>
      <c r="AD636" s="0"/>
      <c r="AE636" s="0"/>
      <c r="AF636" s="0"/>
      <c r="AG636" s="0"/>
      <c r="AH636" s="0"/>
      <c r="AI636" s="0"/>
      <c r="AJ636" s="0"/>
      <c r="AK636" s="0"/>
      <c r="AL636" s="0"/>
      <c r="AM636" s="0"/>
      <c r="AN636" s="0"/>
      <c r="AO636" s="0"/>
      <c r="AP636" s="0"/>
      <c r="AQ636" s="0"/>
      <c r="AR636" s="0"/>
      <c r="AS636" s="0"/>
      <c r="AT636" s="0"/>
      <c r="AU636" s="0"/>
      <c r="BI636" s="0"/>
      <c r="BJ636" s="0"/>
      <c r="BK636" s="0"/>
      <c r="BL636" s="0"/>
      <c r="BM636" s="0"/>
      <c r="BN636" s="0"/>
      <c r="BO636" s="0"/>
      <c r="BP636" s="0"/>
      <c r="BQ636" s="0"/>
      <c r="BR636" s="0"/>
      <c r="BS636" s="0"/>
      <c r="BT636" s="0"/>
      <c r="BU636" s="0"/>
      <c r="BV636" s="0"/>
      <c r="BW636" s="0"/>
      <c r="BX636" s="0"/>
      <c r="BY636" s="0"/>
      <c r="BZ636" s="0"/>
      <c r="CA636" s="0"/>
      <c r="CB636" s="0"/>
      <c r="CC636" s="0"/>
      <c r="CD636" s="0"/>
      <c r="CE636" s="0"/>
      <c r="CF636" s="0"/>
      <c r="CG636" s="0"/>
      <c r="CH636" s="0"/>
      <c r="CI636" s="0"/>
      <c r="CJ636" s="0"/>
      <c r="CK636" s="0"/>
      <c r="CL636" s="0"/>
      <c r="CM636" s="0"/>
      <c r="CN636" s="0"/>
      <c r="CO636" s="0"/>
      <c r="CP636" s="0"/>
      <c r="CQ636" s="0"/>
      <c r="CR636" s="0"/>
      <c r="CS636" s="0"/>
      <c r="CT636" s="0"/>
      <c r="CU636" s="0"/>
      <c r="CV636" s="0"/>
      <c r="CW636" s="0"/>
      <c r="CX636" s="0"/>
      <c r="CY636" s="0"/>
      <c r="CZ636" s="0"/>
      <c r="DA636" s="0"/>
      <c r="DB636" s="0"/>
      <c r="DC636" s="0"/>
      <c r="DD636" s="0"/>
      <c r="DE636" s="0"/>
      <c r="DF636" s="0"/>
      <c r="DG636" s="0"/>
      <c r="DH636" s="0"/>
      <c r="DI636" s="0"/>
      <c r="DJ636" s="0"/>
      <c r="DK636" s="0"/>
      <c r="DL636" s="0"/>
      <c r="DM636" s="0"/>
      <c r="DN636" s="0"/>
      <c r="DO636" s="0"/>
      <c r="DP636" s="0"/>
      <c r="DQ636" s="0"/>
      <c r="DR636" s="0"/>
      <c r="DS636" s="0"/>
      <c r="DT636" s="0"/>
      <c r="DU636" s="0"/>
      <c r="DV636" s="0"/>
      <c r="DW636" s="0"/>
      <c r="DX636" s="0"/>
      <c r="DY636" s="0"/>
      <c r="DZ636" s="0"/>
      <c r="EA636" s="0"/>
      <c r="EB636" s="0"/>
      <c r="EC636" s="0"/>
      <c r="ED636" s="0"/>
      <c r="EE636" s="0"/>
      <c r="EF636" s="0"/>
      <c r="EG636" s="0"/>
      <c r="EH636" s="0"/>
      <c r="EI636" s="0"/>
      <c r="EJ636" s="0"/>
      <c r="EK636" s="0"/>
      <c r="EL636" s="0"/>
      <c r="EM636" s="0"/>
      <c r="EN636" s="0"/>
      <c r="EO636" s="0"/>
      <c r="EP636" s="0"/>
      <c r="EQ636" s="0"/>
      <c r="ER636" s="0"/>
      <c r="ES636" s="0"/>
      <c r="ET636" s="0"/>
      <c r="EU636" s="0"/>
      <c r="EV636" s="0"/>
      <c r="EW636" s="0"/>
      <c r="EX636" s="0"/>
      <c r="EY636" s="0"/>
      <c r="EZ636" s="0"/>
      <c r="FA636" s="0"/>
      <c r="FB636" s="0"/>
      <c r="FC636" s="0"/>
      <c r="FD636" s="0"/>
      <c r="FE636" s="0"/>
      <c r="FF636" s="0"/>
      <c r="FG636" s="0"/>
      <c r="FH636" s="0"/>
      <c r="FI636" s="0"/>
      <c r="FJ636" s="0"/>
      <c r="FK636" s="0"/>
      <c r="FL636" s="0"/>
      <c r="FM636" s="0"/>
      <c r="FN636" s="0"/>
      <c r="FO636" s="0"/>
      <c r="FP636" s="0"/>
      <c r="FQ636" s="0"/>
      <c r="FR636" s="0"/>
      <c r="FS636" s="0"/>
      <c r="FT636" s="0"/>
      <c r="FU636" s="0"/>
      <c r="FV636" s="0"/>
      <c r="FW636" s="0"/>
      <c r="FX636" s="0"/>
      <c r="FY636" s="0"/>
      <c r="FZ636" s="0"/>
      <c r="GA636" s="0"/>
      <c r="GB636" s="0"/>
      <c r="GC636" s="0"/>
      <c r="GD636" s="0"/>
      <c r="GE636" s="0"/>
      <c r="GF636" s="0"/>
      <c r="GG636" s="0"/>
      <c r="GH636" s="0"/>
      <c r="GI636" s="0"/>
      <c r="GJ636" s="0"/>
      <c r="GK636" s="0"/>
      <c r="GL636" s="0"/>
      <c r="GM636" s="0"/>
      <c r="GN636" s="0"/>
      <c r="GO636" s="0"/>
      <c r="GP636" s="0"/>
      <c r="GQ636" s="0"/>
      <c r="GR636" s="0"/>
      <c r="GS636" s="0"/>
      <c r="GT636" s="0"/>
      <c r="GU636" s="0"/>
      <c r="GV636" s="0"/>
      <c r="GW636" s="0"/>
      <c r="GX636" s="0"/>
      <c r="GY636" s="0"/>
      <c r="GZ636" s="0"/>
      <c r="HA636" s="0"/>
      <c r="HB636" s="0"/>
      <c r="HC636" s="0"/>
      <c r="HD636" s="0"/>
      <c r="HE636" s="0"/>
      <c r="HF636" s="0"/>
      <c r="HG636" s="0"/>
      <c r="HH636" s="0"/>
      <c r="HI636" s="0"/>
      <c r="HJ636" s="0"/>
      <c r="HK636" s="0"/>
      <c r="HL636" s="0"/>
      <c r="HM636" s="0"/>
      <c r="HN636" s="0"/>
      <c r="HO636" s="0"/>
      <c r="HP636" s="0"/>
      <c r="HQ636" s="0"/>
      <c r="HR636" s="0"/>
      <c r="HS636" s="0"/>
      <c r="HT636" s="0"/>
      <c r="HU636" s="0"/>
      <c r="HV636" s="0"/>
      <c r="HW636" s="0"/>
      <c r="HX636" s="0"/>
      <c r="HY636" s="0"/>
      <c r="HZ636" s="0"/>
      <c r="IA636" s="0"/>
      <c r="IB636" s="0"/>
      <c r="IC636" s="0"/>
      <c r="ID636" s="0"/>
      <c r="IE636" s="0"/>
      <c r="IF636" s="0"/>
      <c r="IG636" s="0"/>
      <c r="IH636" s="0"/>
      <c r="II636" s="0"/>
      <c r="IJ636" s="0"/>
      <c r="IK636" s="0"/>
      <c r="IL636" s="0"/>
      <c r="IM636" s="0"/>
      <c r="IN636" s="0"/>
      <c r="IO636" s="0"/>
      <c r="IP636" s="0"/>
      <c r="IQ636" s="0"/>
      <c r="IR636" s="0"/>
      <c r="IS636" s="0"/>
      <c r="IT636" s="0"/>
      <c r="IU636" s="0"/>
      <c r="IV636" s="0"/>
    </row>
    <row r="637" customFormat="false" ht="20.1" hidden="false" customHeight="true" outlineLevel="0" collapsed="false">
      <c r="A637" s="1081" t="s">
        <v>1431</v>
      </c>
      <c r="B637" s="1081"/>
      <c r="C637" s="679" t="s">
        <v>1430</v>
      </c>
      <c r="D637" s="1097" t="n">
        <f aca="false">C184+C185+C183</f>
        <v>0</v>
      </c>
      <c r="E637" s="1098" t="n">
        <v>92.3743016759777</v>
      </c>
      <c r="F637" s="1077" t="n">
        <f aca="false">D637*E637</f>
        <v>0</v>
      </c>
      <c r="G637" s="654"/>
      <c r="H637" s="1100"/>
      <c r="I637" s="1100"/>
      <c r="J637" s="1102"/>
      <c r="K637" s="1089"/>
      <c r="L637" s="877"/>
      <c r="M637" s="0"/>
      <c r="N637" s="0"/>
      <c r="O637" s="0"/>
      <c r="P637" s="0"/>
      <c r="Q637" s="0"/>
      <c r="R637" s="0"/>
      <c r="S637" s="0"/>
      <c r="T637" s="0"/>
      <c r="U637" s="0"/>
      <c r="V637" s="0"/>
      <c r="W637" s="0"/>
      <c r="X637" s="0"/>
      <c r="Y637" s="0"/>
      <c r="Z637" s="0"/>
      <c r="AA637" s="0"/>
      <c r="AB637" s="0"/>
      <c r="AC637" s="0"/>
      <c r="AD637" s="0"/>
      <c r="AE637" s="0"/>
      <c r="AF637" s="0"/>
      <c r="AG637" s="0"/>
      <c r="AH637" s="0"/>
      <c r="AI637" s="0"/>
      <c r="AJ637" s="0"/>
      <c r="AK637" s="0"/>
      <c r="AL637" s="0"/>
      <c r="AM637" s="0"/>
      <c r="AN637" s="0"/>
      <c r="AO637" s="0"/>
      <c r="AP637" s="0"/>
      <c r="AQ637" s="0"/>
      <c r="AR637" s="0"/>
      <c r="AS637" s="0"/>
      <c r="AT637" s="0"/>
      <c r="AU637" s="0"/>
      <c r="BI637" s="0"/>
      <c r="BJ637" s="0"/>
      <c r="BK637" s="0"/>
      <c r="BL637" s="0"/>
      <c r="BM637" s="0"/>
      <c r="BN637" s="0"/>
      <c r="BO637" s="0"/>
      <c r="BP637" s="0"/>
      <c r="BQ637" s="0"/>
      <c r="BR637" s="0"/>
      <c r="BS637" s="0"/>
      <c r="BT637" s="0"/>
      <c r="BU637" s="0"/>
      <c r="BV637" s="0"/>
      <c r="BW637" s="0"/>
      <c r="BX637" s="0"/>
      <c r="BY637" s="0"/>
      <c r="BZ637" s="0"/>
      <c r="CA637" s="0"/>
      <c r="CB637" s="0"/>
      <c r="CC637" s="0"/>
      <c r="CD637" s="0"/>
      <c r="CE637" s="0"/>
      <c r="CF637" s="0"/>
      <c r="CG637" s="0"/>
      <c r="CH637" s="0"/>
      <c r="CI637" s="0"/>
      <c r="CJ637" s="0"/>
      <c r="CK637" s="0"/>
      <c r="CL637" s="0"/>
      <c r="CM637" s="0"/>
      <c r="CN637" s="0"/>
      <c r="CO637" s="0"/>
      <c r="CP637" s="0"/>
      <c r="CQ637" s="0"/>
      <c r="CR637" s="0"/>
      <c r="CS637" s="0"/>
      <c r="CT637" s="0"/>
      <c r="CU637" s="0"/>
      <c r="CV637" s="0"/>
      <c r="CW637" s="0"/>
      <c r="CX637" s="0"/>
      <c r="CY637" s="0"/>
      <c r="CZ637" s="0"/>
      <c r="DA637" s="0"/>
      <c r="DB637" s="0"/>
      <c r="DC637" s="0"/>
      <c r="DD637" s="0"/>
      <c r="DE637" s="0"/>
      <c r="DF637" s="0"/>
      <c r="DG637" s="0"/>
      <c r="DH637" s="0"/>
      <c r="DI637" s="0"/>
      <c r="DJ637" s="0"/>
      <c r="DK637" s="0"/>
      <c r="DL637" s="0"/>
      <c r="DM637" s="0"/>
      <c r="DN637" s="0"/>
      <c r="DO637" s="0"/>
      <c r="DP637" s="0"/>
      <c r="DQ637" s="0"/>
      <c r="DR637" s="0"/>
      <c r="DS637" s="0"/>
      <c r="DT637" s="0"/>
      <c r="DU637" s="0"/>
      <c r="DV637" s="0"/>
      <c r="DW637" s="0"/>
      <c r="DX637" s="0"/>
      <c r="DY637" s="0"/>
      <c r="DZ637" s="0"/>
      <c r="EA637" s="0"/>
      <c r="EB637" s="0"/>
      <c r="EC637" s="0"/>
      <c r="ED637" s="0"/>
      <c r="EE637" s="0"/>
      <c r="EF637" s="0"/>
      <c r="EG637" s="0"/>
      <c r="EH637" s="0"/>
      <c r="EI637" s="0"/>
      <c r="EJ637" s="0"/>
      <c r="EK637" s="0"/>
      <c r="EL637" s="0"/>
      <c r="EM637" s="0"/>
      <c r="EN637" s="0"/>
      <c r="EO637" s="0"/>
      <c r="EP637" s="0"/>
      <c r="EQ637" s="0"/>
      <c r="ER637" s="0"/>
      <c r="ES637" s="0"/>
      <c r="ET637" s="0"/>
      <c r="EU637" s="0"/>
      <c r="EV637" s="0"/>
      <c r="EW637" s="0"/>
      <c r="EX637" s="0"/>
      <c r="EY637" s="0"/>
      <c r="EZ637" s="0"/>
      <c r="FA637" s="0"/>
      <c r="FB637" s="0"/>
      <c r="FC637" s="0"/>
      <c r="FD637" s="0"/>
      <c r="FE637" s="0"/>
      <c r="FF637" s="0"/>
      <c r="FG637" s="0"/>
      <c r="FH637" s="0"/>
      <c r="FI637" s="0"/>
      <c r="FJ637" s="0"/>
      <c r="FK637" s="0"/>
      <c r="FL637" s="0"/>
      <c r="FM637" s="0"/>
      <c r="FN637" s="0"/>
      <c r="FO637" s="0"/>
      <c r="FP637" s="0"/>
      <c r="FQ637" s="0"/>
      <c r="FR637" s="0"/>
      <c r="FS637" s="0"/>
      <c r="FT637" s="0"/>
      <c r="FU637" s="0"/>
      <c r="FV637" s="0"/>
      <c r="FW637" s="0"/>
      <c r="FX637" s="0"/>
      <c r="FY637" s="0"/>
      <c r="FZ637" s="0"/>
      <c r="GA637" s="0"/>
      <c r="GB637" s="0"/>
      <c r="GC637" s="0"/>
      <c r="GD637" s="0"/>
      <c r="GE637" s="0"/>
      <c r="GF637" s="0"/>
      <c r="GG637" s="0"/>
      <c r="GH637" s="0"/>
      <c r="GI637" s="0"/>
      <c r="GJ637" s="0"/>
      <c r="GK637" s="0"/>
      <c r="GL637" s="0"/>
      <c r="GM637" s="0"/>
      <c r="GN637" s="0"/>
      <c r="GO637" s="0"/>
      <c r="GP637" s="0"/>
      <c r="GQ637" s="0"/>
      <c r="GR637" s="0"/>
      <c r="GS637" s="0"/>
      <c r="GT637" s="0"/>
      <c r="GU637" s="0"/>
      <c r="GV637" s="0"/>
      <c r="GW637" s="0"/>
      <c r="GX637" s="0"/>
      <c r="GY637" s="0"/>
      <c r="GZ637" s="0"/>
      <c r="HA637" s="0"/>
      <c r="HB637" s="0"/>
      <c r="HC637" s="0"/>
      <c r="HD637" s="0"/>
      <c r="HE637" s="0"/>
      <c r="HF637" s="0"/>
      <c r="HG637" s="0"/>
      <c r="HH637" s="0"/>
      <c r="HI637" s="0"/>
      <c r="HJ637" s="0"/>
      <c r="HK637" s="0"/>
      <c r="HL637" s="0"/>
      <c r="HM637" s="0"/>
      <c r="HN637" s="0"/>
      <c r="HO637" s="0"/>
      <c r="HP637" s="0"/>
      <c r="HQ637" s="0"/>
      <c r="HR637" s="0"/>
      <c r="HS637" s="0"/>
      <c r="HT637" s="0"/>
      <c r="HU637" s="0"/>
      <c r="HV637" s="0"/>
      <c r="HW637" s="0"/>
      <c r="HX637" s="0"/>
      <c r="HY637" s="0"/>
      <c r="HZ637" s="0"/>
      <c r="IA637" s="0"/>
      <c r="IB637" s="0"/>
      <c r="IC637" s="0"/>
      <c r="ID637" s="0"/>
      <c r="IE637" s="0"/>
      <c r="IF637" s="0"/>
      <c r="IG637" s="0"/>
      <c r="IH637" s="0"/>
      <c r="II637" s="0"/>
      <c r="IJ637" s="0"/>
      <c r="IK637" s="0"/>
      <c r="IL637" s="0"/>
      <c r="IM637" s="0"/>
      <c r="IN637" s="0"/>
      <c r="IO637" s="0"/>
      <c r="IP637" s="0"/>
      <c r="IQ637" s="0"/>
      <c r="IR637" s="0"/>
      <c r="IS637" s="0"/>
      <c r="IT637" s="0"/>
      <c r="IU637" s="0"/>
      <c r="IV637" s="0"/>
    </row>
    <row r="638" customFormat="false" ht="15.75" hidden="false" customHeight="true" outlineLevel="0" collapsed="false">
      <c r="A638" s="1081" t="s">
        <v>1432</v>
      </c>
      <c r="B638" s="1081"/>
      <c r="C638" s="679" t="s">
        <v>1430</v>
      </c>
      <c r="D638" s="1097" t="n">
        <f aca="false">C186+C187</f>
        <v>0</v>
      </c>
      <c r="E638" s="1098" t="n">
        <v>164.804469273743</v>
      </c>
      <c r="F638" s="1077" t="n">
        <f aca="false">D638*E638</f>
        <v>0</v>
      </c>
      <c r="G638" s="654"/>
      <c r="H638" s="1100"/>
      <c r="I638" s="1100"/>
      <c r="J638" s="1102"/>
      <c r="K638" s="1089"/>
      <c r="L638" s="877"/>
      <c r="M638" s="0"/>
      <c r="N638" s="0"/>
      <c r="O638" s="0"/>
      <c r="P638" s="0"/>
      <c r="Q638" s="0"/>
      <c r="R638" s="0"/>
      <c r="S638" s="0"/>
      <c r="T638" s="0"/>
      <c r="U638" s="0"/>
      <c r="V638" s="0"/>
      <c r="W638" s="0"/>
      <c r="X638" s="0"/>
      <c r="Y638" s="0"/>
      <c r="Z638" s="0"/>
      <c r="AA638" s="0"/>
      <c r="AB638" s="0"/>
      <c r="AC638" s="0"/>
      <c r="AD638" s="0"/>
      <c r="AE638" s="0"/>
      <c r="AF638" s="0"/>
      <c r="AG638" s="0"/>
      <c r="AH638" s="0"/>
      <c r="AI638" s="0"/>
      <c r="AJ638" s="0"/>
      <c r="AK638" s="0"/>
      <c r="AL638" s="0"/>
      <c r="AM638" s="0"/>
      <c r="AN638" s="0"/>
      <c r="AO638" s="0"/>
      <c r="AP638" s="0"/>
      <c r="AQ638" s="0"/>
      <c r="AR638" s="0"/>
      <c r="AS638" s="0"/>
      <c r="AT638" s="0"/>
      <c r="AU638" s="0"/>
      <c r="BI638" s="0"/>
      <c r="BJ638" s="0"/>
      <c r="BK638" s="0"/>
      <c r="BL638" s="0"/>
      <c r="BM638" s="0"/>
      <c r="BN638" s="0"/>
      <c r="BO638" s="0"/>
      <c r="BP638" s="0"/>
      <c r="BQ638" s="0"/>
      <c r="BR638" s="0"/>
      <c r="BS638" s="0"/>
      <c r="BT638" s="0"/>
      <c r="BU638" s="0"/>
      <c r="BV638" s="0"/>
      <c r="BW638" s="0"/>
      <c r="BX638" s="0"/>
      <c r="BY638" s="0"/>
      <c r="BZ638" s="0"/>
      <c r="CA638" s="0"/>
      <c r="CB638" s="0"/>
      <c r="CC638" s="0"/>
      <c r="CD638" s="0"/>
      <c r="CE638" s="0"/>
      <c r="CF638" s="0"/>
      <c r="CG638" s="0"/>
      <c r="CH638" s="0"/>
      <c r="CI638" s="0"/>
      <c r="CJ638" s="0"/>
      <c r="CK638" s="0"/>
      <c r="CL638" s="0"/>
      <c r="CM638" s="0"/>
      <c r="CN638" s="0"/>
      <c r="CO638" s="0"/>
      <c r="CP638" s="0"/>
      <c r="CQ638" s="0"/>
      <c r="CR638" s="0"/>
      <c r="CS638" s="0"/>
      <c r="CT638" s="0"/>
      <c r="CU638" s="0"/>
      <c r="CV638" s="0"/>
      <c r="CW638" s="0"/>
      <c r="CX638" s="0"/>
      <c r="CY638" s="0"/>
      <c r="CZ638" s="0"/>
      <c r="DA638" s="0"/>
      <c r="DB638" s="0"/>
      <c r="DC638" s="0"/>
      <c r="DD638" s="0"/>
      <c r="DE638" s="0"/>
      <c r="DF638" s="0"/>
      <c r="DG638" s="0"/>
      <c r="DH638" s="0"/>
      <c r="DI638" s="0"/>
      <c r="DJ638" s="0"/>
      <c r="DK638" s="0"/>
      <c r="DL638" s="0"/>
      <c r="DM638" s="0"/>
      <c r="DN638" s="0"/>
      <c r="DO638" s="0"/>
      <c r="DP638" s="0"/>
      <c r="DQ638" s="0"/>
      <c r="DR638" s="0"/>
      <c r="DS638" s="0"/>
      <c r="DT638" s="0"/>
      <c r="DU638" s="0"/>
      <c r="DV638" s="0"/>
      <c r="DW638" s="0"/>
      <c r="DX638" s="0"/>
      <c r="DY638" s="0"/>
      <c r="DZ638" s="0"/>
      <c r="EA638" s="0"/>
      <c r="EB638" s="0"/>
      <c r="EC638" s="0"/>
      <c r="ED638" s="0"/>
      <c r="EE638" s="0"/>
      <c r="EF638" s="0"/>
      <c r="EG638" s="0"/>
      <c r="EH638" s="0"/>
      <c r="EI638" s="0"/>
      <c r="EJ638" s="0"/>
      <c r="EK638" s="0"/>
      <c r="EL638" s="0"/>
      <c r="EM638" s="0"/>
      <c r="EN638" s="0"/>
      <c r="EO638" s="0"/>
      <c r="EP638" s="0"/>
      <c r="EQ638" s="0"/>
      <c r="ER638" s="0"/>
      <c r="ES638" s="0"/>
      <c r="ET638" s="0"/>
      <c r="EU638" s="0"/>
      <c r="EV638" s="0"/>
      <c r="EW638" s="0"/>
      <c r="EX638" s="0"/>
      <c r="EY638" s="0"/>
      <c r="EZ638" s="0"/>
      <c r="FA638" s="0"/>
      <c r="FB638" s="0"/>
      <c r="FC638" s="0"/>
      <c r="FD638" s="0"/>
      <c r="FE638" s="0"/>
      <c r="FF638" s="0"/>
      <c r="FG638" s="0"/>
      <c r="FH638" s="0"/>
      <c r="FI638" s="0"/>
      <c r="FJ638" s="0"/>
      <c r="FK638" s="0"/>
      <c r="FL638" s="0"/>
      <c r="FM638" s="0"/>
      <c r="FN638" s="0"/>
      <c r="FO638" s="0"/>
      <c r="FP638" s="0"/>
      <c r="FQ638" s="0"/>
      <c r="FR638" s="0"/>
      <c r="FS638" s="0"/>
      <c r="FT638" s="0"/>
      <c r="FU638" s="0"/>
      <c r="FV638" s="0"/>
      <c r="FW638" s="0"/>
      <c r="FX638" s="0"/>
      <c r="FY638" s="0"/>
      <c r="FZ638" s="0"/>
      <c r="GA638" s="0"/>
      <c r="GB638" s="0"/>
      <c r="GC638" s="0"/>
      <c r="GD638" s="0"/>
      <c r="GE638" s="0"/>
      <c r="GF638" s="0"/>
      <c r="GG638" s="0"/>
      <c r="GH638" s="0"/>
      <c r="GI638" s="0"/>
      <c r="GJ638" s="0"/>
      <c r="GK638" s="0"/>
      <c r="GL638" s="0"/>
      <c r="GM638" s="0"/>
      <c r="GN638" s="0"/>
      <c r="GO638" s="0"/>
      <c r="GP638" s="0"/>
      <c r="GQ638" s="0"/>
      <c r="GR638" s="0"/>
      <c r="GS638" s="0"/>
      <c r="GT638" s="0"/>
      <c r="GU638" s="0"/>
      <c r="GV638" s="0"/>
      <c r="GW638" s="0"/>
      <c r="GX638" s="0"/>
      <c r="GY638" s="0"/>
      <c r="GZ638" s="0"/>
      <c r="HA638" s="0"/>
      <c r="HB638" s="0"/>
      <c r="HC638" s="0"/>
      <c r="HD638" s="0"/>
      <c r="HE638" s="0"/>
      <c r="HF638" s="0"/>
      <c r="HG638" s="0"/>
      <c r="HH638" s="0"/>
      <c r="HI638" s="0"/>
      <c r="HJ638" s="0"/>
      <c r="HK638" s="0"/>
      <c r="HL638" s="0"/>
      <c r="HM638" s="0"/>
      <c r="HN638" s="0"/>
      <c r="HO638" s="0"/>
      <c r="HP638" s="0"/>
      <c r="HQ638" s="0"/>
      <c r="HR638" s="0"/>
      <c r="HS638" s="0"/>
      <c r="HT638" s="0"/>
      <c r="HU638" s="0"/>
      <c r="HV638" s="0"/>
      <c r="HW638" s="0"/>
      <c r="HX638" s="0"/>
      <c r="HY638" s="0"/>
      <c r="HZ638" s="0"/>
      <c r="IA638" s="0"/>
      <c r="IB638" s="0"/>
      <c r="IC638" s="0"/>
      <c r="ID638" s="0"/>
      <c r="IE638" s="0"/>
      <c r="IF638" s="0"/>
      <c r="IG638" s="0"/>
      <c r="IH638" s="0"/>
      <c r="II638" s="0"/>
      <c r="IJ638" s="0"/>
      <c r="IK638" s="0"/>
      <c r="IL638" s="0"/>
      <c r="IM638" s="0"/>
      <c r="IN638" s="0"/>
      <c r="IO638" s="0"/>
      <c r="IP638" s="0"/>
      <c r="IQ638" s="0"/>
      <c r="IR638" s="0"/>
      <c r="IS638" s="0"/>
      <c r="IT638" s="0"/>
      <c r="IU638" s="0"/>
      <c r="IV638" s="0"/>
    </row>
    <row r="639" customFormat="false" ht="20.1" hidden="false" customHeight="true" outlineLevel="0" collapsed="false">
      <c r="A639" s="1075" t="s">
        <v>1433</v>
      </c>
      <c r="B639" s="1075"/>
      <c r="C639" s="679" t="s">
        <v>1427</v>
      </c>
      <c r="D639" s="1097" t="n">
        <f aca="false">B188</f>
        <v>0</v>
      </c>
      <c r="E639" s="1098" t="n">
        <v>368.659217877095</v>
      </c>
      <c r="F639" s="1077" t="n">
        <f aca="false">D639*E639</f>
        <v>0</v>
      </c>
      <c r="G639" s="1100"/>
      <c r="H639" s="1100"/>
      <c r="I639" s="1100"/>
      <c r="J639" s="1102"/>
      <c r="K639" s="1089"/>
      <c r="L639" s="877"/>
      <c r="M639" s="0"/>
      <c r="N639" s="0"/>
      <c r="O639" s="0"/>
      <c r="P639" s="0"/>
      <c r="Q639" s="0"/>
      <c r="R639" s="0"/>
      <c r="S639" s="0"/>
      <c r="T639" s="0"/>
      <c r="U639" s="0"/>
      <c r="V639" s="0"/>
      <c r="W639" s="0"/>
      <c r="X639" s="0"/>
      <c r="Y639" s="0"/>
      <c r="Z639" s="0"/>
      <c r="AA639" s="0"/>
      <c r="AB639" s="0"/>
      <c r="AC639" s="0"/>
      <c r="AD639" s="0"/>
      <c r="AE639" s="0"/>
      <c r="AF639" s="0"/>
      <c r="AG639" s="0"/>
      <c r="AH639" s="0"/>
      <c r="AI639" s="0"/>
      <c r="AJ639" s="0"/>
      <c r="AK639" s="0"/>
      <c r="AL639" s="0"/>
      <c r="AM639" s="0"/>
      <c r="AN639" s="0"/>
      <c r="AO639" s="0"/>
      <c r="AP639" s="0"/>
      <c r="AQ639" s="0"/>
      <c r="AR639" s="0"/>
      <c r="AS639" s="0"/>
      <c r="AT639" s="0"/>
      <c r="AU639" s="0"/>
      <c r="BI639" s="0"/>
      <c r="BJ639" s="0"/>
      <c r="BK639" s="0"/>
      <c r="BL639" s="0"/>
      <c r="BM639" s="0"/>
      <c r="BN639" s="0"/>
      <c r="BO639" s="0"/>
      <c r="BP639" s="0"/>
      <c r="BQ639" s="0"/>
      <c r="BR639" s="0"/>
      <c r="BS639" s="0"/>
      <c r="BT639" s="0"/>
      <c r="BU639" s="0"/>
      <c r="BV639" s="0"/>
      <c r="BW639" s="0"/>
      <c r="BX639" s="0"/>
      <c r="BY639" s="0"/>
      <c r="BZ639" s="0"/>
      <c r="CA639" s="0"/>
      <c r="CB639" s="0"/>
      <c r="CC639" s="0"/>
      <c r="CD639" s="0"/>
      <c r="CE639" s="0"/>
      <c r="CF639" s="0"/>
      <c r="CG639" s="0"/>
      <c r="CH639" s="0"/>
      <c r="CI639" s="0"/>
      <c r="CJ639" s="0"/>
      <c r="CK639" s="0"/>
      <c r="CL639" s="0"/>
      <c r="CM639" s="0"/>
      <c r="CN639" s="0"/>
      <c r="CO639" s="0"/>
      <c r="CP639" s="0"/>
      <c r="CQ639" s="0"/>
      <c r="CR639" s="0"/>
      <c r="CS639" s="0"/>
      <c r="CT639" s="0"/>
      <c r="CU639" s="0"/>
      <c r="CV639" s="0"/>
      <c r="CW639" s="0"/>
      <c r="CX639" s="0"/>
      <c r="CY639" s="0"/>
      <c r="CZ639" s="0"/>
      <c r="DA639" s="0"/>
      <c r="DB639" s="0"/>
      <c r="DC639" s="0"/>
      <c r="DD639" s="0"/>
      <c r="DE639" s="0"/>
      <c r="DF639" s="0"/>
      <c r="DG639" s="0"/>
      <c r="DH639" s="0"/>
      <c r="DI639" s="0"/>
      <c r="DJ639" s="0"/>
      <c r="DK639" s="0"/>
      <c r="DL639" s="0"/>
      <c r="DM639" s="0"/>
      <c r="DN639" s="0"/>
      <c r="DO639" s="0"/>
      <c r="DP639" s="0"/>
      <c r="DQ639" s="0"/>
      <c r="DR639" s="0"/>
      <c r="DS639" s="0"/>
      <c r="DT639" s="0"/>
      <c r="DU639" s="0"/>
      <c r="DV639" s="0"/>
      <c r="DW639" s="0"/>
      <c r="DX639" s="0"/>
      <c r="DY639" s="0"/>
      <c r="DZ639" s="0"/>
      <c r="EA639" s="0"/>
      <c r="EB639" s="0"/>
      <c r="EC639" s="0"/>
      <c r="ED639" s="0"/>
      <c r="EE639" s="0"/>
      <c r="EF639" s="0"/>
      <c r="EG639" s="0"/>
      <c r="EH639" s="0"/>
      <c r="EI639" s="0"/>
      <c r="EJ639" s="0"/>
      <c r="EK639" s="0"/>
      <c r="EL639" s="0"/>
      <c r="EM639" s="0"/>
      <c r="EN639" s="0"/>
      <c r="EO639" s="0"/>
      <c r="EP639" s="0"/>
      <c r="EQ639" s="0"/>
      <c r="ER639" s="0"/>
      <c r="ES639" s="0"/>
      <c r="ET639" s="0"/>
      <c r="EU639" s="0"/>
      <c r="EV639" s="0"/>
      <c r="EW639" s="0"/>
      <c r="EX639" s="0"/>
      <c r="EY639" s="0"/>
      <c r="EZ639" s="0"/>
      <c r="FA639" s="0"/>
      <c r="FB639" s="0"/>
      <c r="FC639" s="0"/>
      <c r="FD639" s="0"/>
      <c r="FE639" s="0"/>
      <c r="FF639" s="0"/>
      <c r="FG639" s="0"/>
      <c r="FH639" s="0"/>
      <c r="FI639" s="0"/>
      <c r="FJ639" s="0"/>
      <c r="FK639" s="0"/>
      <c r="FL639" s="0"/>
      <c r="FM639" s="0"/>
      <c r="FN639" s="0"/>
      <c r="FO639" s="0"/>
      <c r="FP639" s="0"/>
      <c r="FQ639" s="0"/>
      <c r="FR639" s="0"/>
      <c r="FS639" s="0"/>
      <c r="FT639" s="0"/>
      <c r="FU639" s="0"/>
      <c r="FV639" s="0"/>
      <c r="FW639" s="0"/>
      <c r="FX639" s="0"/>
      <c r="FY639" s="0"/>
      <c r="FZ639" s="0"/>
      <c r="GA639" s="0"/>
      <c r="GB639" s="0"/>
      <c r="GC639" s="0"/>
      <c r="GD639" s="0"/>
      <c r="GE639" s="0"/>
      <c r="GF639" s="0"/>
      <c r="GG639" s="0"/>
      <c r="GH639" s="0"/>
      <c r="GI639" s="0"/>
      <c r="GJ639" s="0"/>
      <c r="GK639" s="0"/>
      <c r="GL639" s="0"/>
      <c r="GM639" s="0"/>
      <c r="GN639" s="0"/>
      <c r="GO639" s="0"/>
      <c r="GP639" s="0"/>
      <c r="GQ639" s="0"/>
      <c r="GR639" s="0"/>
      <c r="GS639" s="0"/>
      <c r="GT639" s="0"/>
      <c r="GU639" s="0"/>
      <c r="GV639" s="0"/>
      <c r="GW639" s="0"/>
      <c r="GX639" s="0"/>
      <c r="GY639" s="0"/>
      <c r="GZ639" s="0"/>
      <c r="HA639" s="0"/>
      <c r="HB639" s="0"/>
      <c r="HC639" s="0"/>
      <c r="HD639" s="0"/>
      <c r="HE639" s="0"/>
      <c r="HF639" s="0"/>
      <c r="HG639" s="0"/>
      <c r="HH639" s="0"/>
      <c r="HI639" s="0"/>
      <c r="HJ639" s="0"/>
      <c r="HK639" s="0"/>
      <c r="HL639" s="0"/>
      <c r="HM639" s="0"/>
      <c r="HN639" s="0"/>
      <c r="HO639" s="0"/>
      <c r="HP639" s="0"/>
      <c r="HQ639" s="0"/>
      <c r="HR639" s="0"/>
      <c r="HS639" s="0"/>
      <c r="HT639" s="0"/>
      <c r="HU639" s="0"/>
      <c r="HV639" s="0"/>
      <c r="HW639" s="0"/>
      <c r="HX639" s="0"/>
      <c r="HY639" s="0"/>
      <c r="HZ639" s="0"/>
      <c r="IA639" s="0"/>
      <c r="IB639" s="0"/>
      <c r="IC639" s="0"/>
      <c r="ID639" s="0"/>
      <c r="IE639" s="0"/>
      <c r="IF639" s="0"/>
      <c r="IG639" s="0"/>
      <c r="IH639" s="0"/>
      <c r="II639" s="0"/>
      <c r="IJ639" s="0"/>
      <c r="IK639" s="0"/>
      <c r="IL639" s="0"/>
      <c r="IM639" s="0"/>
      <c r="IN639" s="0"/>
      <c r="IO639" s="0"/>
      <c r="IP639" s="0"/>
      <c r="IQ639" s="0"/>
      <c r="IR639" s="0"/>
      <c r="IS639" s="0"/>
      <c r="IT639" s="0"/>
      <c r="IU639" s="0"/>
      <c r="IV639" s="0"/>
    </row>
    <row r="640" customFormat="false" ht="20.1" hidden="false" customHeight="true" outlineLevel="0" collapsed="false">
      <c r="A640" s="1075" t="s">
        <v>1434</v>
      </c>
      <c r="B640" s="1075"/>
      <c r="C640" s="679" t="s">
        <v>1435</v>
      </c>
      <c r="D640" s="793" t="n">
        <f aca="false">'Bilan apparent'!F46</f>
        <v>12319.2</v>
      </c>
      <c r="E640" s="1098" t="n">
        <v>1.46927374301676</v>
      </c>
      <c r="F640" s="1077" t="n">
        <f aca="false">D640*E640</f>
        <v>18100.2770949721</v>
      </c>
      <c r="G640" s="55"/>
      <c r="H640" s="55"/>
      <c r="I640" s="55"/>
      <c r="J640" s="11"/>
      <c r="K640" s="1067"/>
      <c r="L640" s="1067"/>
      <c r="M640" s="0"/>
      <c r="N640" s="0"/>
      <c r="O640" s="0"/>
      <c r="P640" s="0"/>
      <c r="Q640" s="0"/>
      <c r="R640" s="0"/>
      <c r="S640" s="0"/>
      <c r="T640" s="0"/>
      <c r="U640" s="0"/>
    </row>
    <row r="641" customFormat="false" ht="20.1" hidden="false" customHeight="true" outlineLevel="0" collapsed="false">
      <c r="A641" s="1104"/>
      <c r="B641" s="1105"/>
      <c r="C641" s="1106"/>
      <c r="D641" s="1107"/>
      <c r="E641" s="1108" t="s">
        <v>1436</v>
      </c>
      <c r="F641" s="1109" t="n">
        <f aca="false">SUM(F632:F640)</f>
        <v>23254.9139664804</v>
      </c>
      <c r="G641" s="1110"/>
      <c r="H641" s="19"/>
      <c r="J641" s="11"/>
      <c r="K641" s="1089"/>
      <c r="L641" s="877"/>
      <c r="M641" s="0"/>
      <c r="N641" s="0"/>
      <c r="O641" s="0"/>
      <c r="P641" s="0"/>
      <c r="Q641" s="0"/>
      <c r="R641" s="0"/>
      <c r="S641" s="0"/>
      <c r="T641" s="0"/>
      <c r="U641" s="0"/>
      <c r="V641" s="0"/>
      <c r="W641" s="0"/>
      <c r="X641" s="0"/>
      <c r="Y641" s="0"/>
      <c r="Z641" s="0"/>
      <c r="AA641" s="0"/>
      <c r="AB641" s="0"/>
      <c r="AC641" s="0"/>
      <c r="AD641" s="0"/>
      <c r="AE641" s="0"/>
      <c r="AF641" s="0"/>
      <c r="AG641" s="0"/>
      <c r="AH641" s="0"/>
      <c r="AI641" s="0"/>
      <c r="AJ641" s="0"/>
      <c r="AK641" s="0"/>
      <c r="AL641" s="0"/>
      <c r="AM641" s="0"/>
      <c r="AN641" s="0"/>
      <c r="AO641" s="0"/>
      <c r="AP641" s="0"/>
      <c r="AQ641" s="0"/>
      <c r="AR641" s="0"/>
      <c r="AS641" s="0"/>
      <c r="AT641" s="0"/>
      <c r="AU641" s="0"/>
      <c r="BI641" s="0"/>
      <c r="BJ641" s="0"/>
      <c r="BK641" s="0"/>
      <c r="BL641" s="0"/>
      <c r="BM641" s="0"/>
      <c r="BN641" s="0"/>
      <c r="BO641" s="0"/>
      <c r="BP641" s="0"/>
      <c r="BQ641" s="0"/>
      <c r="BR641" s="0"/>
      <c r="BS641" s="0"/>
      <c r="BT641" s="0"/>
      <c r="BU641" s="0"/>
      <c r="BV641" s="0"/>
      <c r="BW641" s="0"/>
      <c r="BX641" s="0"/>
      <c r="BY641" s="0"/>
      <c r="BZ641" s="0"/>
      <c r="CA641" s="0"/>
      <c r="CB641" s="0"/>
      <c r="CC641" s="0"/>
      <c r="CD641" s="0"/>
      <c r="CE641" s="0"/>
      <c r="CF641" s="0"/>
      <c r="CG641" s="0"/>
      <c r="CH641" s="0"/>
      <c r="CI641" s="0"/>
      <c r="CJ641" s="0"/>
      <c r="CK641" s="0"/>
      <c r="CL641" s="0"/>
      <c r="CM641" s="0"/>
      <c r="CN641" s="0"/>
      <c r="CO641" s="0"/>
      <c r="CP641" s="0"/>
      <c r="CQ641" s="0"/>
      <c r="CR641" s="0"/>
      <c r="CS641" s="0"/>
      <c r="CT641" s="0"/>
      <c r="CU641" s="0"/>
      <c r="CV641" s="0"/>
      <c r="CW641" s="0"/>
      <c r="CX641" s="0"/>
      <c r="CY641" s="0"/>
      <c r="CZ641" s="0"/>
      <c r="DA641" s="0"/>
      <c r="DB641" s="0"/>
      <c r="DC641" s="0"/>
      <c r="DD641" s="0"/>
      <c r="DE641" s="0"/>
      <c r="DF641" s="0"/>
      <c r="DG641" s="0"/>
      <c r="DH641" s="0"/>
      <c r="DI641" s="0"/>
      <c r="DJ641" s="0"/>
      <c r="DK641" s="0"/>
      <c r="DL641" s="0"/>
      <c r="DM641" s="0"/>
      <c r="DN641" s="0"/>
      <c r="DO641" s="0"/>
      <c r="DP641" s="0"/>
      <c r="DQ641" s="0"/>
      <c r="DR641" s="0"/>
      <c r="DS641" s="0"/>
      <c r="DT641" s="0"/>
      <c r="DU641" s="0"/>
      <c r="DV641" s="0"/>
      <c r="DW641" s="0"/>
      <c r="DX641" s="0"/>
      <c r="DY641" s="0"/>
      <c r="DZ641" s="0"/>
      <c r="EA641" s="0"/>
      <c r="EB641" s="0"/>
      <c r="EC641" s="0"/>
      <c r="ED641" s="0"/>
      <c r="EE641" s="0"/>
      <c r="EF641" s="0"/>
      <c r="EG641" s="0"/>
      <c r="EH641" s="0"/>
      <c r="EI641" s="0"/>
      <c r="EJ641" s="0"/>
      <c r="EK641" s="0"/>
      <c r="EL641" s="0"/>
      <c r="EM641" s="0"/>
      <c r="EN641" s="0"/>
      <c r="EO641" s="0"/>
      <c r="EP641" s="0"/>
      <c r="EQ641" s="0"/>
      <c r="ER641" s="0"/>
      <c r="ES641" s="0"/>
      <c r="ET641" s="0"/>
      <c r="EU641" s="0"/>
      <c r="EV641" s="0"/>
      <c r="EW641" s="0"/>
      <c r="EX641" s="0"/>
      <c r="EY641" s="0"/>
      <c r="EZ641" s="0"/>
      <c r="FA641" s="0"/>
      <c r="FB641" s="0"/>
      <c r="FC641" s="0"/>
      <c r="FD641" s="0"/>
      <c r="FE641" s="0"/>
      <c r="FF641" s="0"/>
      <c r="FG641" s="0"/>
      <c r="FH641" s="0"/>
      <c r="FI641" s="0"/>
      <c r="FJ641" s="0"/>
      <c r="FK641" s="0"/>
      <c r="FL641" s="0"/>
      <c r="FM641" s="0"/>
      <c r="FN641" s="0"/>
      <c r="FO641" s="0"/>
      <c r="FP641" s="0"/>
      <c r="FQ641" s="0"/>
      <c r="FR641" s="0"/>
      <c r="FS641" s="0"/>
      <c r="FT641" s="0"/>
      <c r="FU641" s="0"/>
      <c r="FV641" s="0"/>
      <c r="FW641" s="0"/>
      <c r="FX641" s="0"/>
      <c r="FY641" s="0"/>
      <c r="FZ641" s="0"/>
      <c r="GA641" s="0"/>
      <c r="GB641" s="0"/>
      <c r="GC641" s="0"/>
      <c r="GD641" s="0"/>
      <c r="GE641" s="0"/>
      <c r="GF641" s="0"/>
      <c r="GG641" s="0"/>
      <c r="GH641" s="0"/>
      <c r="GI641" s="0"/>
      <c r="GJ641" s="0"/>
      <c r="GK641" s="0"/>
      <c r="GL641" s="0"/>
      <c r="GM641" s="0"/>
      <c r="GN641" s="0"/>
      <c r="GO641" s="0"/>
      <c r="GP641" s="0"/>
      <c r="GQ641" s="0"/>
      <c r="GR641" s="0"/>
      <c r="GS641" s="0"/>
      <c r="GT641" s="0"/>
      <c r="GU641" s="0"/>
      <c r="GV641" s="0"/>
      <c r="GW641" s="0"/>
      <c r="GX641" s="0"/>
      <c r="GY641" s="0"/>
      <c r="GZ641" s="0"/>
      <c r="HA641" s="0"/>
      <c r="HB641" s="0"/>
      <c r="HC641" s="0"/>
      <c r="HD641" s="0"/>
      <c r="HE641" s="0"/>
      <c r="HF641" s="0"/>
      <c r="HG641" s="0"/>
      <c r="HH641" s="0"/>
      <c r="HI641" s="0"/>
      <c r="HJ641" s="0"/>
      <c r="HK641" s="0"/>
      <c r="HL641" s="0"/>
      <c r="HM641" s="0"/>
      <c r="HN641" s="0"/>
      <c r="HO641" s="0"/>
      <c r="HP641" s="0"/>
      <c r="HQ641" s="0"/>
      <c r="HR641" s="0"/>
      <c r="HS641" s="0"/>
      <c r="HT641" s="0"/>
      <c r="HU641" s="0"/>
      <c r="HV641" s="0"/>
      <c r="HW641" s="0"/>
      <c r="HX641" s="0"/>
      <c r="HY641" s="0"/>
      <c r="HZ641" s="0"/>
      <c r="IA641" s="0"/>
      <c r="IB641" s="0"/>
      <c r="IC641" s="0"/>
      <c r="ID641" s="0"/>
      <c r="IE641" s="0"/>
      <c r="IF641" s="0"/>
      <c r="IG641" s="0"/>
      <c r="IH641" s="0"/>
      <c r="II641" s="0"/>
      <c r="IJ641" s="0"/>
      <c r="IK641" s="0"/>
      <c r="IL641" s="0"/>
      <c r="IM641" s="0"/>
      <c r="IN641" s="0"/>
      <c r="IO641" s="0"/>
      <c r="IP641" s="0"/>
      <c r="IQ641" s="0"/>
      <c r="IR641" s="0"/>
      <c r="IS641" s="0"/>
      <c r="IT641" s="0"/>
      <c r="IU641" s="0"/>
      <c r="IV641" s="0"/>
    </row>
    <row r="642" customFormat="false" ht="20.1" hidden="false" customHeight="true" outlineLevel="0" collapsed="false">
      <c r="N642" s="0"/>
      <c r="O642" s="0"/>
      <c r="P642" s="0"/>
      <c r="Q642" s="55"/>
      <c r="R642" s="55"/>
      <c r="S642" s="0"/>
      <c r="T642" s="0"/>
      <c r="U642" s="0"/>
      <c r="V642" s="0"/>
      <c r="W642" s="0"/>
      <c r="X642" s="0"/>
      <c r="Y642" s="0"/>
      <c r="Z642" s="0"/>
      <c r="AA642" s="0"/>
      <c r="AB642" s="0"/>
      <c r="AC642" s="0"/>
      <c r="AD642" s="0"/>
      <c r="AE642" s="0"/>
      <c r="AF642" s="0"/>
      <c r="AG642" s="0"/>
      <c r="AH642" s="0"/>
      <c r="AI642" s="0"/>
      <c r="AJ642" s="0"/>
      <c r="AK642" s="0"/>
      <c r="AL642" s="0"/>
      <c r="AM642" s="0"/>
      <c r="AN642" s="0"/>
      <c r="AO642" s="0"/>
      <c r="AP642" s="0"/>
      <c r="AQ642" s="0"/>
      <c r="AR642" s="0"/>
      <c r="AS642" s="0"/>
      <c r="AT642" s="0"/>
      <c r="AU642" s="0"/>
      <c r="AV642" s="0"/>
      <c r="AW642" s="0"/>
      <c r="AX642" s="0"/>
      <c r="AY642" s="0"/>
      <c r="AZ642" s="0"/>
      <c r="BA642" s="0"/>
      <c r="BB642" s="0"/>
      <c r="BC642" s="0"/>
      <c r="BD642" s="0"/>
      <c r="BE642" s="0"/>
      <c r="BF642" s="0"/>
      <c r="BG642" s="0"/>
      <c r="BH642" s="0"/>
      <c r="BI642" s="0"/>
      <c r="BJ642" s="0"/>
      <c r="BK642" s="0"/>
      <c r="BL642" s="0"/>
      <c r="BM642" s="0"/>
      <c r="BN642" s="0"/>
      <c r="BO642" s="0"/>
      <c r="BP642" s="0"/>
      <c r="BQ642" s="0"/>
      <c r="BR642" s="0"/>
      <c r="BS642" s="0"/>
      <c r="BT642" s="0"/>
      <c r="BU642" s="0"/>
      <c r="BV642" s="0"/>
      <c r="BW642" s="0"/>
      <c r="BX642" s="0"/>
      <c r="BY642" s="0"/>
      <c r="BZ642" s="0"/>
      <c r="CA642" s="0"/>
      <c r="CB642" s="0"/>
      <c r="CC642" s="0"/>
      <c r="CD642" s="0"/>
      <c r="CE642" s="0"/>
      <c r="CF642" s="0"/>
      <c r="CG642" s="0"/>
      <c r="CH642" s="0"/>
      <c r="CI642" s="0"/>
      <c r="CJ642" s="0"/>
      <c r="CK642" s="0"/>
      <c r="CL642" s="0"/>
      <c r="CM642" s="0"/>
      <c r="CN642" s="0"/>
      <c r="CO642" s="0"/>
      <c r="CP642" s="0"/>
      <c r="CQ642" s="0"/>
      <c r="CR642" s="0"/>
      <c r="CS642" s="0"/>
      <c r="CT642" s="0"/>
      <c r="CU642" s="0"/>
      <c r="CV642" s="0"/>
      <c r="CW642" s="0"/>
      <c r="CX642" s="0"/>
      <c r="CY642" s="0"/>
      <c r="CZ642" s="0"/>
      <c r="DA642" s="0"/>
      <c r="DB642" s="0"/>
      <c r="DC642" s="0"/>
      <c r="DD642" s="0"/>
      <c r="DE642" s="0"/>
      <c r="DF642" s="0"/>
      <c r="DG642" s="0"/>
      <c r="DH642" s="0"/>
      <c r="DI642" s="0"/>
      <c r="DJ642" s="0"/>
      <c r="DK642" s="0"/>
      <c r="DL642" s="0"/>
      <c r="DM642" s="0"/>
      <c r="DN642" s="0"/>
      <c r="DO642" s="0"/>
      <c r="DP642" s="0"/>
      <c r="DQ642" s="0"/>
      <c r="DR642" s="0"/>
      <c r="DS642" s="0"/>
      <c r="DT642" s="0"/>
      <c r="DU642" s="0"/>
      <c r="DV642" s="0"/>
      <c r="DW642" s="0"/>
      <c r="DX642" s="0"/>
      <c r="DY642" s="0"/>
      <c r="DZ642" s="0"/>
      <c r="EA642" s="0"/>
      <c r="EB642" s="0"/>
      <c r="EC642" s="0"/>
      <c r="ED642" s="0"/>
      <c r="EE642" s="0"/>
      <c r="EF642" s="0"/>
      <c r="EG642" s="0"/>
      <c r="EH642" s="0"/>
      <c r="EI642" s="0"/>
      <c r="EJ642" s="0"/>
      <c r="EK642" s="0"/>
      <c r="EL642" s="0"/>
      <c r="EM642" s="0"/>
      <c r="EN642" s="0"/>
      <c r="EO642" s="0"/>
      <c r="EP642" s="0"/>
      <c r="EQ642" s="0"/>
      <c r="ER642" s="0"/>
      <c r="ES642" s="0"/>
      <c r="ET642" s="0"/>
      <c r="EU642" s="0"/>
      <c r="EV642" s="0"/>
      <c r="EW642" s="0"/>
      <c r="EX642" s="0"/>
      <c r="EY642" s="0"/>
      <c r="EZ642" s="0"/>
      <c r="FA642" s="0"/>
      <c r="FB642" s="0"/>
      <c r="FC642" s="0"/>
      <c r="FD642" s="0"/>
      <c r="FE642" s="0"/>
      <c r="FF642" s="0"/>
      <c r="FG642" s="0"/>
      <c r="FH642" s="0"/>
      <c r="FI642" s="0"/>
      <c r="FJ642" s="0"/>
      <c r="FK642" s="0"/>
      <c r="FL642" s="0"/>
      <c r="FM642" s="0"/>
      <c r="FN642" s="0"/>
      <c r="FO642" s="0"/>
      <c r="FP642" s="0"/>
      <c r="FQ642" s="0"/>
      <c r="FR642" s="0"/>
      <c r="FS642" s="0"/>
      <c r="FT642" s="0"/>
      <c r="FU642" s="0"/>
      <c r="FV642" s="0"/>
      <c r="FW642" s="0"/>
      <c r="FX642" s="0"/>
      <c r="FY642" s="0"/>
      <c r="FZ642" s="0"/>
      <c r="GA642" s="0"/>
      <c r="GB642" s="0"/>
      <c r="GC642" s="0"/>
      <c r="GD642" s="0"/>
      <c r="GE642" s="0"/>
      <c r="GF642" s="0"/>
      <c r="GG642" s="0"/>
      <c r="GH642" s="0"/>
      <c r="GI642" s="0"/>
      <c r="GJ642" s="0"/>
      <c r="GK642" s="0"/>
      <c r="GL642" s="0"/>
      <c r="GM642" s="0"/>
      <c r="GN642" s="0"/>
      <c r="GO642" s="0"/>
      <c r="GP642" s="0"/>
      <c r="GQ642" s="0"/>
      <c r="GR642" s="0"/>
      <c r="GS642" s="0"/>
      <c r="GT642" s="0"/>
      <c r="GU642" s="0"/>
      <c r="GV642" s="0"/>
      <c r="GW642" s="0"/>
      <c r="GX642" s="0"/>
      <c r="GY642" s="0"/>
      <c r="GZ642" s="0"/>
      <c r="HA642" s="0"/>
      <c r="HB642" s="0"/>
      <c r="HC642" s="0"/>
      <c r="HD642" s="0"/>
      <c r="HE642" s="0"/>
      <c r="HF642" s="0"/>
      <c r="HG642" s="0"/>
      <c r="HH642" s="0"/>
      <c r="HI642" s="0"/>
      <c r="HJ642" s="0"/>
      <c r="HK642" s="0"/>
      <c r="HL642" s="0"/>
      <c r="HM642" s="0"/>
      <c r="HN642" s="0"/>
      <c r="HO642" s="0"/>
      <c r="HP642" s="0"/>
      <c r="HQ642" s="0"/>
      <c r="HR642" s="0"/>
      <c r="HS642" s="0"/>
      <c r="HT642" s="0"/>
      <c r="HU642" s="0"/>
      <c r="HV642" s="0"/>
      <c r="HW642" s="0"/>
      <c r="HX642" s="0"/>
      <c r="HY642" s="0"/>
      <c r="HZ642" s="0"/>
      <c r="IA642" s="0"/>
      <c r="IB642" s="0"/>
      <c r="IC642" s="0"/>
      <c r="ID642" s="0"/>
      <c r="IE642" s="0"/>
      <c r="IF642" s="0"/>
      <c r="IG642" s="0"/>
      <c r="IH642" s="0"/>
      <c r="II642" s="0"/>
      <c r="IJ642" s="0"/>
      <c r="IK642" s="0"/>
      <c r="IL642" s="0"/>
      <c r="IM642" s="0"/>
      <c r="IN642" s="0"/>
      <c r="IO642" s="0"/>
      <c r="IP642" s="0"/>
      <c r="IQ642" s="0"/>
      <c r="IR642" s="0"/>
      <c r="IS642" s="0"/>
      <c r="IT642" s="0"/>
      <c r="IU642" s="0"/>
      <c r="IV642" s="0"/>
    </row>
    <row r="643" customFormat="false" ht="20.1" hidden="false" customHeight="true" outlineLevel="0" collapsed="false">
      <c r="N643" s="0"/>
      <c r="O643" s="0"/>
      <c r="P643" s="0"/>
      <c r="Q643" s="55"/>
      <c r="R643" s="55"/>
      <c r="S643" s="0"/>
      <c r="T643" s="0"/>
      <c r="U643" s="0"/>
      <c r="V643" s="0"/>
      <c r="W643" s="0"/>
      <c r="X643" s="0"/>
      <c r="Y643" s="0"/>
      <c r="Z643" s="0"/>
      <c r="AA643" s="0"/>
      <c r="AB643" s="0"/>
      <c r="AC643" s="0"/>
      <c r="AD643" s="0"/>
      <c r="AE643" s="0"/>
      <c r="AF643" s="0"/>
      <c r="AG643" s="0"/>
      <c r="AH643" s="0"/>
      <c r="AI643" s="0"/>
      <c r="AJ643" s="0"/>
      <c r="AK643" s="0"/>
      <c r="AL643" s="0"/>
      <c r="AM643" s="0"/>
      <c r="AN643" s="0"/>
      <c r="AO643" s="0"/>
      <c r="AP643" s="0"/>
      <c r="AQ643" s="0"/>
      <c r="AR643" s="0"/>
      <c r="AS643" s="0"/>
      <c r="AT643" s="0"/>
      <c r="AU643" s="0"/>
      <c r="AV643" s="0"/>
      <c r="AW643" s="0"/>
      <c r="AX643" s="0"/>
      <c r="AY643" s="0"/>
      <c r="AZ643" s="0"/>
      <c r="BA643" s="0"/>
      <c r="BB643" s="0"/>
      <c r="BC643" s="0"/>
      <c r="BD643" s="0"/>
      <c r="BE643" s="0"/>
      <c r="BF643" s="0"/>
      <c r="BG643" s="0"/>
      <c r="BH643" s="0"/>
      <c r="BI643" s="0"/>
      <c r="BJ643" s="0"/>
      <c r="BK643" s="0"/>
      <c r="BL643" s="0"/>
      <c r="BM643" s="0"/>
      <c r="BN643" s="0"/>
      <c r="BO643" s="0"/>
      <c r="BP643" s="0"/>
      <c r="BQ643" s="0"/>
      <c r="BR643" s="0"/>
      <c r="BS643" s="0"/>
      <c r="BT643" s="0"/>
      <c r="BU643" s="0"/>
      <c r="BV643" s="0"/>
      <c r="BW643" s="0"/>
      <c r="BX643" s="0"/>
      <c r="BY643" s="0"/>
      <c r="BZ643" s="0"/>
      <c r="CA643" s="0"/>
      <c r="CB643" s="0"/>
      <c r="CC643" s="0"/>
      <c r="CD643" s="0"/>
      <c r="CE643" s="0"/>
      <c r="CF643" s="0"/>
      <c r="CG643" s="0"/>
      <c r="CH643" s="0"/>
      <c r="CI643" s="0"/>
      <c r="CJ643" s="0"/>
      <c r="CK643" s="0"/>
      <c r="CL643" s="0"/>
      <c r="CM643" s="0"/>
      <c r="CN643" s="0"/>
      <c r="CO643" s="0"/>
      <c r="CP643" s="0"/>
      <c r="CQ643" s="0"/>
      <c r="CR643" s="0"/>
      <c r="CS643" s="0"/>
      <c r="CT643" s="0"/>
      <c r="CU643" s="0"/>
      <c r="CV643" s="0"/>
      <c r="CW643" s="0"/>
      <c r="CX643" s="0"/>
      <c r="CY643" s="0"/>
      <c r="CZ643" s="0"/>
      <c r="DA643" s="0"/>
      <c r="DB643" s="0"/>
      <c r="DC643" s="0"/>
      <c r="DD643" s="0"/>
      <c r="DE643" s="0"/>
      <c r="DF643" s="0"/>
      <c r="DG643" s="0"/>
      <c r="DH643" s="0"/>
      <c r="DI643" s="0"/>
      <c r="DJ643" s="0"/>
      <c r="DK643" s="0"/>
      <c r="DL643" s="0"/>
      <c r="DM643" s="0"/>
      <c r="DN643" s="0"/>
      <c r="DO643" s="0"/>
      <c r="DP643" s="0"/>
      <c r="DQ643" s="0"/>
      <c r="DR643" s="0"/>
      <c r="DS643" s="0"/>
      <c r="DT643" s="0"/>
      <c r="DU643" s="0"/>
      <c r="DV643" s="0"/>
      <c r="DW643" s="0"/>
      <c r="DX643" s="0"/>
      <c r="DY643" s="0"/>
      <c r="DZ643" s="0"/>
      <c r="EA643" s="0"/>
      <c r="EB643" s="0"/>
      <c r="EC643" s="0"/>
      <c r="ED643" s="0"/>
      <c r="EE643" s="0"/>
      <c r="EF643" s="0"/>
      <c r="EG643" s="0"/>
      <c r="EH643" s="0"/>
      <c r="EI643" s="0"/>
      <c r="EJ643" s="0"/>
      <c r="EK643" s="0"/>
      <c r="EL643" s="0"/>
      <c r="EM643" s="0"/>
      <c r="EN643" s="0"/>
      <c r="EO643" s="0"/>
      <c r="EP643" s="0"/>
      <c r="EQ643" s="0"/>
      <c r="ER643" s="0"/>
      <c r="ES643" s="0"/>
      <c r="ET643" s="0"/>
      <c r="EU643" s="0"/>
      <c r="EV643" s="0"/>
      <c r="EW643" s="0"/>
      <c r="EX643" s="0"/>
      <c r="EY643" s="0"/>
      <c r="EZ643" s="0"/>
      <c r="FA643" s="0"/>
      <c r="FB643" s="0"/>
      <c r="FC643" s="0"/>
      <c r="FD643" s="0"/>
      <c r="FE643" s="0"/>
      <c r="FF643" s="0"/>
      <c r="FG643" s="0"/>
      <c r="FH643" s="0"/>
      <c r="FI643" s="0"/>
      <c r="FJ643" s="0"/>
      <c r="FK643" s="0"/>
      <c r="FL643" s="0"/>
      <c r="FM643" s="0"/>
      <c r="FN643" s="0"/>
      <c r="FO643" s="0"/>
      <c r="FP643" s="0"/>
      <c r="FQ643" s="0"/>
      <c r="FR643" s="0"/>
      <c r="FS643" s="0"/>
      <c r="FT643" s="0"/>
      <c r="FU643" s="0"/>
      <c r="FV643" s="0"/>
      <c r="FW643" s="0"/>
      <c r="FX643" s="0"/>
      <c r="FY643" s="0"/>
      <c r="FZ643" s="0"/>
      <c r="GA643" s="0"/>
      <c r="GB643" s="0"/>
      <c r="GC643" s="0"/>
      <c r="GD643" s="0"/>
      <c r="GE643" s="0"/>
      <c r="GF643" s="0"/>
      <c r="GG643" s="0"/>
      <c r="GH643" s="0"/>
      <c r="GI643" s="0"/>
      <c r="GJ643" s="0"/>
      <c r="GK643" s="0"/>
      <c r="GL643" s="0"/>
      <c r="GM643" s="0"/>
      <c r="GN643" s="0"/>
      <c r="GO643" s="0"/>
      <c r="GP643" s="0"/>
      <c r="GQ643" s="0"/>
      <c r="GR643" s="0"/>
      <c r="GS643" s="0"/>
      <c r="GT643" s="0"/>
      <c r="GU643" s="0"/>
      <c r="GV643" s="0"/>
      <c r="GW643" s="0"/>
      <c r="GX643" s="0"/>
      <c r="GY643" s="0"/>
      <c r="GZ643" s="0"/>
      <c r="HA643" s="0"/>
      <c r="HB643" s="0"/>
      <c r="HC643" s="0"/>
      <c r="HD643" s="0"/>
      <c r="HE643" s="0"/>
      <c r="HF643" s="0"/>
      <c r="HG643" s="0"/>
      <c r="HH643" s="0"/>
      <c r="HI643" s="0"/>
      <c r="HJ643" s="0"/>
      <c r="HK643" s="0"/>
      <c r="HL643" s="0"/>
      <c r="HM643" s="0"/>
      <c r="HN643" s="0"/>
      <c r="HO643" s="0"/>
      <c r="HP643" s="0"/>
      <c r="HQ643" s="0"/>
      <c r="HR643" s="0"/>
      <c r="HS643" s="0"/>
      <c r="HT643" s="0"/>
      <c r="HU643" s="0"/>
      <c r="HV643" s="0"/>
      <c r="HW643" s="0"/>
      <c r="HX643" s="0"/>
      <c r="HY643" s="0"/>
      <c r="HZ643" s="0"/>
      <c r="IA643" s="0"/>
      <c r="IB643" s="0"/>
      <c r="IC643" s="0"/>
      <c r="ID643" s="0"/>
      <c r="IE643" s="0"/>
      <c r="IF643" s="0"/>
      <c r="IG643" s="0"/>
      <c r="IH643" s="0"/>
      <c r="II643" s="0"/>
      <c r="IJ643" s="0"/>
      <c r="IK643" s="0"/>
      <c r="IL643" s="0"/>
      <c r="IM643" s="0"/>
      <c r="IN643" s="0"/>
      <c r="IO643" s="0"/>
      <c r="IP643" s="0"/>
      <c r="IQ643" s="0"/>
      <c r="IR643" s="0"/>
      <c r="IS643" s="0"/>
      <c r="IT643" s="0"/>
      <c r="IU643" s="0"/>
      <c r="IV643" s="0"/>
    </row>
    <row r="644" customFormat="false" ht="15.75" hidden="false" customHeight="true" outlineLevel="0" collapsed="false">
      <c r="A644" s="869" t="s">
        <v>1437</v>
      </c>
      <c r="B644" s="869"/>
      <c r="C644" s="869"/>
      <c r="D644" s="869"/>
      <c r="E644" s="869"/>
      <c r="F644" s="869"/>
      <c r="G644" s="869"/>
      <c r="H644" s="53"/>
      <c r="I644" s="53"/>
      <c r="J644" s="53"/>
      <c r="K644" s="870"/>
      <c r="L644" s="871" t="s">
        <v>1438</v>
      </c>
      <c r="M644" s="1023"/>
      <c r="N644" s="0"/>
      <c r="O644" s="0"/>
      <c r="P644" s="0"/>
      <c r="Q644" s="55"/>
      <c r="R644" s="55"/>
      <c r="S644" s="0"/>
      <c r="T644" s="0"/>
      <c r="U644" s="0"/>
      <c r="V644" s="0"/>
      <c r="W644" s="0"/>
      <c r="X644" s="0"/>
      <c r="Y644" s="0"/>
      <c r="Z644" s="0"/>
      <c r="AA644" s="0"/>
      <c r="AB644" s="0"/>
      <c r="AC644" s="0"/>
      <c r="AD644" s="0"/>
      <c r="AE644" s="0"/>
      <c r="AF644" s="0"/>
      <c r="AG644" s="0"/>
      <c r="AH644" s="0"/>
      <c r="AI644" s="0"/>
      <c r="AJ644" s="0"/>
      <c r="AK644" s="0"/>
      <c r="AL644" s="0"/>
      <c r="AM644" s="0"/>
      <c r="AN644" s="0"/>
      <c r="AO644" s="0"/>
      <c r="AP644" s="0"/>
      <c r="AQ644" s="0"/>
      <c r="AR644" s="0"/>
      <c r="AS644" s="0"/>
      <c r="AT644" s="0"/>
      <c r="AU644" s="0"/>
      <c r="AV644" s="0"/>
      <c r="AW644" s="0"/>
      <c r="AX644" s="0"/>
      <c r="AY644" s="0"/>
      <c r="AZ644" s="0"/>
      <c r="BA644" s="0"/>
      <c r="BB644" s="0"/>
      <c r="BC644" s="0"/>
      <c r="BD644" s="0"/>
      <c r="BE644" s="0"/>
      <c r="BF644" s="0"/>
      <c r="BG644" s="0"/>
      <c r="BH644" s="0"/>
      <c r="BI644" s="0"/>
      <c r="BJ644" s="0"/>
      <c r="BK644" s="0"/>
      <c r="BL644" s="0"/>
      <c r="BM644" s="0"/>
      <c r="BN644" s="0"/>
      <c r="BO644" s="0"/>
      <c r="BP644" s="0"/>
      <c r="BQ644" s="0"/>
      <c r="BR644" s="0"/>
      <c r="BS644" s="0"/>
      <c r="BT644" s="0"/>
      <c r="BU644" s="0"/>
      <c r="BV644" s="0"/>
      <c r="BW644" s="0"/>
      <c r="BX644" s="0"/>
      <c r="BY644" s="0"/>
      <c r="BZ644" s="0"/>
      <c r="CA644" s="0"/>
      <c r="CB644" s="0"/>
      <c r="CC644" s="0"/>
      <c r="CD644" s="0"/>
      <c r="CE644" s="0"/>
      <c r="CF644" s="0"/>
      <c r="CG644" s="0"/>
      <c r="CH644" s="0"/>
      <c r="CI644" s="0"/>
      <c r="CJ644" s="0"/>
      <c r="CK644" s="0"/>
      <c r="CL644" s="0"/>
      <c r="CM644" s="0"/>
      <c r="CN644" s="0"/>
      <c r="CO644" s="0"/>
      <c r="CP644" s="0"/>
      <c r="CQ644" s="0"/>
      <c r="CR644" s="0"/>
      <c r="CS644" s="0"/>
      <c r="CT644" s="0"/>
      <c r="CU644" s="0"/>
      <c r="CV644" s="0"/>
      <c r="CW644" s="0"/>
      <c r="CX644" s="0"/>
      <c r="CY644" s="0"/>
      <c r="CZ644" s="0"/>
      <c r="DA644" s="0"/>
      <c r="DB644" s="0"/>
      <c r="DC644" s="0"/>
      <c r="DD644" s="0"/>
      <c r="DE644" s="0"/>
      <c r="DF644" s="0"/>
      <c r="DG644" s="0"/>
      <c r="DH644" s="0"/>
      <c r="DI644" s="0"/>
      <c r="DJ644" s="0"/>
      <c r="DK644" s="0"/>
      <c r="DL644" s="0"/>
      <c r="DM644" s="0"/>
      <c r="DN644" s="0"/>
      <c r="DO644" s="0"/>
      <c r="DP644" s="0"/>
      <c r="DQ644" s="0"/>
      <c r="DR644" s="0"/>
      <c r="DS644" s="0"/>
      <c r="DT644" s="0"/>
      <c r="DU644" s="0"/>
      <c r="DV644" s="0"/>
      <c r="DW644" s="0"/>
      <c r="DX644" s="0"/>
      <c r="DY644" s="0"/>
      <c r="DZ644" s="0"/>
      <c r="EA644" s="0"/>
      <c r="EB644" s="0"/>
      <c r="EC644" s="0"/>
      <c r="ED644" s="0"/>
      <c r="EE644" s="0"/>
      <c r="EF644" s="0"/>
      <c r="EG644" s="0"/>
      <c r="EH644" s="0"/>
      <c r="EI644" s="0"/>
      <c r="EJ644" s="0"/>
      <c r="EK644" s="0"/>
      <c r="EL644" s="0"/>
      <c r="EM644" s="0"/>
      <c r="EN644" s="0"/>
      <c r="EO644" s="0"/>
      <c r="EP644" s="0"/>
      <c r="EQ644" s="0"/>
      <c r="ER644" s="0"/>
      <c r="ES644" s="0"/>
      <c r="ET644" s="0"/>
      <c r="EU644" s="0"/>
      <c r="EV644" s="0"/>
      <c r="EW644" s="0"/>
      <c r="EX644" s="0"/>
      <c r="EY644" s="0"/>
      <c r="EZ644" s="0"/>
      <c r="FA644" s="0"/>
      <c r="FB644" s="0"/>
      <c r="FC644" s="0"/>
      <c r="FD644" s="0"/>
      <c r="FE644" s="0"/>
      <c r="FF644" s="0"/>
      <c r="FG644" s="0"/>
      <c r="FH644" s="0"/>
      <c r="FI644" s="0"/>
      <c r="FJ644" s="0"/>
      <c r="FK644" s="0"/>
      <c r="FL644" s="0"/>
      <c r="FM644" s="0"/>
      <c r="FN644" s="0"/>
      <c r="FO644" s="0"/>
      <c r="FP644" s="0"/>
      <c r="FQ644" s="0"/>
      <c r="FR644" s="0"/>
      <c r="FS644" s="0"/>
      <c r="FT644" s="0"/>
      <c r="FU644" s="0"/>
      <c r="FV644" s="0"/>
      <c r="FW644" s="0"/>
      <c r="FX644" s="0"/>
      <c r="FY644" s="0"/>
      <c r="FZ644" s="0"/>
      <c r="GA644" s="0"/>
      <c r="GB644" s="0"/>
      <c r="GC644" s="0"/>
      <c r="GD644" s="0"/>
      <c r="GE644" s="0"/>
      <c r="GF644" s="0"/>
      <c r="GG644" s="0"/>
      <c r="GH644" s="0"/>
      <c r="GI644" s="0"/>
      <c r="GJ644" s="0"/>
      <c r="GK644" s="0"/>
      <c r="GL644" s="0"/>
      <c r="GM644" s="0"/>
      <c r="GN644" s="0"/>
      <c r="GO644" s="0"/>
      <c r="GP644" s="0"/>
      <c r="GQ644" s="0"/>
      <c r="GR644" s="0"/>
      <c r="GS644" s="0"/>
      <c r="GT644" s="0"/>
      <c r="GU644" s="0"/>
      <c r="GV644" s="0"/>
      <c r="GW644" s="0"/>
      <c r="GX644" s="0"/>
      <c r="GY644" s="0"/>
      <c r="GZ644" s="0"/>
      <c r="HA644" s="0"/>
      <c r="HB644" s="0"/>
      <c r="HC644" s="0"/>
      <c r="HD644" s="0"/>
      <c r="HE644" s="0"/>
      <c r="HF644" s="0"/>
      <c r="HG644" s="0"/>
      <c r="HH644" s="0"/>
      <c r="HI644" s="0"/>
      <c r="HJ644" s="0"/>
      <c r="HK644" s="0"/>
      <c r="HL644" s="0"/>
      <c r="HM644" s="0"/>
      <c r="HN644" s="0"/>
      <c r="HO644" s="0"/>
      <c r="HP644" s="0"/>
      <c r="HQ644" s="0"/>
      <c r="HR644" s="0"/>
      <c r="HS644" s="0"/>
      <c r="HT644" s="0"/>
      <c r="HU644" s="0"/>
      <c r="HV644" s="0"/>
      <c r="HW644" s="0"/>
      <c r="HX644" s="0"/>
      <c r="HY644" s="0"/>
      <c r="HZ644" s="0"/>
      <c r="IA644" s="0"/>
      <c r="IB644" s="0"/>
      <c r="IC644" s="0"/>
      <c r="ID644" s="0"/>
      <c r="IE644" s="0"/>
      <c r="IF644" s="0"/>
      <c r="IG644" s="0"/>
      <c r="IH644" s="0"/>
      <c r="II644" s="0"/>
      <c r="IJ644" s="0"/>
      <c r="IK644" s="0"/>
      <c r="IL644" s="0"/>
      <c r="IM644" s="0"/>
      <c r="IN644" s="0"/>
      <c r="IO644" s="0"/>
      <c r="IP644" s="0"/>
      <c r="IQ644" s="0"/>
      <c r="IR644" s="0"/>
      <c r="IS644" s="0"/>
      <c r="IT644" s="0"/>
      <c r="IU644" s="0"/>
      <c r="IV644" s="0"/>
    </row>
    <row r="645" customFormat="false" ht="15" hidden="false" customHeight="true" outlineLevel="0" collapsed="false">
      <c r="A645" s="1005"/>
      <c r="B645" s="1005"/>
      <c r="C645" s="1005"/>
      <c r="D645" s="1005"/>
      <c r="E645" s="1005"/>
      <c r="J645" s="11"/>
      <c r="K645" s="903"/>
      <c r="L645" s="877"/>
      <c r="M645" s="1023"/>
      <c r="N645" s="0"/>
      <c r="O645" s="0"/>
      <c r="P645" s="0"/>
      <c r="Q645" s="55"/>
      <c r="R645" s="55"/>
      <c r="S645" s="0"/>
      <c r="T645" s="0"/>
      <c r="U645" s="0"/>
      <c r="V645" s="0"/>
      <c r="W645" s="0"/>
      <c r="X645" s="0"/>
      <c r="Y645" s="0"/>
      <c r="Z645" s="0"/>
      <c r="AA645" s="0"/>
      <c r="AB645" s="0"/>
      <c r="AC645" s="0"/>
      <c r="AD645" s="0"/>
      <c r="AE645" s="0"/>
      <c r="AF645" s="0"/>
      <c r="AG645" s="0"/>
      <c r="AH645" s="0"/>
      <c r="AI645" s="0"/>
      <c r="AJ645" s="0"/>
      <c r="AK645" s="0"/>
      <c r="AL645" s="0"/>
      <c r="AM645" s="0"/>
      <c r="AN645" s="0"/>
      <c r="AO645" s="0"/>
      <c r="AP645" s="0"/>
      <c r="AQ645" s="0"/>
      <c r="AR645" s="0"/>
      <c r="AS645" s="0"/>
      <c r="AT645" s="0"/>
      <c r="AU645" s="0"/>
      <c r="AV645" s="0"/>
      <c r="AW645" s="0"/>
      <c r="AX645" s="0"/>
      <c r="AY645" s="0"/>
      <c r="AZ645" s="0"/>
      <c r="BA645" s="0"/>
      <c r="BB645" s="0"/>
      <c r="BC645" s="0"/>
      <c r="BD645" s="0"/>
      <c r="BE645" s="0"/>
      <c r="BF645" s="0"/>
      <c r="BG645" s="0"/>
      <c r="BH645" s="0"/>
      <c r="BI645" s="0"/>
      <c r="BJ645" s="0"/>
      <c r="BK645" s="0"/>
      <c r="BL645" s="0"/>
      <c r="BM645" s="0"/>
      <c r="BN645" s="0"/>
      <c r="BO645" s="0"/>
      <c r="BP645" s="0"/>
      <c r="BQ645" s="0"/>
      <c r="BR645" s="0"/>
      <c r="BS645" s="0"/>
      <c r="BT645" s="0"/>
      <c r="BU645" s="0"/>
      <c r="BV645" s="0"/>
      <c r="BW645" s="0"/>
      <c r="BX645" s="0"/>
      <c r="BY645" s="0"/>
      <c r="BZ645" s="0"/>
      <c r="CA645" s="0"/>
      <c r="CB645" s="0"/>
      <c r="CC645" s="0"/>
      <c r="CD645" s="0"/>
      <c r="CE645" s="0"/>
      <c r="CF645" s="0"/>
      <c r="CG645" s="0"/>
      <c r="CH645" s="0"/>
      <c r="CI645" s="0"/>
      <c r="CJ645" s="0"/>
      <c r="CK645" s="0"/>
      <c r="CL645" s="0"/>
      <c r="CM645" s="0"/>
      <c r="CN645" s="0"/>
      <c r="CO645" s="0"/>
      <c r="CP645" s="0"/>
      <c r="CQ645" s="0"/>
      <c r="CR645" s="0"/>
      <c r="CS645" s="0"/>
      <c r="CT645" s="0"/>
      <c r="CU645" s="0"/>
      <c r="CV645" s="0"/>
      <c r="CW645" s="0"/>
      <c r="CX645" s="0"/>
      <c r="CY645" s="0"/>
      <c r="CZ645" s="0"/>
      <c r="DA645" s="0"/>
      <c r="DB645" s="0"/>
      <c r="DC645" s="0"/>
      <c r="DD645" s="0"/>
      <c r="DE645" s="0"/>
      <c r="DF645" s="0"/>
      <c r="DG645" s="0"/>
      <c r="DH645" s="0"/>
      <c r="DI645" s="0"/>
      <c r="DJ645" s="0"/>
      <c r="DK645" s="0"/>
      <c r="DL645" s="0"/>
      <c r="DM645" s="0"/>
      <c r="DN645" s="0"/>
      <c r="DO645" s="0"/>
      <c r="DP645" s="0"/>
      <c r="DQ645" s="0"/>
      <c r="DR645" s="0"/>
      <c r="DS645" s="0"/>
      <c r="DT645" s="0"/>
      <c r="DU645" s="0"/>
      <c r="DV645" s="0"/>
      <c r="DW645" s="0"/>
      <c r="DX645" s="0"/>
      <c r="DY645" s="0"/>
      <c r="DZ645" s="0"/>
      <c r="EA645" s="0"/>
      <c r="EB645" s="0"/>
      <c r="EC645" s="0"/>
      <c r="ED645" s="0"/>
      <c r="EE645" s="0"/>
      <c r="EF645" s="0"/>
      <c r="EG645" s="0"/>
      <c r="EH645" s="0"/>
      <c r="EI645" s="0"/>
      <c r="EJ645" s="0"/>
      <c r="EK645" s="0"/>
      <c r="EL645" s="0"/>
      <c r="EM645" s="0"/>
      <c r="EN645" s="0"/>
      <c r="EO645" s="0"/>
      <c r="EP645" s="0"/>
      <c r="EQ645" s="0"/>
      <c r="ER645" s="0"/>
      <c r="ES645" s="0"/>
      <c r="ET645" s="0"/>
      <c r="EU645" s="0"/>
      <c r="EV645" s="0"/>
      <c r="EW645" s="0"/>
      <c r="EX645" s="0"/>
      <c r="EY645" s="0"/>
      <c r="EZ645" s="0"/>
      <c r="FA645" s="0"/>
      <c r="FB645" s="0"/>
      <c r="FC645" s="0"/>
      <c r="FD645" s="0"/>
      <c r="FE645" s="0"/>
      <c r="FF645" s="0"/>
      <c r="FG645" s="0"/>
      <c r="FH645" s="0"/>
      <c r="FI645" s="0"/>
      <c r="FJ645" s="0"/>
      <c r="FK645" s="0"/>
      <c r="FL645" s="0"/>
      <c r="FM645" s="0"/>
      <c r="FN645" s="0"/>
      <c r="FO645" s="0"/>
      <c r="FP645" s="0"/>
      <c r="FQ645" s="0"/>
      <c r="FR645" s="0"/>
      <c r="FS645" s="0"/>
      <c r="FT645" s="0"/>
      <c r="FU645" s="0"/>
      <c r="FV645" s="0"/>
      <c r="FW645" s="0"/>
      <c r="FX645" s="0"/>
      <c r="FY645" s="0"/>
      <c r="FZ645" s="0"/>
      <c r="GA645" s="0"/>
      <c r="GB645" s="0"/>
      <c r="GC645" s="0"/>
      <c r="GD645" s="0"/>
      <c r="GE645" s="0"/>
      <c r="GF645" s="0"/>
      <c r="GG645" s="0"/>
      <c r="GH645" s="0"/>
      <c r="GI645" s="0"/>
      <c r="GJ645" s="0"/>
      <c r="GK645" s="0"/>
      <c r="GL645" s="0"/>
      <c r="GM645" s="0"/>
      <c r="GN645" s="0"/>
      <c r="GO645" s="0"/>
      <c r="GP645" s="0"/>
      <c r="GQ645" s="0"/>
      <c r="GR645" s="0"/>
      <c r="GS645" s="0"/>
      <c r="GT645" s="0"/>
      <c r="GU645" s="0"/>
      <c r="GV645" s="0"/>
      <c r="GW645" s="0"/>
      <c r="GX645" s="0"/>
      <c r="GY645" s="0"/>
      <c r="GZ645" s="0"/>
      <c r="HA645" s="0"/>
      <c r="HB645" s="0"/>
      <c r="HC645" s="0"/>
      <c r="HD645" s="0"/>
      <c r="HE645" s="0"/>
      <c r="HF645" s="0"/>
      <c r="HG645" s="0"/>
      <c r="HH645" s="0"/>
      <c r="HI645" s="0"/>
      <c r="HJ645" s="0"/>
      <c r="HK645" s="0"/>
      <c r="HL645" s="0"/>
      <c r="HM645" s="0"/>
      <c r="HN645" s="0"/>
      <c r="HO645" s="0"/>
      <c r="HP645" s="0"/>
      <c r="HQ645" s="0"/>
      <c r="HR645" s="0"/>
      <c r="HS645" s="0"/>
      <c r="HT645" s="0"/>
      <c r="HU645" s="0"/>
      <c r="HV645" s="0"/>
      <c r="HW645" s="0"/>
      <c r="HX645" s="0"/>
      <c r="HY645" s="0"/>
      <c r="HZ645" s="0"/>
      <c r="IA645" s="0"/>
      <c r="IB645" s="0"/>
      <c r="IC645" s="0"/>
      <c r="ID645" s="0"/>
      <c r="IE645" s="0"/>
      <c r="IF645" s="0"/>
      <c r="IG645" s="0"/>
      <c r="IH645" s="0"/>
      <c r="II645" s="0"/>
      <c r="IJ645" s="0"/>
      <c r="IK645" s="0"/>
      <c r="IL645" s="0"/>
      <c r="IM645" s="0"/>
      <c r="IN645" s="0"/>
      <c r="IO645" s="0"/>
      <c r="IP645" s="0"/>
      <c r="IQ645" s="0"/>
      <c r="IR645" s="0"/>
      <c r="IS645" s="0"/>
      <c r="IT645" s="0"/>
      <c r="IU645" s="0"/>
      <c r="IV645" s="0"/>
    </row>
    <row r="646" customFormat="false" ht="15" hidden="false" customHeight="true" outlineLevel="0" collapsed="false">
      <c r="A646" s="1111" t="s">
        <v>1439</v>
      </c>
      <c r="B646" s="1111"/>
      <c r="C646" s="1111"/>
      <c r="D646" s="1005"/>
      <c r="E646" s="1005"/>
      <c r="J646" s="11"/>
      <c r="K646" s="903"/>
      <c r="L646" s="877"/>
      <c r="M646" s="1023"/>
      <c r="N646" s="0"/>
      <c r="O646" s="0"/>
      <c r="P646" s="0"/>
      <c r="Q646" s="55"/>
      <c r="R646" s="55"/>
      <c r="S646" s="0"/>
      <c r="T646" s="0"/>
      <c r="U646" s="0"/>
      <c r="V646" s="0"/>
      <c r="W646" s="0"/>
      <c r="X646" s="0"/>
      <c r="Y646" s="0"/>
      <c r="Z646" s="0"/>
      <c r="AA646" s="0"/>
      <c r="AB646" s="0"/>
      <c r="AC646" s="0"/>
      <c r="AD646" s="0"/>
      <c r="AE646" s="0"/>
      <c r="AF646" s="0"/>
      <c r="AG646" s="0"/>
      <c r="AH646" s="0"/>
      <c r="AI646" s="0"/>
      <c r="AJ646" s="0"/>
      <c r="AK646" s="0"/>
      <c r="AL646" s="0"/>
      <c r="AM646" s="0"/>
      <c r="AN646" s="0"/>
      <c r="AO646" s="0"/>
      <c r="AP646" s="0"/>
      <c r="AQ646" s="0"/>
      <c r="AR646" s="0"/>
      <c r="AS646" s="0"/>
      <c r="AT646" s="0"/>
      <c r="AU646" s="0"/>
      <c r="AV646" s="0"/>
      <c r="AW646" s="0"/>
      <c r="AX646" s="0"/>
      <c r="AY646" s="0"/>
      <c r="AZ646" s="0"/>
      <c r="BA646" s="0"/>
      <c r="BB646" s="0"/>
      <c r="BC646" s="0"/>
      <c r="BD646" s="0"/>
      <c r="BE646" s="0"/>
      <c r="BF646" s="0"/>
      <c r="BG646" s="0"/>
      <c r="BH646" s="0"/>
      <c r="BI646" s="0"/>
      <c r="BJ646" s="0"/>
      <c r="BK646" s="0"/>
      <c r="BL646" s="0"/>
      <c r="BM646" s="0"/>
      <c r="BN646" s="0"/>
      <c r="BO646" s="0"/>
      <c r="BP646" s="0"/>
      <c r="BQ646" s="0"/>
      <c r="BR646" s="0"/>
      <c r="BS646" s="0"/>
      <c r="BT646" s="0"/>
      <c r="BU646" s="0"/>
      <c r="BV646" s="0"/>
      <c r="BW646" s="0"/>
      <c r="BX646" s="0"/>
      <c r="BY646" s="0"/>
      <c r="BZ646" s="0"/>
      <c r="CA646" s="0"/>
      <c r="CB646" s="0"/>
      <c r="CC646" s="0"/>
      <c r="CD646" s="0"/>
      <c r="CE646" s="0"/>
      <c r="CF646" s="0"/>
      <c r="CG646" s="0"/>
      <c r="CH646" s="0"/>
      <c r="CI646" s="0"/>
      <c r="CJ646" s="0"/>
      <c r="CK646" s="0"/>
      <c r="CL646" s="0"/>
      <c r="CM646" s="0"/>
      <c r="CN646" s="0"/>
      <c r="CO646" s="0"/>
      <c r="CP646" s="0"/>
      <c r="CQ646" s="0"/>
      <c r="CR646" s="0"/>
      <c r="CS646" s="0"/>
      <c r="CT646" s="0"/>
      <c r="CU646" s="0"/>
      <c r="CV646" s="0"/>
      <c r="CW646" s="0"/>
      <c r="CX646" s="0"/>
      <c r="CY646" s="0"/>
      <c r="CZ646" s="0"/>
      <c r="DA646" s="0"/>
      <c r="DB646" s="0"/>
      <c r="DC646" s="0"/>
      <c r="DD646" s="0"/>
      <c r="DE646" s="0"/>
      <c r="DF646" s="0"/>
      <c r="DG646" s="0"/>
      <c r="DH646" s="0"/>
      <c r="DI646" s="0"/>
      <c r="DJ646" s="0"/>
      <c r="DK646" s="0"/>
      <c r="DL646" s="0"/>
      <c r="DM646" s="0"/>
      <c r="DN646" s="0"/>
      <c r="DO646" s="0"/>
      <c r="DP646" s="0"/>
      <c r="DQ646" s="0"/>
      <c r="DR646" s="0"/>
      <c r="DS646" s="0"/>
      <c r="DT646" s="0"/>
      <c r="DU646" s="0"/>
      <c r="DV646" s="0"/>
      <c r="DW646" s="0"/>
      <c r="DX646" s="0"/>
      <c r="DY646" s="0"/>
      <c r="DZ646" s="0"/>
      <c r="EA646" s="0"/>
      <c r="EB646" s="0"/>
      <c r="EC646" s="0"/>
      <c r="ED646" s="0"/>
      <c r="EE646" s="0"/>
      <c r="EF646" s="0"/>
      <c r="EG646" s="0"/>
      <c r="EH646" s="0"/>
      <c r="EI646" s="0"/>
      <c r="EJ646" s="0"/>
      <c r="EK646" s="0"/>
      <c r="EL646" s="0"/>
      <c r="EM646" s="0"/>
      <c r="EN646" s="0"/>
      <c r="EO646" s="0"/>
      <c r="EP646" s="0"/>
      <c r="EQ646" s="0"/>
      <c r="ER646" s="0"/>
      <c r="ES646" s="0"/>
      <c r="ET646" s="0"/>
      <c r="EU646" s="0"/>
      <c r="EV646" s="0"/>
      <c r="EW646" s="0"/>
      <c r="EX646" s="0"/>
      <c r="EY646" s="0"/>
      <c r="EZ646" s="0"/>
      <c r="FA646" s="0"/>
      <c r="FB646" s="0"/>
      <c r="FC646" s="0"/>
      <c r="FD646" s="0"/>
      <c r="FE646" s="0"/>
      <c r="FF646" s="0"/>
      <c r="FG646" s="0"/>
      <c r="FH646" s="0"/>
      <c r="FI646" s="0"/>
      <c r="FJ646" s="0"/>
      <c r="FK646" s="0"/>
      <c r="FL646" s="0"/>
      <c r="FM646" s="0"/>
      <c r="FN646" s="0"/>
      <c r="FO646" s="0"/>
      <c r="FP646" s="0"/>
      <c r="FQ646" s="0"/>
      <c r="FR646" s="0"/>
      <c r="FS646" s="0"/>
      <c r="FT646" s="0"/>
      <c r="FU646" s="0"/>
      <c r="FV646" s="0"/>
      <c r="FW646" s="0"/>
      <c r="FX646" s="0"/>
      <c r="FY646" s="0"/>
      <c r="FZ646" s="0"/>
      <c r="GA646" s="0"/>
      <c r="GB646" s="0"/>
      <c r="GC646" s="0"/>
      <c r="GD646" s="0"/>
      <c r="GE646" s="0"/>
      <c r="GF646" s="0"/>
      <c r="GG646" s="0"/>
      <c r="GH646" s="0"/>
      <c r="GI646" s="0"/>
      <c r="GJ646" s="0"/>
      <c r="GK646" s="0"/>
      <c r="GL646" s="0"/>
      <c r="GM646" s="0"/>
      <c r="GN646" s="0"/>
      <c r="GO646" s="0"/>
      <c r="GP646" s="0"/>
      <c r="GQ646" s="0"/>
      <c r="GR646" s="0"/>
      <c r="GS646" s="0"/>
      <c r="GT646" s="0"/>
      <c r="GU646" s="0"/>
      <c r="GV646" s="0"/>
      <c r="GW646" s="0"/>
      <c r="GX646" s="0"/>
      <c r="GY646" s="0"/>
      <c r="GZ646" s="0"/>
      <c r="HA646" s="0"/>
      <c r="HB646" s="0"/>
      <c r="HC646" s="0"/>
      <c r="HD646" s="0"/>
      <c r="HE646" s="0"/>
      <c r="HF646" s="0"/>
      <c r="HG646" s="0"/>
      <c r="HH646" s="0"/>
      <c r="HI646" s="0"/>
      <c r="HJ646" s="0"/>
      <c r="HK646" s="0"/>
      <c r="HL646" s="0"/>
      <c r="HM646" s="0"/>
      <c r="HN646" s="0"/>
      <c r="HO646" s="0"/>
      <c r="HP646" s="0"/>
      <c r="HQ646" s="0"/>
      <c r="HR646" s="0"/>
      <c r="HS646" s="0"/>
      <c r="HT646" s="0"/>
      <c r="HU646" s="0"/>
      <c r="HV646" s="0"/>
      <c r="HW646" s="0"/>
      <c r="HX646" s="0"/>
      <c r="HY646" s="0"/>
      <c r="HZ646" s="0"/>
      <c r="IA646" s="0"/>
      <c r="IB646" s="0"/>
      <c r="IC646" s="0"/>
      <c r="ID646" s="0"/>
      <c r="IE646" s="0"/>
      <c r="IF646" s="0"/>
      <c r="IG646" s="0"/>
      <c r="IH646" s="0"/>
      <c r="II646" s="0"/>
      <c r="IJ646" s="0"/>
      <c r="IK646" s="0"/>
      <c r="IL646" s="0"/>
      <c r="IM646" s="0"/>
      <c r="IN646" s="0"/>
      <c r="IO646" s="0"/>
      <c r="IP646" s="0"/>
      <c r="IQ646" s="0"/>
      <c r="IR646" s="0"/>
      <c r="IS646" s="0"/>
      <c r="IT646" s="0"/>
      <c r="IU646" s="0"/>
      <c r="IV646" s="0"/>
    </row>
    <row r="647" customFormat="false" ht="15" hidden="false" customHeight="true" outlineLevel="0" collapsed="false">
      <c r="A647" s="1112" t="s">
        <v>1440</v>
      </c>
      <c r="B647" s="1005"/>
      <c r="C647" s="1005"/>
      <c r="D647" s="1005"/>
      <c r="E647" s="1005"/>
      <c r="F647" s="1023"/>
      <c r="G647" s="1023"/>
      <c r="H647" s="1023"/>
      <c r="I647" s="1023"/>
      <c r="J647" s="1023"/>
      <c r="K647" s="1023"/>
      <c r="L647" s="877"/>
      <c r="M647" s="1023"/>
      <c r="N647" s="0"/>
      <c r="O647" s="0"/>
      <c r="P647" s="0"/>
      <c r="Q647" s="55"/>
      <c r="R647" s="55"/>
      <c r="S647" s="0"/>
      <c r="T647" s="0"/>
      <c r="U647" s="0"/>
      <c r="V647" s="0"/>
      <c r="W647" s="0"/>
      <c r="X647" s="0"/>
      <c r="Y647" s="0"/>
      <c r="Z647" s="0"/>
      <c r="AA647" s="0"/>
      <c r="AB647" s="0"/>
      <c r="AC647" s="0"/>
      <c r="AD647" s="0"/>
      <c r="AE647" s="0"/>
      <c r="AF647" s="0"/>
      <c r="AG647" s="0"/>
      <c r="AH647" s="0"/>
      <c r="AI647" s="0"/>
      <c r="AJ647" s="0"/>
      <c r="AK647" s="0"/>
      <c r="AL647" s="0"/>
      <c r="AM647" s="0"/>
      <c r="AN647" s="0"/>
      <c r="AO647" s="0"/>
      <c r="AP647" s="0"/>
      <c r="AQ647" s="0"/>
      <c r="AR647" s="0"/>
      <c r="AS647" s="0"/>
      <c r="AT647" s="0"/>
      <c r="AU647" s="0"/>
      <c r="AV647" s="0"/>
      <c r="AW647" s="0"/>
      <c r="AX647" s="0"/>
      <c r="AY647" s="0"/>
      <c r="AZ647" s="0"/>
      <c r="BA647" s="0"/>
      <c r="BB647" s="0"/>
      <c r="BC647" s="0"/>
      <c r="BD647" s="0"/>
      <c r="BE647" s="0"/>
      <c r="BF647" s="0"/>
      <c r="BG647" s="0"/>
      <c r="BH647" s="0"/>
      <c r="BI647" s="0"/>
      <c r="BJ647" s="0"/>
      <c r="BK647" s="0"/>
      <c r="BL647" s="0"/>
      <c r="BM647" s="0"/>
      <c r="BN647" s="0"/>
      <c r="BO647" s="0"/>
      <c r="BP647" s="0"/>
      <c r="BQ647" s="0"/>
      <c r="BR647" s="0"/>
      <c r="BS647" s="0"/>
      <c r="BT647" s="0"/>
      <c r="BU647" s="0"/>
      <c r="BV647" s="0"/>
      <c r="BW647" s="0"/>
      <c r="BX647" s="0"/>
      <c r="BY647" s="0"/>
      <c r="BZ647" s="0"/>
      <c r="CA647" s="0"/>
      <c r="CB647" s="0"/>
      <c r="CC647" s="0"/>
      <c r="CD647" s="0"/>
      <c r="CE647" s="0"/>
      <c r="CF647" s="0"/>
      <c r="CG647" s="0"/>
      <c r="CH647" s="0"/>
      <c r="CI647" s="0"/>
      <c r="CJ647" s="0"/>
      <c r="CK647" s="0"/>
      <c r="CL647" s="0"/>
      <c r="CM647" s="0"/>
      <c r="CN647" s="0"/>
      <c r="CO647" s="0"/>
      <c r="CP647" s="0"/>
      <c r="CQ647" s="0"/>
      <c r="CR647" s="0"/>
      <c r="CS647" s="0"/>
      <c r="CT647" s="0"/>
      <c r="CU647" s="0"/>
      <c r="CV647" s="0"/>
      <c r="CW647" s="0"/>
      <c r="CX647" s="0"/>
      <c r="CY647" s="0"/>
      <c r="CZ647" s="0"/>
      <c r="DA647" s="0"/>
      <c r="DB647" s="0"/>
      <c r="DC647" s="0"/>
      <c r="DD647" s="0"/>
      <c r="DE647" s="0"/>
      <c r="DF647" s="0"/>
      <c r="DG647" s="0"/>
      <c r="DH647" s="0"/>
      <c r="DI647" s="0"/>
      <c r="DJ647" s="0"/>
      <c r="DK647" s="0"/>
      <c r="DL647" s="0"/>
      <c r="DM647" s="0"/>
      <c r="DN647" s="0"/>
      <c r="DO647" s="0"/>
      <c r="DP647" s="0"/>
      <c r="DQ647" s="0"/>
      <c r="DR647" s="0"/>
      <c r="DS647" s="0"/>
      <c r="DT647" s="0"/>
      <c r="DU647" s="0"/>
      <c r="DV647" s="0"/>
      <c r="DW647" s="0"/>
      <c r="DX647" s="0"/>
      <c r="DY647" s="0"/>
      <c r="DZ647" s="0"/>
      <c r="EA647" s="0"/>
      <c r="EB647" s="0"/>
      <c r="EC647" s="0"/>
      <c r="ED647" s="0"/>
      <c r="EE647" s="0"/>
      <c r="EF647" s="0"/>
      <c r="EG647" s="0"/>
      <c r="EH647" s="0"/>
      <c r="EI647" s="0"/>
      <c r="EJ647" s="0"/>
      <c r="EK647" s="0"/>
      <c r="EL647" s="0"/>
      <c r="EM647" s="0"/>
      <c r="EN647" s="0"/>
      <c r="EO647" s="0"/>
      <c r="EP647" s="0"/>
      <c r="EQ647" s="0"/>
      <c r="ER647" s="0"/>
      <c r="ES647" s="0"/>
      <c r="ET647" s="0"/>
      <c r="EU647" s="0"/>
      <c r="EV647" s="0"/>
      <c r="EW647" s="0"/>
      <c r="EX647" s="0"/>
      <c r="EY647" s="0"/>
      <c r="EZ647" s="0"/>
      <c r="FA647" s="0"/>
      <c r="FB647" s="0"/>
      <c r="FC647" s="0"/>
      <c r="FD647" s="0"/>
      <c r="FE647" s="0"/>
      <c r="FF647" s="0"/>
      <c r="FG647" s="0"/>
      <c r="FH647" s="0"/>
      <c r="FI647" s="0"/>
      <c r="FJ647" s="0"/>
      <c r="FK647" s="0"/>
      <c r="FL647" s="0"/>
      <c r="FM647" s="0"/>
      <c r="FN647" s="0"/>
      <c r="FO647" s="0"/>
      <c r="FP647" s="0"/>
      <c r="FQ647" s="0"/>
      <c r="FR647" s="0"/>
      <c r="FS647" s="0"/>
      <c r="FT647" s="0"/>
      <c r="FU647" s="0"/>
      <c r="FV647" s="0"/>
      <c r="FW647" s="0"/>
      <c r="FX647" s="0"/>
      <c r="FY647" s="0"/>
      <c r="FZ647" s="0"/>
      <c r="GA647" s="0"/>
      <c r="GB647" s="0"/>
      <c r="GC647" s="0"/>
      <c r="GD647" s="0"/>
      <c r="GE647" s="0"/>
      <c r="GF647" s="0"/>
      <c r="GG647" s="0"/>
      <c r="GH647" s="0"/>
      <c r="GI647" s="0"/>
      <c r="GJ647" s="0"/>
      <c r="GK647" s="0"/>
      <c r="GL647" s="0"/>
      <c r="GM647" s="0"/>
      <c r="GN647" s="0"/>
      <c r="GO647" s="0"/>
      <c r="GP647" s="0"/>
      <c r="GQ647" s="0"/>
      <c r="GR647" s="0"/>
      <c r="GS647" s="0"/>
      <c r="GT647" s="0"/>
      <c r="GU647" s="0"/>
      <c r="GV647" s="0"/>
      <c r="GW647" s="0"/>
      <c r="GX647" s="0"/>
      <c r="GY647" s="0"/>
      <c r="GZ647" s="0"/>
      <c r="HA647" s="0"/>
      <c r="HB647" s="0"/>
      <c r="HC647" s="0"/>
      <c r="HD647" s="0"/>
      <c r="HE647" s="0"/>
      <c r="HF647" s="0"/>
      <c r="HG647" s="0"/>
      <c r="HH647" s="0"/>
      <c r="HI647" s="0"/>
      <c r="HJ647" s="0"/>
      <c r="HK647" s="0"/>
      <c r="HL647" s="0"/>
      <c r="HM647" s="0"/>
      <c r="HN647" s="0"/>
      <c r="HO647" s="0"/>
      <c r="HP647" s="0"/>
      <c r="HQ647" s="0"/>
      <c r="HR647" s="0"/>
      <c r="HS647" s="0"/>
      <c r="HT647" s="0"/>
      <c r="HU647" s="0"/>
      <c r="HV647" s="0"/>
      <c r="HW647" s="0"/>
      <c r="HX647" s="0"/>
      <c r="HY647" s="0"/>
      <c r="HZ647" s="0"/>
      <c r="IA647" s="0"/>
      <c r="IB647" s="0"/>
      <c r="IC647" s="0"/>
      <c r="ID647" s="0"/>
      <c r="IE647" s="0"/>
      <c r="IF647" s="0"/>
      <c r="IG647" s="0"/>
      <c r="IH647" s="0"/>
      <c r="II647" s="0"/>
      <c r="IJ647" s="0"/>
      <c r="IK647" s="0"/>
      <c r="IL647" s="0"/>
      <c r="IM647" s="0"/>
      <c r="IN647" s="0"/>
      <c r="IO647" s="0"/>
      <c r="IP647" s="0"/>
      <c r="IQ647" s="0"/>
      <c r="IR647" s="0"/>
      <c r="IS647" s="0"/>
      <c r="IT647" s="0"/>
      <c r="IU647" s="0"/>
      <c r="IV647" s="0"/>
    </row>
    <row r="648" customFormat="false" ht="20.1" hidden="false" customHeight="true" outlineLevel="0" collapsed="false">
      <c r="A648" s="54" t="s">
        <v>1441</v>
      </c>
      <c r="B648" s="1113"/>
      <c r="C648" s="620"/>
      <c r="D648" s="1114" t="s">
        <v>583</v>
      </c>
      <c r="E648" s="1114"/>
      <c r="F648" s="1023"/>
      <c r="G648" s="1023"/>
      <c r="H648" s="1023"/>
      <c r="I648" s="1023"/>
      <c r="J648" s="1023"/>
      <c r="K648" s="1023"/>
      <c r="L648" s="877"/>
      <c r="M648" s="0"/>
      <c r="N648" s="0"/>
      <c r="O648" s="0"/>
      <c r="P648" s="0"/>
      <c r="Q648" s="55"/>
      <c r="R648" s="55"/>
      <c r="S648" s="0"/>
      <c r="T648" s="0"/>
      <c r="U648" s="0"/>
      <c r="V648" s="0"/>
      <c r="W648" s="0"/>
      <c r="X648" s="0"/>
      <c r="Y648" s="0"/>
      <c r="Z648" s="0"/>
      <c r="AA648" s="0"/>
      <c r="AB648" s="0"/>
      <c r="AC648" s="0"/>
      <c r="AD648" s="0"/>
      <c r="AE648" s="0"/>
      <c r="AF648" s="0"/>
      <c r="AG648" s="0"/>
      <c r="AH648" s="0"/>
      <c r="AI648" s="0"/>
      <c r="AJ648" s="0"/>
      <c r="AK648" s="0"/>
      <c r="AL648" s="0"/>
      <c r="AM648" s="0"/>
      <c r="AN648" s="0"/>
      <c r="AO648" s="0"/>
      <c r="AP648" s="0"/>
      <c r="AQ648" s="0"/>
      <c r="AR648" s="0"/>
      <c r="AS648" s="0"/>
      <c r="AT648" s="0"/>
      <c r="AU648" s="0"/>
      <c r="AV648" s="0"/>
      <c r="AW648" s="0"/>
      <c r="AX648" s="0"/>
      <c r="AY648" s="0"/>
      <c r="AZ648" s="0"/>
      <c r="BA648" s="0"/>
      <c r="BB648" s="0"/>
      <c r="BC648" s="0"/>
      <c r="BD648" s="0"/>
      <c r="BE648" s="0"/>
      <c r="BF648" s="0"/>
      <c r="BG648" s="0"/>
      <c r="BH648" s="0"/>
      <c r="BI648" s="0"/>
      <c r="BJ648" s="0"/>
      <c r="BK648" s="0"/>
      <c r="BL648" s="0"/>
      <c r="BM648" s="0"/>
      <c r="BN648" s="0"/>
      <c r="BO648" s="0"/>
      <c r="BP648" s="0"/>
      <c r="BQ648" s="0"/>
      <c r="BR648" s="0"/>
      <c r="BS648" s="0"/>
      <c r="BT648" s="0"/>
      <c r="BU648" s="0"/>
      <c r="BV648" s="0"/>
      <c r="BW648" s="0"/>
      <c r="BX648" s="0"/>
      <c r="BY648" s="0"/>
      <c r="BZ648" s="0"/>
      <c r="CA648" s="0"/>
      <c r="CB648" s="0"/>
      <c r="CC648" s="0"/>
      <c r="CD648" s="0"/>
      <c r="CE648" s="0"/>
      <c r="CF648" s="0"/>
      <c r="CG648" s="0"/>
      <c r="CH648" s="0"/>
      <c r="CI648" s="0"/>
      <c r="CJ648" s="0"/>
      <c r="CK648" s="0"/>
      <c r="CL648" s="0"/>
      <c r="CM648" s="0"/>
      <c r="CN648" s="0"/>
      <c r="CO648" s="0"/>
      <c r="CP648" s="0"/>
      <c r="CQ648" s="0"/>
      <c r="CR648" s="0"/>
      <c r="CS648" s="0"/>
      <c r="CT648" s="0"/>
      <c r="CU648" s="0"/>
      <c r="CV648" s="0"/>
      <c r="CW648" s="0"/>
      <c r="CX648" s="0"/>
      <c r="CY648" s="0"/>
      <c r="CZ648" s="0"/>
      <c r="DA648" s="0"/>
      <c r="DB648" s="0"/>
      <c r="DC648" s="0"/>
      <c r="DD648" s="0"/>
      <c r="DE648" s="0"/>
      <c r="DF648" s="0"/>
      <c r="DG648" s="0"/>
      <c r="DH648" s="0"/>
      <c r="DI648" s="0"/>
      <c r="DJ648" s="0"/>
      <c r="DK648" s="0"/>
      <c r="DL648" s="0"/>
      <c r="DM648" s="0"/>
      <c r="DN648" s="0"/>
      <c r="DO648" s="0"/>
      <c r="DP648" s="0"/>
      <c r="DQ648" s="0"/>
      <c r="DR648" s="0"/>
      <c r="DS648" s="0"/>
      <c r="DT648" s="0"/>
      <c r="DU648" s="0"/>
      <c r="DV648" s="0"/>
      <c r="DW648" s="0"/>
      <c r="DX648" s="0"/>
      <c r="DY648" s="0"/>
      <c r="DZ648" s="0"/>
      <c r="EA648" s="0"/>
      <c r="EB648" s="0"/>
      <c r="EC648" s="0"/>
      <c r="ED648" s="0"/>
      <c r="EE648" s="0"/>
      <c r="EF648" s="0"/>
      <c r="EG648" s="0"/>
      <c r="EH648" s="0"/>
      <c r="EI648" s="0"/>
      <c r="EJ648" s="0"/>
      <c r="EK648" s="0"/>
      <c r="EL648" s="0"/>
      <c r="EM648" s="0"/>
      <c r="EN648" s="0"/>
      <c r="EO648" s="0"/>
      <c r="EP648" s="0"/>
      <c r="EQ648" s="0"/>
      <c r="ER648" s="0"/>
      <c r="ES648" s="0"/>
      <c r="ET648" s="0"/>
      <c r="EU648" s="0"/>
      <c r="EV648" s="0"/>
      <c r="EW648" s="0"/>
      <c r="EX648" s="0"/>
      <c r="EY648" s="0"/>
      <c r="EZ648" s="0"/>
      <c r="FA648" s="0"/>
      <c r="FB648" s="0"/>
      <c r="FC648" s="0"/>
      <c r="FD648" s="0"/>
      <c r="FE648" s="0"/>
      <c r="FF648" s="0"/>
      <c r="FG648" s="0"/>
      <c r="FH648" s="0"/>
      <c r="FI648" s="0"/>
      <c r="FJ648" s="0"/>
      <c r="FK648" s="0"/>
      <c r="FL648" s="0"/>
      <c r="FM648" s="0"/>
      <c r="FN648" s="0"/>
      <c r="FO648" s="0"/>
      <c r="FP648" s="0"/>
      <c r="FQ648" s="0"/>
      <c r="FR648" s="0"/>
      <c r="FS648" s="0"/>
      <c r="FT648" s="0"/>
      <c r="FU648" s="0"/>
      <c r="FV648" s="0"/>
      <c r="FW648" s="0"/>
      <c r="FX648" s="0"/>
      <c r="FY648" s="0"/>
      <c r="FZ648" s="0"/>
      <c r="GA648" s="0"/>
      <c r="GB648" s="0"/>
      <c r="GC648" s="0"/>
      <c r="GD648" s="0"/>
      <c r="GE648" s="0"/>
      <c r="GF648" s="0"/>
      <c r="GG648" s="0"/>
      <c r="GH648" s="0"/>
      <c r="GI648" s="0"/>
      <c r="GJ648" s="0"/>
      <c r="GK648" s="0"/>
      <c r="GL648" s="0"/>
      <c r="GM648" s="0"/>
      <c r="GN648" s="0"/>
      <c r="GO648" s="0"/>
      <c r="GP648" s="0"/>
      <c r="GQ648" s="0"/>
      <c r="GR648" s="0"/>
      <c r="GS648" s="0"/>
      <c r="GT648" s="0"/>
      <c r="GU648" s="0"/>
      <c r="GV648" s="0"/>
      <c r="GW648" s="0"/>
      <c r="GX648" s="0"/>
      <c r="GY648" s="0"/>
      <c r="GZ648" s="0"/>
      <c r="HA648" s="0"/>
      <c r="HB648" s="0"/>
      <c r="HC648" s="0"/>
      <c r="HD648" s="0"/>
      <c r="HE648" s="0"/>
      <c r="HF648" s="0"/>
      <c r="HG648" s="0"/>
      <c r="HH648" s="0"/>
      <c r="HI648" s="0"/>
      <c r="HJ648" s="0"/>
      <c r="HK648" s="0"/>
      <c r="HL648" s="0"/>
      <c r="HM648" s="0"/>
      <c r="HN648" s="0"/>
      <c r="HO648" s="0"/>
      <c r="HP648" s="0"/>
      <c r="HQ648" s="0"/>
      <c r="HR648" s="0"/>
      <c r="HS648" s="0"/>
      <c r="HT648" s="0"/>
      <c r="HU648" s="0"/>
      <c r="HV648" s="0"/>
      <c r="HW648" s="0"/>
      <c r="HX648" s="0"/>
      <c r="HY648" s="0"/>
      <c r="HZ648" s="0"/>
      <c r="IA648" s="0"/>
      <c r="IB648" s="0"/>
      <c r="IC648" s="0"/>
      <c r="ID648" s="0"/>
      <c r="IE648" s="0"/>
      <c r="IF648" s="0"/>
      <c r="IG648" s="0"/>
      <c r="IH648" s="0"/>
      <c r="II648" s="0"/>
      <c r="IJ648" s="0"/>
      <c r="IK648" s="0"/>
      <c r="IL648" s="0"/>
      <c r="IM648" s="0"/>
      <c r="IN648" s="0"/>
      <c r="IO648" s="0"/>
      <c r="IP648" s="0"/>
      <c r="IQ648" s="0"/>
      <c r="IR648" s="0"/>
      <c r="IS648" s="0"/>
      <c r="IT648" s="0"/>
      <c r="IU648" s="0"/>
      <c r="IV648" s="0"/>
    </row>
    <row r="649" customFormat="false" ht="20.25" hidden="false" customHeight="true" outlineLevel="0" collapsed="false">
      <c r="C649" s="0"/>
      <c r="E649" s="1113"/>
      <c r="F649" s="1023"/>
      <c r="G649" s="1023"/>
      <c r="H649" s="1023"/>
      <c r="I649" s="1023"/>
      <c r="J649" s="1023"/>
      <c r="K649" s="1023"/>
      <c r="L649" s="877"/>
      <c r="M649" s="0"/>
      <c r="Q649" s="55"/>
      <c r="R649" s="55"/>
    </row>
    <row r="650" customFormat="false" ht="20.25" hidden="false" customHeight="true" outlineLevel="0" collapsed="false">
      <c r="A650" s="1112" t="s">
        <v>1442</v>
      </c>
      <c r="B650" s="415"/>
      <c r="C650" s="0"/>
      <c r="D650" s="620"/>
      <c r="E650" s="1113"/>
      <c r="F650" s="1023"/>
      <c r="G650" s="1023"/>
      <c r="H650" s="1023"/>
      <c r="I650" s="1023"/>
      <c r="J650" s="1023"/>
      <c r="K650" s="1023"/>
      <c r="L650" s="877"/>
      <c r="M650" s="0"/>
      <c r="N650" s="0"/>
      <c r="O650" s="0"/>
      <c r="P650" s="0"/>
      <c r="Q650" s="55"/>
      <c r="R650" s="55"/>
      <c r="S650" s="0"/>
      <c r="T650" s="0"/>
      <c r="U650" s="0"/>
      <c r="V650" s="0"/>
      <c r="W650" s="0"/>
      <c r="X650" s="0"/>
      <c r="Y650" s="0"/>
      <c r="Z650" s="0"/>
      <c r="AA650" s="0"/>
      <c r="AB650" s="0"/>
      <c r="AC650" s="0"/>
      <c r="AD650" s="0"/>
      <c r="AE650" s="0"/>
      <c r="AF650" s="0"/>
      <c r="AG650" s="0"/>
      <c r="AH650" s="0"/>
      <c r="AI650" s="0"/>
      <c r="AJ650" s="0"/>
      <c r="AK650" s="0"/>
      <c r="AL650" s="0"/>
      <c r="AM650" s="0"/>
      <c r="AN650" s="0"/>
      <c r="AO650" s="0"/>
      <c r="AP650" s="0"/>
      <c r="AQ650" s="0"/>
      <c r="AR650" s="0"/>
      <c r="AS650" s="0"/>
      <c r="AT650" s="0"/>
      <c r="AU650" s="0"/>
      <c r="AV650" s="0"/>
      <c r="AW650" s="0"/>
      <c r="AX650" s="0"/>
      <c r="AY650" s="0"/>
      <c r="AZ650" s="0"/>
      <c r="BA650" s="0"/>
      <c r="BB650" s="0"/>
      <c r="BC650" s="0"/>
      <c r="BD650" s="0"/>
      <c r="BE650" s="0"/>
      <c r="BF650" s="0"/>
      <c r="BG650" s="0"/>
      <c r="BH650" s="0"/>
      <c r="BI650" s="0"/>
      <c r="BJ650" s="0"/>
      <c r="BK650" s="0"/>
      <c r="BL650" s="0"/>
      <c r="BM650" s="0"/>
      <c r="BN650" s="0"/>
      <c r="BO650" s="0"/>
      <c r="BP650" s="0"/>
      <c r="BQ650" s="0"/>
      <c r="BR650" s="0"/>
      <c r="BS650" s="0"/>
      <c r="BT650" s="0"/>
      <c r="BU650" s="0"/>
      <c r="BV650" s="0"/>
      <c r="BW650" s="0"/>
      <c r="BX650" s="0"/>
      <c r="BY650" s="0"/>
      <c r="BZ650" s="0"/>
      <c r="CA650" s="0"/>
      <c r="CB650" s="0"/>
      <c r="CC650" s="0"/>
      <c r="CD650" s="0"/>
      <c r="CE650" s="0"/>
      <c r="CF650" s="0"/>
      <c r="CG650" s="0"/>
      <c r="CH650" s="0"/>
      <c r="CI650" s="0"/>
      <c r="CJ650" s="0"/>
      <c r="CK650" s="0"/>
      <c r="CL650" s="0"/>
      <c r="CM650" s="0"/>
      <c r="CN650" s="0"/>
      <c r="CO650" s="0"/>
      <c r="CP650" s="0"/>
      <c r="CQ650" s="0"/>
      <c r="CR650" s="0"/>
      <c r="CS650" s="0"/>
      <c r="CT650" s="0"/>
      <c r="CU650" s="0"/>
      <c r="CV650" s="0"/>
      <c r="CW650" s="0"/>
      <c r="CX650" s="0"/>
      <c r="CY650" s="0"/>
      <c r="CZ650" s="0"/>
      <c r="DA650" s="0"/>
      <c r="DB650" s="0"/>
      <c r="DC650" s="0"/>
      <c r="DD650" s="0"/>
      <c r="DE650" s="0"/>
      <c r="DF650" s="0"/>
      <c r="DG650" s="0"/>
      <c r="DH650" s="0"/>
      <c r="DI650" s="0"/>
      <c r="DJ650" s="0"/>
      <c r="DK650" s="0"/>
      <c r="DL650" s="0"/>
      <c r="DM650" s="0"/>
      <c r="DN650" s="0"/>
      <c r="DO650" s="0"/>
      <c r="DP650" s="0"/>
      <c r="DQ650" s="0"/>
      <c r="DR650" s="0"/>
      <c r="DS650" s="0"/>
      <c r="DT650" s="0"/>
      <c r="DU650" s="0"/>
      <c r="DV650" s="0"/>
      <c r="DW650" s="0"/>
      <c r="DX650" s="0"/>
      <c r="DY650" s="0"/>
      <c r="DZ650" s="0"/>
      <c r="EA650" s="0"/>
      <c r="EB650" s="0"/>
      <c r="EC650" s="0"/>
      <c r="ED650" s="0"/>
      <c r="EE650" s="0"/>
      <c r="EF650" s="0"/>
      <c r="EG650" s="0"/>
      <c r="EH650" s="0"/>
      <c r="EI650" s="0"/>
      <c r="EJ650" s="0"/>
      <c r="EK650" s="0"/>
      <c r="EL650" s="0"/>
      <c r="EM650" s="0"/>
      <c r="EN650" s="0"/>
      <c r="EO650" s="0"/>
      <c r="EP650" s="0"/>
      <c r="EQ650" s="0"/>
      <c r="ER650" s="0"/>
      <c r="ES650" s="0"/>
      <c r="ET650" s="0"/>
      <c r="EU650" s="0"/>
      <c r="EV650" s="0"/>
      <c r="EW650" s="0"/>
      <c r="EX650" s="0"/>
      <c r="EY650" s="0"/>
      <c r="EZ650" s="0"/>
      <c r="FA650" s="0"/>
      <c r="FB650" s="0"/>
      <c r="FC650" s="0"/>
      <c r="FD650" s="0"/>
      <c r="FE650" s="0"/>
      <c r="FF650" s="0"/>
      <c r="FG650" s="0"/>
      <c r="FH650" s="0"/>
      <c r="FI650" s="0"/>
      <c r="FJ650" s="0"/>
      <c r="FK650" s="0"/>
      <c r="FL650" s="0"/>
      <c r="FM650" s="0"/>
      <c r="FN650" s="0"/>
      <c r="FO650" s="0"/>
      <c r="FP650" s="0"/>
      <c r="FQ650" s="0"/>
      <c r="FR650" s="0"/>
      <c r="FS650" s="0"/>
      <c r="FT650" s="0"/>
      <c r="FU650" s="0"/>
      <c r="FV650" s="0"/>
      <c r="FW650" s="0"/>
      <c r="FX650" s="0"/>
      <c r="FY650" s="0"/>
      <c r="FZ650" s="0"/>
      <c r="GA650" s="0"/>
      <c r="GB650" s="0"/>
      <c r="GC650" s="0"/>
      <c r="GD650" s="0"/>
      <c r="GE650" s="0"/>
      <c r="GF650" s="0"/>
      <c r="GG650" s="0"/>
      <c r="GH650" s="0"/>
      <c r="GI650" s="0"/>
      <c r="GJ650" s="0"/>
      <c r="GK650" s="0"/>
      <c r="GL650" s="0"/>
      <c r="GM650" s="0"/>
      <c r="GN650" s="0"/>
      <c r="GO650" s="0"/>
      <c r="GP650" s="0"/>
      <c r="GQ650" s="0"/>
      <c r="GR650" s="0"/>
      <c r="GS650" s="0"/>
      <c r="GT650" s="0"/>
      <c r="GU650" s="0"/>
      <c r="GV650" s="0"/>
      <c r="GW650" s="0"/>
      <c r="GX650" s="0"/>
      <c r="GY650" s="0"/>
      <c r="GZ650" s="0"/>
      <c r="HA650" s="0"/>
      <c r="HB650" s="0"/>
      <c r="HC650" s="0"/>
      <c r="HD650" s="0"/>
      <c r="HE650" s="0"/>
      <c r="HF650" s="0"/>
      <c r="HG650" s="0"/>
      <c r="HH650" s="0"/>
      <c r="HI650" s="0"/>
      <c r="HJ650" s="0"/>
      <c r="HK650" s="0"/>
      <c r="HL650" s="0"/>
      <c r="HM650" s="0"/>
      <c r="HN650" s="0"/>
      <c r="HO650" s="0"/>
      <c r="HP650" s="0"/>
      <c r="HQ650" s="0"/>
      <c r="HR650" s="0"/>
      <c r="HS650" s="0"/>
      <c r="HT650" s="0"/>
      <c r="HU650" s="0"/>
      <c r="HV650" s="0"/>
      <c r="HW650" s="0"/>
      <c r="HX650" s="0"/>
      <c r="HY650" s="0"/>
      <c r="HZ650" s="0"/>
      <c r="IA650" s="0"/>
      <c r="IB650" s="0"/>
      <c r="IC650" s="0"/>
      <c r="ID650" s="0"/>
      <c r="IE650" s="0"/>
      <c r="IF650" s="0"/>
      <c r="IG650" s="0"/>
      <c r="IH650" s="0"/>
      <c r="II650" s="0"/>
      <c r="IJ650" s="0"/>
      <c r="IK650" s="0"/>
      <c r="IL650" s="0"/>
      <c r="IM650" s="0"/>
      <c r="IN650" s="0"/>
      <c r="IO650" s="0"/>
      <c r="IP650" s="0"/>
      <c r="IQ650" s="0"/>
      <c r="IR650" s="0"/>
      <c r="IS650" s="0"/>
      <c r="IT650" s="0"/>
      <c r="IU650" s="0"/>
      <c r="IV650" s="0"/>
    </row>
    <row r="651" customFormat="false" ht="20.1" hidden="false" customHeight="true" outlineLevel="0" collapsed="false">
      <c r="A651" s="11" t="s">
        <v>1443</v>
      </c>
      <c r="B651" s="415"/>
      <c r="C651" s="55"/>
      <c r="D651" s="1114" t="s">
        <v>254</v>
      </c>
      <c r="E651" s="1113"/>
      <c r="F651" s="1023"/>
      <c r="G651" s="1023"/>
      <c r="H651" s="1023"/>
      <c r="I651" s="1023"/>
      <c r="J651" s="1023"/>
      <c r="K651" s="1023"/>
      <c r="L651" s="877"/>
      <c r="M651" s="0"/>
      <c r="N651" s="0"/>
      <c r="O651" s="0"/>
      <c r="P651" s="0"/>
      <c r="Q651" s="55"/>
      <c r="R651" s="55"/>
      <c r="S651" s="0"/>
      <c r="T651" s="0"/>
      <c r="U651" s="0"/>
      <c r="V651" s="0"/>
      <c r="W651" s="0"/>
      <c r="X651" s="0"/>
      <c r="Y651" s="0"/>
      <c r="Z651" s="0"/>
      <c r="AA651" s="0"/>
      <c r="AB651" s="0"/>
      <c r="AC651" s="0"/>
      <c r="AD651" s="0"/>
      <c r="AE651" s="0"/>
      <c r="AF651" s="0"/>
      <c r="AG651" s="0"/>
      <c r="AH651" s="0"/>
      <c r="AI651" s="0"/>
      <c r="AJ651" s="0"/>
      <c r="AK651" s="0"/>
      <c r="AL651" s="0"/>
      <c r="AM651" s="0"/>
      <c r="AN651" s="0"/>
      <c r="AO651" s="0"/>
      <c r="AP651" s="0"/>
      <c r="AQ651" s="0"/>
      <c r="AR651" s="0"/>
      <c r="AS651" s="0"/>
      <c r="AT651" s="0"/>
      <c r="AU651" s="0"/>
      <c r="AV651" s="0"/>
      <c r="AW651" s="0"/>
      <c r="AX651" s="0"/>
      <c r="AY651" s="0"/>
      <c r="AZ651" s="0"/>
      <c r="BA651" s="0"/>
      <c r="BB651" s="0"/>
      <c r="BC651" s="0"/>
      <c r="BD651" s="0"/>
      <c r="BE651" s="0"/>
      <c r="BF651" s="0"/>
      <c r="BG651" s="0"/>
      <c r="BH651" s="0"/>
      <c r="BI651" s="0"/>
      <c r="BJ651" s="0"/>
      <c r="BK651" s="0"/>
      <c r="BL651" s="0"/>
      <c r="BM651" s="0"/>
      <c r="BN651" s="0"/>
      <c r="BO651" s="0"/>
      <c r="BP651" s="0"/>
      <c r="BQ651" s="0"/>
      <c r="BR651" s="0"/>
      <c r="BS651" s="0"/>
      <c r="BT651" s="0"/>
      <c r="BU651" s="0"/>
      <c r="BV651" s="0"/>
      <c r="BW651" s="0"/>
      <c r="BX651" s="0"/>
      <c r="BY651" s="0"/>
      <c r="BZ651" s="0"/>
      <c r="CA651" s="0"/>
      <c r="CB651" s="0"/>
      <c r="CC651" s="0"/>
      <c r="CD651" s="0"/>
      <c r="CE651" s="0"/>
      <c r="CF651" s="0"/>
      <c r="CG651" s="0"/>
      <c r="CH651" s="0"/>
      <c r="CI651" s="0"/>
      <c r="CJ651" s="0"/>
      <c r="CK651" s="0"/>
      <c r="CL651" s="0"/>
      <c r="CM651" s="0"/>
      <c r="CN651" s="0"/>
      <c r="CO651" s="0"/>
      <c r="CP651" s="0"/>
      <c r="CQ651" s="0"/>
      <c r="CR651" s="0"/>
      <c r="CS651" s="0"/>
      <c r="CT651" s="0"/>
      <c r="CU651" s="0"/>
      <c r="CV651" s="0"/>
      <c r="CW651" s="0"/>
      <c r="CX651" s="0"/>
      <c r="CY651" s="0"/>
      <c r="CZ651" s="0"/>
      <c r="DA651" s="0"/>
      <c r="DB651" s="0"/>
      <c r="DC651" s="0"/>
      <c r="DD651" s="0"/>
      <c r="DE651" s="0"/>
      <c r="DF651" s="0"/>
      <c r="DG651" s="0"/>
      <c r="DH651" s="0"/>
      <c r="DI651" s="0"/>
      <c r="DJ651" s="0"/>
      <c r="DK651" s="0"/>
      <c r="DL651" s="0"/>
      <c r="DM651" s="0"/>
      <c r="DN651" s="0"/>
      <c r="DO651" s="0"/>
      <c r="DP651" s="0"/>
      <c r="DQ651" s="0"/>
      <c r="DR651" s="0"/>
      <c r="DS651" s="0"/>
      <c r="DT651" s="0"/>
      <c r="DU651" s="0"/>
      <c r="DV651" s="0"/>
      <c r="DW651" s="0"/>
      <c r="DX651" s="0"/>
      <c r="DY651" s="0"/>
      <c r="DZ651" s="0"/>
      <c r="EA651" s="0"/>
      <c r="EB651" s="0"/>
      <c r="EC651" s="0"/>
      <c r="ED651" s="0"/>
      <c r="EE651" s="0"/>
      <c r="EF651" s="0"/>
      <c r="EG651" s="0"/>
      <c r="EH651" s="0"/>
      <c r="EI651" s="0"/>
      <c r="EJ651" s="0"/>
      <c r="EK651" s="0"/>
      <c r="EL651" s="0"/>
      <c r="EM651" s="0"/>
      <c r="EN651" s="0"/>
      <c r="EO651" s="0"/>
      <c r="EP651" s="0"/>
      <c r="EQ651" s="0"/>
      <c r="ER651" s="0"/>
      <c r="ES651" s="0"/>
      <c r="ET651" s="0"/>
      <c r="EU651" s="0"/>
      <c r="EV651" s="0"/>
      <c r="EW651" s="0"/>
      <c r="EX651" s="0"/>
      <c r="EY651" s="0"/>
      <c r="EZ651" s="0"/>
      <c r="FA651" s="0"/>
      <c r="FB651" s="0"/>
      <c r="FC651" s="0"/>
      <c r="FD651" s="0"/>
      <c r="FE651" s="0"/>
      <c r="FF651" s="0"/>
      <c r="FG651" s="0"/>
      <c r="FH651" s="0"/>
      <c r="FI651" s="0"/>
      <c r="FJ651" s="0"/>
      <c r="FK651" s="0"/>
      <c r="FL651" s="0"/>
      <c r="FM651" s="0"/>
      <c r="FN651" s="0"/>
      <c r="FO651" s="0"/>
      <c r="FP651" s="0"/>
      <c r="FQ651" s="0"/>
      <c r="FR651" s="0"/>
      <c r="FS651" s="0"/>
      <c r="FT651" s="0"/>
      <c r="FU651" s="0"/>
      <c r="FV651" s="0"/>
      <c r="FW651" s="0"/>
      <c r="FX651" s="0"/>
      <c r="FY651" s="0"/>
      <c r="FZ651" s="0"/>
      <c r="GA651" s="0"/>
      <c r="GB651" s="0"/>
      <c r="GC651" s="0"/>
      <c r="GD651" s="0"/>
      <c r="GE651" s="0"/>
      <c r="GF651" s="0"/>
      <c r="GG651" s="0"/>
      <c r="GH651" s="0"/>
      <c r="GI651" s="0"/>
      <c r="GJ651" s="0"/>
      <c r="GK651" s="0"/>
      <c r="GL651" s="0"/>
      <c r="GM651" s="0"/>
      <c r="GN651" s="0"/>
      <c r="GO651" s="0"/>
      <c r="GP651" s="0"/>
      <c r="GQ651" s="0"/>
      <c r="GR651" s="0"/>
      <c r="GS651" s="0"/>
      <c r="GT651" s="0"/>
      <c r="GU651" s="0"/>
      <c r="GV651" s="0"/>
      <c r="GW651" s="0"/>
      <c r="GX651" s="0"/>
      <c r="GY651" s="0"/>
      <c r="GZ651" s="0"/>
      <c r="HA651" s="0"/>
      <c r="HB651" s="0"/>
      <c r="HC651" s="0"/>
      <c r="HD651" s="0"/>
      <c r="HE651" s="0"/>
      <c r="HF651" s="0"/>
      <c r="HG651" s="0"/>
      <c r="HH651" s="0"/>
      <c r="HI651" s="0"/>
      <c r="HJ651" s="0"/>
      <c r="HK651" s="0"/>
      <c r="HL651" s="0"/>
      <c r="HM651" s="0"/>
      <c r="HN651" s="0"/>
      <c r="HO651" s="0"/>
      <c r="HP651" s="0"/>
      <c r="HQ651" s="0"/>
      <c r="HR651" s="0"/>
      <c r="HS651" s="0"/>
      <c r="HT651" s="0"/>
      <c r="HU651" s="0"/>
      <c r="HV651" s="0"/>
      <c r="HW651" s="0"/>
      <c r="HX651" s="0"/>
      <c r="HY651" s="0"/>
      <c r="HZ651" s="0"/>
      <c r="IA651" s="0"/>
      <c r="IB651" s="0"/>
      <c r="IC651" s="0"/>
      <c r="ID651" s="0"/>
      <c r="IE651" s="0"/>
      <c r="IF651" s="0"/>
      <c r="IG651" s="0"/>
      <c r="IH651" s="0"/>
      <c r="II651" s="0"/>
      <c r="IJ651" s="0"/>
      <c r="IK651" s="0"/>
      <c r="IL651" s="0"/>
      <c r="IM651" s="0"/>
      <c r="IN651" s="0"/>
      <c r="IO651" s="0"/>
      <c r="IP651" s="0"/>
      <c r="IQ651" s="0"/>
      <c r="IR651" s="0"/>
      <c r="IS651" s="0"/>
      <c r="IT651" s="0"/>
      <c r="IU651" s="0"/>
      <c r="IV651" s="0"/>
    </row>
    <row r="652" customFormat="false" ht="20.1" hidden="false" customHeight="true" outlineLevel="0" collapsed="false">
      <c r="E652" s="0"/>
      <c r="F652" s="1023"/>
      <c r="G652" s="1023"/>
      <c r="H652" s="1023"/>
      <c r="I652" s="1023"/>
      <c r="J652" s="1023"/>
      <c r="K652" s="1023"/>
      <c r="L652" s="877"/>
      <c r="M652" s="0"/>
      <c r="N652" s="0"/>
      <c r="O652" s="0"/>
      <c r="P652" s="0"/>
      <c r="Q652" s="55"/>
      <c r="R652" s="55"/>
      <c r="S652" s="0"/>
      <c r="T652" s="0"/>
      <c r="U652" s="0"/>
      <c r="V652" s="0"/>
      <c r="W652" s="0"/>
      <c r="X652" s="0"/>
      <c r="Y652" s="0"/>
      <c r="Z652" s="0"/>
      <c r="AA652" s="0"/>
      <c r="AB652" s="0"/>
      <c r="AC652" s="0"/>
      <c r="AD652" s="0"/>
      <c r="AE652" s="0"/>
      <c r="AF652" s="0"/>
      <c r="AG652" s="0"/>
      <c r="AH652" s="0"/>
      <c r="AI652" s="0"/>
      <c r="AJ652" s="0"/>
      <c r="AK652" s="0"/>
      <c r="AL652" s="0"/>
      <c r="AM652" s="0"/>
      <c r="AN652" s="0"/>
      <c r="AO652" s="0"/>
      <c r="AP652" s="0"/>
      <c r="AQ652" s="0"/>
      <c r="AR652" s="0"/>
      <c r="AS652" s="0"/>
      <c r="AT652" s="0"/>
      <c r="AU652" s="0"/>
      <c r="AV652" s="0"/>
      <c r="AW652" s="0"/>
      <c r="AX652" s="0"/>
      <c r="AY652" s="0"/>
      <c r="AZ652" s="0"/>
      <c r="BA652" s="0"/>
      <c r="BB652" s="0"/>
      <c r="BC652" s="0"/>
      <c r="BD652" s="0"/>
      <c r="BE652" s="0"/>
      <c r="BF652" s="0"/>
      <c r="BG652" s="0"/>
      <c r="BH652" s="0"/>
      <c r="BI652" s="0"/>
      <c r="BJ652" s="0"/>
      <c r="BK652" s="0"/>
      <c r="BL652" s="0"/>
      <c r="BM652" s="0"/>
      <c r="BN652" s="0"/>
      <c r="BO652" s="0"/>
      <c r="BP652" s="0"/>
      <c r="BQ652" s="0"/>
      <c r="BR652" s="0"/>
      <c r="BS652" s="0"/>
      <c r="BT652" s="0"/>
      <c r="BU652" s="0"/>
      <c r="BV652" s="0"/>
      <c r="BW652" s="0"/>
      <c r="BX652" s="0"/>
      <c r="BY652" s="0"/>
      <c r="BZ652" s="0"/>
      <c r="CA652" s="0"/>
      <c r="CB652" s="0"/>
      <c r="CC652" s="0"/>
      <c r="CD652" s="0"/>
      <c r="CE652" s="0"/>
      <c r="CF652" s="0"/>
      <c r="CG652" s="0"/>
      <c r="CH652" s="0"/>
      <c r="CI652" s="0"/>
      <c r="CJ652" s="0"/>
      <c r="CK652" s="0"/>
      <c r="CL652" s="0"/>
      <c r="CM652" s="0"/>
      <c r="CN652" s="0"/>
      <c r="CO652" s="0"/>
      <c r="CP652" s="0"/>
      <c r="CQ652" s="0"/>
      <c r="CR652" s="0"/>
      <c r="CS652" s="0"/>
      <c r="CT652" s="0"/>
      <c r="CU652" s="0"/>
      <c r="CV652" s="0"/>
      <c r="CW652" s="0"/>
      <c r="CX652" s="0"/>
      <c r="CY652" s="0"/>
      <c r="CZ652" s="0"/>
      <c r="DA652" s="0"/>
      <c r="DB652" s="0"/>
      <c r="DC652" s="0"/>
      <c r="DD652" s="0"/>
      <c r="DE652" s="0"/>
      <c r="DF652" s="0"/>
      <c r="DG652" s="0"/>
      <c r="DH652" s="0"/>
      <c r="DI652" s="0"/>
      <c r="DJ652" s="0"/>
      <c r="DK652" s="0"/>
      <c r="DL652" s="0"/>
      <c r="DM652" s="0"/>
      <c r="DN652" s="0"/>
      <c r="DO652" s="0"/>
      <c r="DP652" s="0"/>
      <c r="DQ652" s="0"/>
      <c r="DR652" s="0"/>
      <c r="DS652" s="0"/>
      <c r="DT652" s="0"/>
      <c r="DU652" s="0"/>
      <c r="DV652" s="0"/>
      <c r="DW652" s="0"/>
      <c r="DX652" s="0"/>
      <c r="DY652" s="0"/>
      <c r="DZ652" s="0"/>
      <c r="EA652" s="0"/>
      <c r="EB652" s="0"/>
      <c r="EC652" s="0"/>
      <c r="ED652" s="0"/>
      <c r="EE652" s="0"/>
      <c r="EF652" s="0"/>
      <c r="EG652" s="0"/>
      <c r="EH652" s="0"/>
      <c r="EI652" s="0"/>
      <c r="EJ652" s="0"/>
      <c r="EK652" s="0"/>
      <c r="EL652" s="0"/>
      <c r="EM652" s="0"/>
      <c r="EN652" s="0"/>
      <c r="EO652" s="0"/>
      <c r="EP652" s="0"/>
      <c r="EQ652" s="0"/>
      <c r="ER652" s="0"/>
      <c r="ES652" s="0"/>
      <c r="ET652" s="0"/>
      <c r="EU652" s="0"/>
      <c r="EV652" s="0"/>
      <c r="EW652" s="0"/>
      <c r="EX652" s="0"/>
      <c r="EY652" s="0"/>
      <c r="EZ652" s="0"/>
      <c r="FA652" s="0"/>
      <c r="FB652" s="0"/>
      <c r="FC652" s="0"/>
      <c r="FD652" s="0"/>
      <c r="FE652" s="0"/>
      <c r="FF652" s="0"/>
      <c r="FG652" s="0"/>
      <c r="FH652" s="0"/>
      <c r="FI652" s="0"/>
      <c r="FJ652" s="0"/>
      <c r="FK652" s="0"/>
      <c r="FL652" s="0"/>
      <c r="FM652" s="0"/>
      <c r="FN652" s="0"/>
      <c r="FO652" s="0"/>
      <c r="FP652" s="0"/>
      <c r="FQ652" s="0"/>
      <c r="FR652" s="0"/>
      <c r="FS652" s="0"/>
      <c r="FT652" s="0"/>
      <c r="FU652" s="0"/>
      <c r="FV652" s="0"/>
      <c r="FW652" s="0"/>
      <c r="FX652" s="0"/>
      <c r="FY652" s="0"/>
      <c r="FZ652" s="0"/>
      <c r="GA652" s="0"/>
      <c r="GB652" s="0"/>
      <c r="GC652" s="0"/>
      <c r="GD652" s="0"/>
      <c r="GE652" s="0"/>
      <c r="GF652" s="0"/>
      <c r="GG652" s="0"/>
      <c r="GH652" s="0"/>
      <c r="GI652" s="0"/>
      <c r="GJ652" s="0"/>
      <c r="GK652" s="0"/>
      <c r="GL652" s="0"/>
      <c r="GM652" s="0"/>
      <c r="GN652" s="0"/>
      <c r="GO652" s="0"/>
      <c r="GP652" s="0"/>
      <c r="GQ652" s="0"/>
      <c r="GR652" s="0"/>
      <c r="GS652" s="0"/>
      <c r="GT652" s="0"/>
      <c r="GU652" s="0"/>
      <c r="GV652" s="0"/>
      <c r="GW652" s="0"/>
      <c r="GX652" s="0"/>
      <c r="GY652" s="0"/>
      <c r="GZ652" s="0"/>
      <c r="HA652" s="0"/>
      <c r="HB652" s="0"/>
      <c r="HC652" s="0"/>
      <c r="HD652" s="0"/>
      <c r="HE652" s="0"/>
      <c r="HF652" s="0"/>
      <c r="HG652" s="0"/>
      <c r="HH652" s="0"/>
      <c r="HI652" s="0"/>
      <c r="HJ652" s="0"/>
      <c r="HK652" s="0"/>
      <c r="HL652" s="0"/>
      <c r="HM652" s="0"/>
      <c r="HN652" s="0"/>
      <c r="HO652" s="0"/>
      <c r="HP652" s="0"/>
      <c r="HQ652" s="0"/>
      <c r="HR652" s="0"/>
      <c r="HS652" s="0"/>
      <c r="HT652" s="0"/>
      <c r="HU652" s="0"/>
      <c r="HV652" s="0"/>
      <c r="HW652" s="0"/>
      <c r="HX652" s="0"/>
      <c r="HY652" s="0"/>
      <c r="HZ652" s="0"/>
      <c r="IA652" s="0"/>
      <c r="IB652" s="0"/>
      <c r="IC652" s="0"/>
      <c r="ID652" s="0"/>
      <c r="IE652" s="0"/>
      <c r="IF652" s="0"/>
      <c r="IG652" s="0"/>
      <c r="IH652" s="0"/>
      <c r="II652" s="0"/>
      <c r="IJ652" s="0"/>
      <c r="IK652" s="0"/>
      <c r="IL652" s="0"/>
      <c r="IM652" s="0"/>
      <c r="IN652" s="0"/>
      <c r="IO652" s="0"/>
      <c r="IP652" s="0"/>
      <c r="IQ652" s="0"/>
      <c r="IR652" s="0"/>
      <c r="IS652" s="0"/>
      <c r="IT652" s="0"/>
      <c r="IU652" s="0"/>
      <c r="IV652" s="0"/>
    </row>
    <row r="653" customFormat="false" ht="21.75" hidden="false" customHeight="true" outlineLevel="0" collapsed="false">
      <c r="A653" s="1115" t="s">
        <v>1444</v>
      </c>
      <c r="B653" s="1115"/>
      <c r="C653" s="1115"/>
      <c r="D653" s="1114" t="s">
        <v>254</v>
      </c>
      <c r="E653" s="1113"/>
      <c r="F653" s="1023"/>
      <c r="G653" s="1023"/>
      <c r="H653" s="1023"/>
      <c r="I653" s="1023"/>
      <c r="J653" s="1023"/>
      <c r="K653" s="1023"/>
      <c r="L653" s="877"/>
      <c r="M653" s="0"/>
      <c r="Q653" s="55"/>
      <c r="R653" s="55"/>
      <c r="S653" s="55"/>
    </row>
    <row r="654" customFormat="false" ht="75" hidden="false" customHeight="true" outlineLevel="0" collapsed="false">
      <c r="A654" s="1116" t="s">
        <v>1445</v>
      </c>
      <c r="B654" s="1116"/>
      <c r="C654" s="1116"/>
      <c r="D654" s="1116"/>
      <c r="E654" s="1116"/>
      <c r="F654" s="19"/>
      <c r="G654" s="14"/>
      <c r="H654" s="1046"/>
      <c r="I654" s="55"/>
      <c r="K654" s="903"/>
      <c r="L654" s="877"/>
      <c r="M654" s="55"/>
      <c r="Q654" s="55"/>
      <c r="R654" s="55"/>
      <c r="S654" s="55"/>
    </row>
    <row r="655" customFormat="false" ht="20.1" hidden="false" customHeight="true" outlineLevel="0" collapsed="false">
      <c r="F655" s="0"/>
      <c r="G655" s="0"/>
      <c r="H655" s="0"/>
      <c r="I655" s="0"/>
      <c r="K655" s="903"/>
      <c r="L655" s="877"/>
      <c r="M655" s="0"/>
      <c r="Q655" s="55"/>
      <c r="R655" s="55"/>
      <c r="S655" s="55"/>
    </row>
    <row r="656" customFormat="false" ht="20.1" hidden="false" customHeight="true" outlineLevel="0" collapsed="false">
      <c r="A656" s="14" t="s">
        <v>1446</v>
      </c>
      <c r="B656" s="1117"/>
      <c r="C656" s="1118"/>
      <c r="D656" s="620"/>
      <c r="E656" s="0"/>
      <c r="F656" s="0"/>
      <c r="G656" s="0"/>
      <c r="H656" s="0"/>
      <c r="I656" s="0"/>
      <c r="J656" s="0"/>
      <c r="K656" s="903"/>
      <c r="L656" s="877"/>
      <c r="M656" s="0"/>
      <c r="Q656" s="55"/>
      <c r="R656" s="55"/>
      <c r="S656" s="55"/>
    </row>
    <row r="657" customFormat="false" ht="20.1" hidden="false" customHeight="true" outlineLevel="0" collapsed="false">
      <c r="A657" s="11" t="s">
        <v>575</v>
      </c>
      <c r="B657" s="1117"/>
      <c r="C657" s="1118"/>
      <c r="D657" s="1114" t="s">
        <v>253</v>
      </c>
      <c r="E657" s="0"/>
      <c r="F657" s="0"/>
      <c r="G657" s="0"/>
      <c r="H657" s="0"/>
      <c r="I657" s="0"/>
      <c r="J657" s="0"/>
      <c r="K657" s="903"/>
      <c r="L657" s="877"/>
      <c r="M657" s="0"/>
      <c r="Q657" s="55"/>
      <c r="R657" s="55"/>
      <c r="S657" s="55"/>
    </row>
    <row r="658" customFormat="false" ht="20.1" hidden="false" customHeight="true" outlineLevel="0" collapsed="false">
      <c r="A658" s="14"/>
      <c r="B658" s="1117"/>
      <c r="C658" s="1118"/>
      <c r="D658" s="620"/>
      <c r="E658" s="0"/>
      <c r="F658" s="0"/>
      <c r="G658" s="0"/>
      <c r="H658" s="0"/>
      <c r="I658" s="0"/>
      <c r="J658" s="0"/>
      <c r="K658" s="903"/>
      <c r="L658" s="877"/>
      <c r="M658" s="0"/>
      <c r="Q658" s="55"/>
      <c r="R658" s="55"/>
      <c r="S658" s="55"/>
    </row>
    <row r="659" customFormat="false" ht="20.1" hidden="false" customHeight="true" outlineLevel="0" collapsed="false">
      <c r="A659" s="14" t="s">
        <v>1447</v>
      </c>
      <c r="B659" s="0"/>
      <c r="C659" s="0"/>
      <c r="D659" s="1119" t="n">
        <f aca="false">E660+E662+E664+E666</f>
        <v>2</v>
      </c>
      <c r="E659" s="0"/>
      <c r="F659" s="0"/>
      <c r="G659" s="0"/>
      <c r="H659" s="0"/>
      <c r="I659" s="0"/>
      <c r="J659" s="0"/>
      <c r="K659" s="903"/>
      <c r="L659" s="877"/>
      <c r="M659" s="0"/>
      <c r="Q659" s="55"/>
      <c r="R659" s="55"/>
      <c r="S659" s="55"/>
    </row>
    <row r="660" customFormat="false" ht="20.1" hidden="false" customHeight="true" outlineLevel="0" collapsed="false">
      <c r="A660" s="1120" t="s">
        <v>1448</v>
      </c>
      <c r="B660" s="1120"/>
      <c r="C660" s="1118"/>
      <c r="D660" s="1121" t="s">
        <v>254</v>
      </c>
      <c r="E660" s="1122" t="n">
        <f aca="false">IF(D660="oui",1,0)</f>
        <v>0</v>
      </c>
      <c r="F660" s="0"/>
      <c r="G660" s="0"/>
      <c r="H660" s="0"/>
      <c r="I660" s="0"/>
      <c r="J660" s="0"/>
      <c r="K660" s="903"/>
      <c r="L660" s="877"/>
      <c r="M660" s="0"/>
      <c r="Q660" s="55"/>
      <c r="R660" s="55"/>
      <c r="S660" s="55"/>
    </row>
    <row r="661" customFormat="false" ht="20.1" hidden="false" customHeight="true" outlineLevel="0" collapsed="false">
      <c r="A661" s="1123" t="s">
        <v>1449</v>
      </c>
      <c r="B661" s="1120"/>
      <c r="C661" s="1118"/>
      <c r="D661" s="0"/>
      <c r="E661" s="1122"/>
      <c r="F661" s="0"/>
      <c r="G661" s="0"/>
      <c r="H661" s="0"/>
      <c r="I661" s="0"/>
      <c r="J661" s="0"/>
      <c r="K661" s="903"/>
      <c r="L661" s="877"/>
      <c r="M661" s="0"/>
      <c r="Q661" s="55"/>
      <c r="R661" s="55"/>
      <c r="S661" s="55"/>
    </row>
    <row r="662" customFormat="false" ht="19.5" hidden="false" customHeight="true" outlineLevel="0" collapsed="false">
      <c r="A662" s="1124" t="s">
        <v>1450</v>
      </c>
      <c r="B662" s="1124"/>
      <c r="C662" s="1124"/>
      <c r="D662" s="1121" t="s">
        <v>253</v>
      </c>
      <c r="E662" s="1122" t="n">
        <f aca="false">IF(D662="oui",1,0)</f>
        <v>1</v>
      </c>
      <c r="F662" s="0"/>
      <c r="G662" s="0"/>
      <c r="H662" s="0"/>
      <c r="I662" s="0"/>
      <c r="J662" s="0"/>
      <c r="K662" s="903"/>
      <c r="L662" s="877"/>
      <c r="M662" s="0"/>
      <c r="Q662" s="55"/>
      <c r="R662" s="55"/>
      <c r="S662" s="55"/>
    </row>
    <row r="663" customFormat="false" ht="19.5" hidden="false" customHeight="true" outlineLevel="0" collapsed="false">
      <c r="A663" s="1123" t="s">
        <v>1451</v>
      </c>
      <c r="B663" s="1120"/>
      <c r="C663" s="1118"/>
      <c r="D663" s="0"/>
      <c r="E663" s="1122"/>
      <c r="F663" s="0"/>
      <c r="G663" s="0"/>
      <c r="H663" s="0"/>
      <c r="I663" s="0"/>
      <c r="J663" s="0"/>
      <c r="K663" s="903"/>
      <c r="L663" s="877"/>
      <c r="M663" s="0"/>
      <c r="Q663" s="55"/>
      <c r="R663" s="55"/>
      <c r="S663" s="55"/>
    </row>
    <row r="664" customFormat="false" ht="20.1" hidden="false" customHeight="true" outlineLevel="0" collapsed="false">
      <c r="A664" s="1120" t="s">
        <v>1452</v>
      </c>
      <c r="B664" s="1120"/>
      <c r="C664" s="1118"/>
      <c r="D664" s="1121" t="s">
        <v>253</v>
      </c>
      <c r="E664" s="1122" t="n">
        <f aca="false">IF(D664="oui",1,0)</f>
        <v>1</v>
      </c>
      <c r="F664" s="0"/>
      <c r="G664" s="0"/>
      <c r="H664" s="0"/>
      <c r="I664" s="0"/>
      <c r="J664" s="0"/>
      <c r="K664" s="903"/>
      <c r="L664" s="877"/>
      <c r="M664" s="0"/>
      <c r="Q664" s="55"/>
      <c r="R664" s="55"/>
      <c r="S664" s="55"/>
    </row>
    <row r="665" customFormat="false" ht="20.1" hidden="false" customHeight="true" outlineLevel="0" collapsed="false">
      <c r="A665" s="1123" t="s">
        <v>1453</v>
      </c>
      <c r="B665" s="1120"/>
      <c r="C665" s="1118"/>
      <c r="D665" s="0"/>
      <c r="E665" s="1122"/>
      <c r="F665" s="0"/>
      <c r="G665" s="0"/>
      <c r="H665" s="0"/>
      <c r="I665" s="0"/>
      <c r="J665" s="0"/>
      <c r="K665" s="903"/>
      <c r="L665" s="877"/>
      <c r="M665" s="0"/>
      <c r="Q665" s="55"/>
      <c r="R665" s="55"/>
      <c r="S665" s="55"/>
    </row>
    <row r="666" customFormat="false" ht="20.1" hidden="false" customHeight="true" outlineLevel="0" collapsed="false">
      <c r="A666" s="1120" t="s">
        <v>1454</v>
      </c>
      <c r="B666" s="1120"/>
      <c r="C666" s="1118"/>
      <c r="D666" s="1121" t="s">
        <v>254</v>
      </c>
      <c r="E666" s="1122" t="n">
        <f aca="false">IF(D666="oui",1,0)</f>
        <v>0</v>
      </c>
      <c r="F666" s="0"/>
      <c r="G666" s="0"/>
      <c r="H666" s="0"/>
      <c r="I666" s="0"/>
      <c r="J666" s="0"/>
      <c r="K666" s="903"/>
      <c r="L666" s="877"/>
      <c r="M666" s="0"/>
      <c r="Q666" s="55"/>
      <c r="R666" s="55"/>
      <c r="S666" s="55"/>
    </row>
    <row r="667" customFormat="false" ht="20.1" hidden="false" customHeight="true" outlineLevel="0" collapsed="false">
      <c r="A667" s="1123" t="s">
        <v>1455</v>
      </c>
      <c r="F667" s="0"/>
      <c r="G667" s="0"/>
      <c r="H667" s="0"/>
      <c r="I667" s="0"/>
      <c r="J667" s="0"/>
      <c r="K667" s="903"/>
      <c r="L667" s="877"/>
      <c r="M667" s="0"/>
      <c r="Q667" s="55"/>
      <c r="R667" s="55"/>
      <c r="S667" s="55"/>
    </row>
    <row r="668" customFormat="false" ht="20.1" hidden="false" customHeight="true" outlineLevel="0" collapsed="false">
      <c r="F668" s="0"/>
      <c r="G668" s="0"/>
      <c r="H668" s="0"/>
      <c r="I668" s="0"/>
      <c r="J668" s="0"/>
      <c r="K668" s="903"/>
      <c r="L668" s="877"/>
      <c r="M668" s="0"/>
      <c r="Q668" s="55"/>
      <c r="R668" s="55"/>
      <c r="S668" s="55"/>
    </row>
    <row r="669" customFormat="false" ht="20.1" hidden="false" customHeight="true" outlineLevel="0" collapsed="false">
      <c r="A669" s="649" t="s">
        <v>1456</v>
      </c>
      <c r="B669" s="415"/>
      <c r="C669" s="0"/>
      <c r="D669" s="0"/>
      <c r="E669" s="0"/>
      <c r="F669" s="0"/>
      <c r="G669" s="0"/>
      <c r="H669" s="0"/>
      <c r="I669" s="0"/>
      <c r="J669" s="0"/>
      <c r="K669" s="903"/>
      <c r="L669" s="877"/>
      <c r="M669" s="0"/>
      <c r="Q669" s="55"/>
      <c r="R669" s="55"/>
      <c r="S669" s="55"/>
    </row>
    <row r="670" customFormat="false" ht="20.1" hidden="false" customHeight="true" outlineLevel="0" collapsed="false">
      <c r="A670" s="16" t="s">
        <v>1457</v>
      </c>
      <c r="B670" s="0"/>
      <c r="C670" s="0"/>
      <c r="D670" s="0"/>
      <c r="E670" s="879"/>
      <c r="F670" s="19"/>
      <c r="G670" s="18"/>
      <c r="H670" s="1114" t="s">
        <v>253</v>
      </c>
      <c r="I670" s="0"/>
      <c r="J670" s="0"/>
      <c r="K670" s="903"/>
      <c r="L670" s="877"/>
      <c r="M670" s="0"/>
      <c r="Q670" s="55"/>
      <c r="R670" s="55"/>
      <c r="S670" s="55"/>
    </row>
    <row r="671" customFormat="false" ht="20.1" hidden="false" customHeight="true" outlineLevel="0" collapsed="false">
      <c r="I671" s="1122"/>
      <c r="J671" s="667"/>
      <c r="K671" s="876"/>
      <c r="L671" s="1034"/>
      <c r="M671" s="55"/>
      <c r="Q671" s="55"/>
      <c r="R671" s="55"/>
      <c r="S671" s="55"/>
    </row>
    <row r="672" customFormat="false" ht="20.1" hidden="false" customHeight="true" outlineLevel="0" collapsed="false">
      <c r="A672" s="16"/>
      <c r="B672" s="0"/>
      <c r="C672" s="0"/>
      <c r="D672" s="879"/>
      <c r="E672" s="0"/>
      <c r="F672" s="15"/>
      <c r="G672" s="0"/>
      <c r="H672" s="0"/>
      <c r="I672" s="0"/>
      <c r="J672" s="0"/>
      <c r="K672" s="903"/>
      <c r="L672" s="1125"/>
      <c r="M672" s="55"/>
      <c r="Q672" s="55"/>
      <c r="R672" s="55"/>
      <c r="S672" s="55"/>
    </row>
    <row r="673" customFormat="false" ht="20.1" hidden="false" customHeight="true" outlineLevel="0" collapsed="false">
      <c r="A673" s="869" t="s">
        <v>1458</v>
      </c>
      <c r="B673" s="869"/>
      <c r="C673" s="869"/>
      <c r="D673" s="869"/>
      <c r="E673" s="869"/>
      <c r="F673" s="869"/>
      <c r="G673" s="869"/>
      <c r="H673" s="53"/>
      <c r="I673" s="53"/>
      <c r="J673" s="53"/>
      <c r="K673" s="870"/>
      <c r="L673" s="871" t="s">
        <v>1370</v>
      </c>
      <c r="M673" s="0"/>
      <c r="Q673" s="55"/>
      <c r="R673" s="55"/>
      <c r="S673" s="55"/>
    </row>
    <row r="674" customFormat="false" ht="20.1" hidden="false" customHeight="true" outlineLevel="0" collapsed="false">
      <c r="J674" s="11"/>
      <c r="M674" s="0"/>
      <c r="Q674" s="55"/>
      <c r="R674" s="55"/>
      <c r="S674" s="55"/>
    </row>
    <row r="675" customFormat="false" ht="20.1" hidden="false" customHeight="true" outlineLevel="0" collapsed="false">
      <c r="A675" s="649" t="s">
        <v>1459</v>
      </c>
      <c r="B675" s="1126"/>
      <c r="C675" s="1126"/>
      <c r="D675" s="1127" t="s">
        <v>94</v>
      </c>
      <c r="E675" s="1128"/>
      <c r="F675" s="1129" t="s">
        <v>1460</v>
      </c>
      <c r="G675" s="14"/>
      <c r="H675" s="1130"/>
      <c r="I675" s="14"/>
      <c r="J675" s="973"/>
      <c r="K675" s="903"/>
      <c r="L675" s="877"/>
      <c r="M675" s="1023"/>
      <c r="Q675" s="55"/>
      <c r="R675" s="55"/>
      <c r="S675" s="55"/>
    </row>
    <row r="676" customFormat="false" ht="20.1" hidden="false" customHeight="true" outlineLevel="0" collapsed="false">
      <c r="A676" s="1131" t="s">
        <v>520</v>
      </c>
      <c r="B676" s="1131"/>
      <c r="C676" s="1131"/>
      <c r="D676" s="1132" t="n">
        <v>15</v>
      </c>
      <c r="E676" s="18"/>
      <c r="F676" s="1133" t="n">
        <f aca="false">D676/B24</f>
        <v>0.194805194805195</v>
      </c>
      <c r="G676" s="19"/>
      <c r="H676" s="19"/>
      <c r="I676" s="19"/>
      <c r="J676" s="19"/>
      <c r="K676" s="19"/>
      <c r="L676" s="877"/>
      <c r="M676" s="1023"/>
      <c r="Q676" s="55"/>
      <c r="R676" s="55"/>
      <c r="S676" s="55"/>
    </row>
    <row r="677" customFormat="false" ht="20.1" hidden="false" customHeight="true" outlineLevel="0" collapsed="false">
      <c r="A677" s="1134" t="s">
        <v>1461</v>
      </c>
      <c r="B677" s="1135"/>
      <c r="C677" s="1135"/>
      <c r="D677" s="1135"/>
      <c r="E677" s="1135"/>
      <c r="F677" s="19"/>
      <c r="G677" s="19"/>
      <c r="H677" s="19"/>
      <c r="I677" s="19"/>
      <c r="J677" s="19"/>
      <c r="K677" s="19"/>
      <c r="L677" s="18"/>
      <c r="M677" s="1023"/>
      <c r="Q677" s="55"/>
      <c r="R677" s="55"/>
      <c r="S677" s="55"/>
    </row>
    <row r="678" customFormat="false" ht="20.1" hidden="false" customHeight="true" outlineLevel="0" collapsed="false">
      <c r="A678" s="1136"/>
      <c r="B678" s="1137"/>
      <c r="C678" s="1137"/>
      <c r="D678" s="1137"/>
      <c r="E678" s="1137"/>
      <c r="F678" s="1080"/>
      <c r="G678" s="1080"/>
      <c r="H678" s="1080"/>
      <c r="I678" s="1080"/>
      <c r="J678" s="1080"/>
      <c r="K678" s="1080"/>
      <c r="L678" s="1138"/>
      <c r="M678" s="1139"/>
      <c r="Q678" s="55"/>
      <c r="R678" s="55"/>
      <c r="S678" s="55"/>
      <c r="T678" s="0"/>
      <c r="U678" s="0"/>
      <c r="V678" s="0"/>
      <c r="W678" s="0"/>
      <c r="X678" s="0"/>
      <c r="Y678" s="0"/>
      <c r="Z678" s="0"/>
      <c r="AA678" s="0"/>
      <c r="AB678" s="0"/>
      <c r="AC678" s="0"/>
      <c r="AD678" s="0"/>
      <c r="AE678" s="0"/>
      <c r="AF678" s="0"/>
      <c r="AG678" s="0"/>
      <c r="AH678" s="0"/>
      <c r="AI678" s="0"/>
      <c r="AJ678" s="0"/>
      <c r="AK678" s="0"/>
      <c r="AL678" s="0"/>
      <c r="AM678" s="0"/>
      <c r="AN678" s="0"/>
      <c r="AO678" s="0"/>
      <c r="AP678" s="0"/>
      <c r="AQ678" s="0"/>
      <c r="AR678" s="0"/>
      <c r="AS678" s="0"/>
      <c r="AT678" s="0"/>
      <c r="AU678" s="0"/>
      <c r="AV678" s="0"/>
      <c r="BR678" s="0"/>
      <c r="BS678" s="0"/>
      <c r="BT678" s="0"/>
      <c r="BU678" s="0"/>
      <c r="BV678" s="0"/>
      <c r="BW678" s="0"/>
      <c r="BX678" s="0"/>
      <c r="BY678" s="0"/>
      <c r="BZ678" s="0"/>
      <c r="CA678" s="0"/>
      <c r="CB678" s="0"/>
      <c r="CC678" s="0"/>
      <c r="CD678" s="0"/>
      <c r="CE678" s="0"/>
      <c r="CF678" s="0"/>
      <c r="CG678" s="0"/>
      <c r="CH678" s="0"/>
      <c r="CI678" s="0"/>
      <c r="CJ678" s="0"/>
      <c r="CK678" s="0"/>
      <c r="CL678" s="0"/>
      <c r="CM678" s="0"/>
      <c r="CN678" s="0"/>
      <c r="CO678" s="0"/>
      <c r="CP678" s="0"/>
      <c r="CQ678" s="0"/>
      <c r="CR678" s="0"/>
      <c r="CS678" s="0"/>
      <c r="CT678" s="0"/>
      <c r="CU678" s="0"/>
      <c r="CV678" s="0"/>
      <c r="CW678" s="0"/>
      <c r="CX678" s="0"/>
      <c r="CY678" s="0"/>
      <c r="CZ678" s="0"/>
      <c r="DA678" s="0"/>
      <c r="DB678" s="0"/>
      <c r="DC678" s="0"/>
      <c r="DD678" s="0"/>
      <c r="DE678" s="0"/>
      <c r="DF678" s="0"/>
      <c r="DG678" s="0"/>
      <c r="DH678" s="0"/>
      <c r="DI678" s="0"/>
      <c r="DJ678" s="0"/>
      <c r="DK678" s="0"/>
      <c r="DL678" s="0"/>
      <c r="DM678" s="0"/>
      <c r="DN678" s="0"/>
      <c r="DO678" s="0"/>
      <c r="DP678" s="0"/>
      <c r="DQ678" s="0"/>
      <c r="DR678" s="0"/>
      <c r="DS678" s="0"/>
      <c r="DT678" s="0"/>
      <c r="DU678" s="0"/>
      <c r="DV678" s="0"/>
      <c r="DW678" s="0"/>
      <c r="DX678" s="0"/>
      <c r="DY678" s="0"/>
      <c r="DZ678" s="0"/>
      <c r="EA678" s="0"/>
      <c r="EB678" s="0"/>
      <c r="EC678" s="0"/>
      <c r="ED678" s="0"/>
      <c r="EE678" s="0"/>
      <c r="EF678" s="0"/>
      <c r="EG678" s="0"/>
      <c r="EH678" s="0"/>
      <c r="EI678" s="0"/>
      <c r="EJ678" s="0"/>
      <c r="EK678" s="0"/>
      <c r="EL678" s="0"/>
      <c r="EM678" s="0"/>
      <c r="EN678" s="0"/>
      <c r="EO678" s="0"/>
      <c r="EP678" s="0"/>
      <c r="EQ678" s="0"/>
      <c r="ER678" s="0"/>
      <c r="ES678" s="0"/>
      <c r="ET678" s="0"/>
      <c r="EU678" s="0"/>
      <c r="EV678" s="0"/>
      <c r="EW678" s="0"/>
      <c r="EX678" s="0"/>
      <c r="EY678" s="0"/>
      <c r="EZ678" s="0"/>
      <c r="FA678" s="0"/>
      <c r="FB678" s="0"/>
      <c r="FC678" s="0"/>
      <c r="FD678" s="0"/>
      <c r="FE678" s="0"/>
      <c r="FF678" s="0"/>
      <c r="FG678" s="0"/>
      <c r="FH678" s="0"/>
      <c r="FI678" s="0"/>
      <c r="FJ678" s="0"/>
      <c r="FK678" s="0"/>
      <c r="FL678" s="0"/>
      <c r="FM678" s="0"/>
      <c r="FN678" s="0"/>
      <c r="FO678" s="0"/>
      <c r="FP678" s="0"/>
      <c r="FQ678" s="0"/>
      <c r="FR678" s="0"/>
      <c r="FS678" s="0"/>
      <c r="FT678" s="0"/>
      <c r="FU678" s="0"/>
      <c r="FV678" s="0"/>
      <c r="FW678" s="0"/>
      <c r="FX678" s="0"/>
      <c r="FY678" s="0"/>
      <c r="FZ678" s="0"/>
      <c r="GA678" s="0"/>
      <c r="GB678" s="0"/>
      <c r="GC678" s="0"/>
      <c r="GD678" s="0"/>
      <c r="GE678" s="0"/>
      <c r="GF678" s="0"/>
      <c r="GG678" s="0"/>
      <c r="GH678" s="0"/>
      <c r="GI678" s="0"/>
      <c r="GJ678" s="0"/>
      <c r="GK678" s="0"/>
      <c r="GL678" s="0"/>
      <c r="GM678" s="0"/>
      <c r="GN678" s="0"/>
      <c r="GO678" s="0"/>
      <c r="GP678" s="0"/>
      <c r="GQ678" s="0"/>
      <c r="GR678" s="0"/>
      <c r="GS678" s="0"/>
      <c r="GT678" s="0"/>
      <c r="GU678" s="0"/>
      <c r="GV678" s="0"/>
      <c r="GW678" s="0"/>
      <c r="GX678" s="0"/>
      <c r="GY678" s="0"/>
      <c r="GZ678" s="0"/>
      <c r="HA678" s="0"/>
      <c r="HB678" s="0"/>
      <c r="HC678" s="0"/>
      <c r="HD678" s="0"/>
      <c r="HE678" s="0"/>
      <c r="HF678" s="0"/>
      <c r="HG678" s="0"/>
      <c r="HH678" s="0"/>
      <c r="HI678" s="0"/>
      <c r="HJ678" s="0"/>
      <c r="HK678" s="0"/>
      <c r="HL678" s="0"/>
      <c r="HM678" s="0"/>
      <c r="HN678" s="0"/>
      <c r="HO678" s="0"/>
      <c r="HP678" s="0"/>
      <c r="HQ678" s="0"/>
      <c r="HR678" s="0"/>
      <c r="HS678" s="0"/>
      <c r="HT678" s="0"/>
      <c r="HU678" s="0"/>
      <c r="HV678" s="0"/>
      <c r="HW678" s="0"/>
      <c r="HX678" s="0"/>
      <c r="HY678" s="0"/>
      <c r="HZ678" s="0"/>
      <c r="IA678" s="0"/>
      <c r="IB678" s="0"/>
      <c r="IC678" s="0"/>
      <c r="ID678" s="0"/>
      <c r="IE678" s="0"/>
      <c r="IF678" s="0"/>
      <c r="IG678" s="0"/>
      <c r="IH678" s="0"/>
      <c r="II678" s="0"/>
      <c r="IJ678" s="0"/>
      <c r="IK678" s="0"/>
      <c r="IL678" s="0"/>
      <c r="IM678" s="0"/>
      <c r="IN678" s="0"/>
      <c r="IO678" s="0"/>
      <c r="IP678" s="0"/>
      <c r="IQ678" s="0"/>
      <c r="IR678" s="0"/>
      <c r="IS678" s="0"/>
      <c r="IT678" s="0"/>
      <c r="IU678" s="0"/>
      <c r="IV678" s="0"/>
    </row>
    <row r="679" customFormat="false" ht="20.1" hidden="false" customHeight="true" outlineLevel="0" collapsed="false">
      <c r="A679" s="1140" t="s">
        <v>522</v>
      </c>
      <c r="B679" s="1140"/>
      <c r="C679" s="1140"/>
      <c r="D679" s="1048" t="s">
        <v>254</v>
      </c>
      <c r="E679" s="18"/>
      <c r="F679" s="18"/>
      <c r="G679" s="18"/>
      <c r="H679" s="18"/>
      <c r="I679" s="18"/>
      <c r="J679" s="18"/>
      <c r="K679" s="903"/>
      <c r="L679" s="877"/>
      <c r="M679" s="1023"/>
      <c r="Q679" s="55"/>
      <c r="R679" s="55"/>
      <c r="S679" s="55"/>
      <c r="T679" s="0"/>
      <c r="U679" s="0"/>
      <c r="V679" s="0"/>
      <c r="W679" s="0"/>
      <c r="X679" s="0"/>
      <c r="Y679" s="0"/>
      <c r="Z679" s="0"/>
      <c r="AA679" s="0"/>
      <c r="AB679" s="0"/>
      <c r="AC679" s="0"/>
      <c r="AD679" s="0"/>
      <c r="AE679" s="0"/>
      <c r="AF679" s="0"/>
      <c r="AG679" s="0"/>
      <c r="AH679" s="0"/>
      <c r="AI679" s="0"/>
      <c r="AJ679" s="0"/>
      <c r="AK679" s="0"/>
      <c r="AL679" s="0"/>
      <c r="AM679" s="0"/>
      <c r="AN679" s="0"/>
      <c r="AO679" s="0"/>
      <c r="AP679" s="0"/>
      <c r="AQ679" s="0"/>
      <c r="AR679" s="0"/>
      <c r="AS679" s="0"/>
      <c r="AT679" s="0"/>
      <c r="AU679" s="0"/>
      <c r="AV679" s="0"/>
      <c r="BR679" s="0"/>
      <c r="BS679" s="0"/>
      <c r="BT679" s="0"/>
      <c r="BU679" s="0"/>
      <c r="BV679" s="0"/>
      <c r="BW679" s="0"/>
      <c r="BX679" s="0"/>
      <c r="BY679" s="0"/>
      <c r="BZ679" s="0"/>
      <c r="CA679" s="0"/>
      <c r="CB679" s="0"/>
      <c r="CC679" s="0"/>
      <c r="CD679" s="0"/>
      <c r="CE679" s="0"/>
      <c r="CF679" s="0"/>
      <c r="CG679" s="0"/>
      <c r="CH679" s="0"/>
      <c r="CI679" s="0"/>
      <c r="CJ679" s="0"/>
      <c r="CK679" s="0"/>
      <c r="CL679" s="0"/>
      <c r="CM679" s="0"/>
      <c r="CN679" s="0"/>
      <c r="CO679" s="0"/>
      <c r="CP679" s="0"/>
      <c r="CQ679" s="0"/>
      <c r="CR679" s="0"/>
      <c r="CS679" s="0"/>
      <c r="CT679" s="0"/>
      <c r="CU679" s="0"/>
      <c r="CV679" s="0"/>
      <c r="CW679" s="0"/>
      <c r="CX679" s="0"/>
      <c r="CY679" s="0"/>
      <c r="CZ679" s="0"/>
      <c r="DA679" s="0"/>
      <c r="DB679" s="0"/>
      <c r="DC679" s="0"/>
      <c r="DD679" s="0"/>
      <c r="DE679" s="0"/>
      <c r="DF679" s="0"/>
      <c r="DG679" s="0"/>
      <c r="DH679" s="0"/>
      <c r="DI679" s="0"/>
      <c r="DJ679" s="0"/>
      <c r="DK679" s="0"/>
      <c r="DL679" s="0"/>
      <c r="DM679" s="0"/>
      <c r="DN679" s="0"/>
      <c r="DO679" s="0"/>
      <c r="DP679" s="0"/>
      <c r="DQ679" s="0"/>
      <c r="DR679" s="0"/>
      <c r="DS679" s="0"/>
      <c r="DT679" s="0"/>
      <c r="DU679" s="0"/>
      <c r="DV679" s="0"/>
      <c r="DW679" s="0"/>
      <c r="DX679" s="0"/>
      <c r="DY679" s="0"/>
      <c r="DZ679" s="0"/>
      <c r="EA679" s="0"/>
      <c r="EB679" s="0"/>
      <c r="EC679" s="0"/>
      <c r="ED679" s="0"/>
      <c r="EE679" s="0"/>
      <c r="EF679" s="0"/>
      <c r="EG679" s="0"/>
      <c r="EH679" s="0"/>
      <c r="EI679" s="0"/>
      <c r="EJ679" s="0"/>
      <c r="EK679" s="0"/>
      <c r="EL679" s="0"/>
      <c r="EM679" s="0"/>
      <c r="EN679" s="0"/>
      <c r="EO679" s="0"/>
      <c r="EP679" s="0"/>
      <c r="EQ679" s="0"/>
      <c r="ER679" s="0"/>
      <c r="ES679" s="0"/>
      <c r="ET679" s="0"/>
      <c r="EU679" s="0"/>
      <c r="EV679" s="0"/>
      <c r="EW679" s="0"/>
      <c r="EX679" s="0"/>
      <c r="EY679" s="0"/>
      <c r="EZ679" s="0"/>
      <c r="FA679" s="0"/>
      <c r="FB679" s="0"/>
      <c r="FC679" s="0"/>
      <c r="FD679" s="0"/>
      <c r="FE679" s="0"/>
      <c r="FF679" s="0"/>
      <c r="FG679" s="0"/>
      <c r="FH679" s="0"/>
      <c r="FI679" s="0"/>
      <c r="FJ679" s="0"/>
      <c r="FK679" s="0"/>
      <c r="FL679" s="0"/>
      <c r="FM679" s="0"/>
      <c r="FN679" s="0"/>
      <c r="FO679" s="0"/>
      <c r="FP679" s="0"/>
      <c r="FQ679" s="0"/>
      <c r="FR679" s="0"/>
      <c r="FS679" s="0"/>
      <c r="FT679" s="0"/>
      <c r="FU679" s="0"/>
      <c r="FV679" s="0"/>
      <c r="FW679" s="0"/>
      <c r="FX679" s="0"/>
      <c r="FY679" s="0"/>
      <c r="FZ679" s="0"/>
      <c r="GA679" s="0"/>
      <c r="GB679" s="0"/>
      <c r="GC679" s="0"/>
      <c r="GD679" s="0"/>
      <c r="GE679" s="0"/>
      <c r="GF679" s="0"/>
      <c r="GG679" s="0"/>
      <c r="GH679" s="0"/>
      <c r="GI679" s="0"/>
      <c r="GJ679" s="0"/>
      <c r="GK679" s="0"/>
      <c r="GL679" s="0"/>
      <c r="GM679" s="0"/>
      <c r="GN679" s="0"/>
      <c r="GO679" s="0"/>
      <c r="GP679" s="0"/>
      <c r="GQ679" s="0"/>
      <c r="GR679" s="0"/>
      <c r="GS679" s="0"/>
      <c r="GT679" s="0"/>
      <c r="GU679" s="0"/>
      <c r="GV679" s="0"/>
      <c r="GW679" s="0"/>
      <c r="GX679" s="0"/>
      <c r="GY679" s="0"/>
      <c r="GZ679" s="0"/>
      <c r="HA679" s="0"/>
      <c r="HB679" s="0"/>
      <c r="HC679" s="0"/>
      <c r="HD679" s="0"/>
      <c r="HE679" s="0"/>
      <c r="HF679" s="0"/>
      <c r="HG679" s="0"/>
      <c r="HH679" s="0"/>
      <c r="HI679" s="0"/>
      <c r="HJ679" s="0"/>
      <c r="HK679" s="0"/>
      <c r="HL679" s="0"/>
      <c r="HM679" s="0"/>
      <c r="HN679" s="0"/>
      <c r="HO679" s="0"/>
      <c r="HP679" s="0"/>
      <c r="HQ679" s="0"/>
      <c r="HR679" s="0"/>
      <c r="HS679" s="0"/>
      <c r="HT679" s="0"/>
      <c r="HU679" s="0"/>
      <c r="HV679" s="0"/>
      <c r="HW679" s="0"/>
      <c r="HX679" s="0"/>
      <c r="HY679" s="0"/>
      <c r="HZ679" s="0"/>
      <c r="IA679" s="0"/>
      <c r="IB679" s="0"/>
      <c r="IC679" s="0"/>
      <c r="ID679" s="0"/>
      <c r="IE679" s="0"/>
      <c r="IF679" s="0"/>
      <c r="IG679" s="0"/>
      <c r="IH679" s="0"/>
      <c r="II679" s="0"/>
      <c r="IJ679" s="0"/>
      <c r="IK679" s="0"/>
      <c r="IL679" s="0"/>
      <c r="IM679" s="0"/>
      <c r="IN679" s="0"/>
      <c r="IO679" s="0"/>
      <c r="IP679" s="0"/>
      <c r="IQ679" s="0"/>
      <c r="IR679" s="0"/>
      <c r="IS679" s="0"/>
      <c r="IT679" s="0"/>
      <c r="IU679" s="0"/>
      <c r="IV679" s="0"/>
    </row>
    <row r="680" customFormat="false" ht="20.1" hidden="false" customHeight="true" outlineLevel="0" collapsed="false">
      <c r="A680" s="1036"/>
      <c r="B680" s="18"/>
      <c r="C680" s="18"/>
      <c r="D680" s="18"/>
      <c r="E680" s="18"/>
      <c r="F680" s="18"/>
      <c r="G680" s="18"/>
      <c r="H680" s="18"/>
      <c r="I680" s="18"/>
      <c r="J680" s="18"/>
      <c r="K680" s="903"/>
      <c r="L680" s="877"/>
      <c r="M680" s="1023"/>
      <c r="Q680" s="55"/>
      <c r="R680" s="55"/>
      <c r="S680" s="55"/>
      <c r="T680" s="0"/>
      <c r="U680" s="0"/>
      <c r="V680" s="0"/>
      <c r="W680" s="0"/>
      <c r="X680" s="0"/>
      <c r="Y680" s="0"/>
      <c r="Z680" s="0"/>
      <c r="AA680" s="0"/>
      <c r="AB680" s="0"/>
      <c r="AC680" s="0"/>
      <c r="AD680" s="0"/>
      <c r="AE680" s="0"/>
      <c r="AF680" s="0"/>
      <c r="AG680" s="0"/>
      <c r="AH680" s="0"/>
      <c r="AI680" s="0"/>
      <c r="AJ680" s="0"/>
      <c r="AK680" s="0"/>
      <c r="AL680" s="0"/>
      <c r="AM680" s="0"/>
      <c r="AN680" s="0"/>
      <c r="AO680" s="0"/>
      <c r="AP680" s="0"/>
      <c r="AQ680" s="0"/>
      <c r="AR680" s="0"/>
      <c r="AS680" s="0"/>
      <c r="AT680" s="0"/>
      <c r="AU680" s="0"/>
      <c r="AV680" s="0"/>
      <c r="BR680" s="0"/>
      <c r="BS680" s="0"/>
      <c r="BT680" s="0"/>
      <c r="BU680" s="0"/>
      <c r="BV680" s="0"/>
      <c r="BW680" s="0"/>
      <c r="BX680" s="0"/>
      <c r="BY680" s="0"/>
      <c r="BZ680" s="0"/>
      <c r="CA680" s="0"/>
      <c r="CB680" s="0"/>
      <c r="CC680" s="0"/>
      <c r="CD680" s="0"/>
      <c r="CE680" s="0"/>
      <c r="CF680" s="0"/>
      <c r="CG680" s="0"/>
      <c r="CH680" s="0"/>
      <c r="CI680" s="0"/>
      <c r="CJ680" s="0"/>
      <c r="CK680" s="0"/>
      <c r="CL680" s="0"/>
      <c r="CM680" s="0"/>
      <c r="CN680" s="0"/>
      <c r="CO680" s="0"/>
      <c r="CP680" s="0"/>
      <c r="CQ680" s="0"/>
      <c r="CR680" s="0"/>
      <c r="CS680" s="0"/>
      <c r="CT680" s="0"/>
      <c r="CU680" s="0"/>
      <c r="CV680" s="0"/>
      <c r="CW680" s="0"/>
      <c r="CX680" s="0"/>
      <c r="CY680" s="0"/>
      <c r="CZ680" s="0"/>
      <c r="DA680" s="0"/>
      <c r="DB680" s="0"/>
      <c r="DC680" s="0"/>
      <c r="DD680" s="0"/>
      <c r="DE680" s="0"/>
      <c r="DF680" s="0"/>
      <c r="DG680" s="0"/>
      <c r="DH680" s="0"/>
      <c r="DI680" s="0"/>
      <c r="DJ680" s="0"/>
      <c r="DK680" s="0"/>
      <c r="DL680" s="0"/>
      <c r="DM680" s="0"/>
      <c r="DN680" s="0"/>
      <c r="DO680" s="0"/>
      <c r="DP680" s="0"/>
      <c r="DQ680" s="0"/>
      <c r="DR680" s="0"/>
      <c r="DS680" s="0"/>
      <c r="DT680" s="0"/>
      <c r="DU680" s="0"/>
      <c r="DV680" s="0"/>
      <c r="DW680" s="0"/>
      <c r="DX680" s="0"/>
      <c r="DY680" s="0"/>
      <c r="DZ680" s="0"/>
      <c r="EA680" s="0"/>
      <c r="EB680" s="0"/>
      <c r="EC680" s="0"/>
      <c r="ED680" s="0"/>
      <c r="EE680" s="0"/>
      <c r="EF680" s="0"/>
      <c r="EG680" s="0"/>
      <c r="EH680" s="0"/>
      <c r="EI680" s="0"/>
      <c r="EJ680" s="0"/>
      <c r="EK680" s="0"/>
      <c r="EL680" s="0"/>
      <c r="EM680" s="0"/>
      <c r="EN680" s="0"/>
      <c r="EO680" s="0"/>
      <c r="EP680" s="0"/>
      <c r="EQ680" s="0"/>
      <c r="ER680" s="0"/>
      <c r="ES680" s="0"/>
      <c r="ET680" s="0"/>
      <c r="EU680" s="0"/>
      <c r="EV680" s="0"/>
      <c r="EW680" s="0"/>
      <c r="EX680" s="0"/>
      <c r="EY680" s="0"/>
      <c r="EZ680" s="0"/>
      <c r="FA680" s="0"/>
      <c r="FB680" s="0"/>
      <c r="FC680" s="0"/>
      <c r="FD680" s="0"/>
      <c r="FE680" s="0"/>
      <c r="FF680" s="0"/>
      <c r="FG680" s="0"/>
      <c r="FH680" s="0"/>
      <c r="FI680" s="0"/>
      <c r="FJ680" s="0"/>
      <c r="FK680" s="0"/>
      <c r="FL680" s="0"/>
      <c r="FM680" s="0"/>
      <c r="FN680" s="0"/>
      <c r="FO680" s="0"/>
      <c r="FP680" s="0"/>
      <c r="FQ680" s="0"/>
      <c r="FR680" s="0"/>
      <c r="FS680" s="0"/>
      <c r="FT680" s="0"/>
      <c r="FU680" s="0"/>
      <c r="FV680" s="0"/>
      <c r="FW680" s="0"/>
      <c r="FX680" s="0"/>
      <c r="FY680" s="0"/>
      <c r="FZ680" s="0"/>
      <c r="GA680" s="0"/>
      <c r="GB680" s="0"/>
      <c r="GC680" s="0"/>
      <c r="GD680" s="0"/>
      <c r="GE680" s="0"/>
      <c r="GF680" s="0"/>
      <c r="GG680" s="0"/>
      <c r="GH680" s="0"/>
      <c r="GI680" s="0"/>
      <c r="GJ680" s="0"/>
      <c r="GK680" s="0"/>
      <c r="GL680" s="0"/>
      <c r="GM680" s="0"/>
      <c r="GN680" s="0"/>
      <c r="GO680" s="0"/>
      <c r="GP680" s="0"/>
      <c r="GQ680" s="0"/>
      <c r="GR680" s="0"/>
      <c r="GS680" s="0"/>
      <c r="GT680" s="0"/>
      <c r="GU680" s="0"/>
      <c r="GV680" s="0"/>
      <c r="GW680" s="0"/>
      <c r="GX680" s="0"/>
      <c r="GY680" s="0"/>
      <c r="GZ680" s="0"/>
      <c r="HA680" s="0"/>
      <c r="HB680" s="0"/>
      <c r="HC680" s="0"/>
      <c r="HD680" s="0"/>
      <c r="HE680" s="0"/>
      <c r="HF680" s="0"/>
      <c r="HG680" s="0"/>
      <c r="HH680" s="0"/>
      <c r="HI680" s="0"/>
      <c r="HJ680" s="0"/>
      <c r="HK680" s="0"/>
      <c r="HL680" s="0"/>
      <c r="HM680" s="0"/>
      <c r="HN680" s="0"/>
      <c r="HO680" s="0"/>
      <c r="HP680" s="0"/>
      <c r="HQ680" s="0"/>
      <c r="HR680" s="0"/>
      <c r="HS680" s="0"/>
      <c r="HT680" s="0"/>
      <c r="HU680" s="0"/>
      <c r="HV680" s="0"/>
      <c r="HW680" s="0"/>
      <c r="HX680" s="0"/>
      <c r="HY680" s="0"/>
      <c r="HZ680" s="0"/>
      <c r="IA680" s="0"/>
      <c r="IB680" s="0"/>
      <c r="IC680" s="0"/>
      <c r="ID680" s="0"/>
      <c r="IE680" s="0"/>
      <c r="IF680" s="0"/>
      <c r="IG680" s="0"/>
      <c r="IH680" s="0"/>
      <c r="II680" s="0"/>
      <c r="IJ680" s="0"/>
      <c r="IK680" s="0"/>
      <c r="IL680" s="0"/>
      <c r="IM680" s="0"/>
      <c r="IN680" s="0"/>
      <c r="IO680" s="0"/>
      <c r="IP680" s="0"/>
      <c r="IQ680" s="0"/>
      <c r="IR680" s="0"/>
      <c r="IS680" s="0"/>
      <c r="IT680" s="0"/>
      <c r="IU680" s="0"/>
      <c r="IV680" s="0"/>
    </row>
    <row r="681" customFormat="false" ht="20.1" hidden="false" customHeight="true" outlineLevel="0" collapsed="false">
      <c r="A681" s="1140" t="s">
        <v>523</v>
      </c>
      <c r="B681" s="1140"/>
      <c r="C681" s="1140"/>
      <c r="D681" s="1048" t="s">
        <v>254</v>
      </c>
      <c r="E681" s="1128"/>
      <c r="F681" s="18"/>
      <c r="G681" s="14"/>
      <c r="H681" s="1130"/>
      <c r="I681" s="14"/>
      <c r="J681" s="973"/>
      <c r="K681" s="903"/>
      <c r="L681" s="877"/>
      <c r="M681" s="1023"/>
      <c r="Q681" s="55"/>
      <c r="R681" s="55"/>
      <c r="S681" s="55"/>
      <c r="T681" s="0"/>
      <c r="U681" s="0"/>
      <c r="V681" s="0"/>
      <c r="W681" s="0"/>
      <c r="X681" s="0"/>
      <c r="Y681" s="0"/>
      <c r="Z681" s="0"/>
      <c r="AA681" s="0"/>
      <c r="AB681" s="0"/>
      <c r="AC681" s="0"/>
      <c r="AD681" s="0"/>
      <c r="AE681" s="0"/>
      <c r="AF681" s="0"/>
      <c r="AG681" s="0"/>
      <c r="AH681" s="0"/>
      <c r="AI681" s="0"/>
      <c r="AJ681" s="0"/>
      <c r="AK681" s="0"/>
      <c r="AL681" s="0"/>
      <c r="AM681" s="0"/>
      <c r="AN681" s="0"/>
      <c r="AO681" s="0"/>
      <c r="AP681" s="0"/>
      <c r="AQ681" s="0"/>
      <c r="AR681" s="0"/>
      <c r="AS681" s="0"/>
      <c r="AT681" s="0"/>
      <c r="AU681" s="0"/>
      <c r="AV681" s="0"/>
      <c r="BR681" s="0"/>
      <c r="BS681" s="0"/>
      <c r="BT681" s="0"/>
      <c r="BU681" s="0"/>
      <c r="BV681" s="0"/>
      <c r="BW681" s="0"/>
      <c r="BX681" s="0"/>
      <c r="BY681" s="0"/>
      <c r="BZ681" s="0"/>
      <c r="CA681" s="0"/>
      <c r="CB681" s="0"/>
      <c r="CC681" s="0"/>
      <c r="CD681" s="0"/>
      <c r="CE681" s="0"/>
      <c r="CF681" s="0"/>
      <c r="CG681" s="0"/>
      <c r="CH681" s="0"/>
      <c r="CI681" s="0"/>
      <c r="CJ681" s="0"/>
      <c r="CK681" s="0"/>
      <c r="CL681" s="0"/>
      <c r="CM681" s="0"/>
      <c r="CN681" s="0"/>
      <c r="CO681" s="0"/>
      <c r="CP681" s="0"/>
      <c r="CQ681" s="0"/>
      <c r="CR681" s="0"/>
      <c r="CS681" s="0"/>
      <c r="CT681" s="0"/>
      <c r="CU681" s="0"/>
      <c r="CV681" s="0"/>
      <c r="CW681" s="0"/>
      <c r="CX681" s="0"/>
      <c r="CY681" s="0"/>
      <c r="CZ681" s="0"/>
      <c r="DA681" s="0"/>
      <c r="DB681" s="0"/>
      <c r="DC681" s="0"/>
      <c r="DD681" s="0"/>
      <c r="DE681" s="0"/>
      <c r="DF681" s="0"/>
      <c r="DG681" s="0"/>
      <c r="DH681" s="0"/>
      <c r="DI681" s="0"/>
      <c r="DJ681" s="0"/>
      <c r="DK681" s="0"/>
      <c r="DL681" s="0"/>
      <c r="DM681" s="0"/>
      <c r="DN681" s="0"/>
      <c r="DO681" s="0"/>
      <c r="DP681" s="0"/>
      <c r="DQ681" s="0"/>
      <c r="DR681" s="0"/>
      <c r="DS681" s="0"/>
      <c r="DT681" s="0"/>
      <c r="DU681" s="0"/>
      <c r="DV681" s="0"/>
      <c r="DW681" s="0"/>
      <c r="DX681" s="0"/>
      <c r="DY681" s="0"/>
      <c r="DZ681" s="0"/>
      <c r="EA681" s="0"/>
      <c r="EB681" s="0"/>
      <c r="EC681" s="0"/>
      <c r="ED681" s="0"/>
      <c r="EE681" s="0"/>
      <c r="EF681" s="0"/>
      <c r="EG681" s="0"/>
      <c r="EH681" s="0"/>
      <c r="EI681" s="0"/>
      <c r="EJ681" s="0"/>
      <c r="EK681" s="0"/>
      <c r="EL681" s="0"/>
      <c r="EM681" s="0"/>
      <c r="EN681" s="0"/>
      <c r="EO681" s="0"/>
      <c r="EP681" s="0"/>
      <c r="EQ681" s="0"/>
      <c r="ER681" s="0"/>
      <c r="ES681" s="0"/>
      <c r="ET681" s="0"/>
      <c r="EU681" s="0"/>
      <c r="EV681" s="0"/>
      <c r="EW681" s="0"/>
      <c r="EX681" s="0"/>
      <c r="EY681" s="0"/>
      <c r="EZ681" s="0"/>
      <c r="FA681" s="0"/>
      <c r="FB681" s="0"/>
      <c r="FC681" s="0"/>
      <c r="FD681" s="0"/>
      <c r="FE681" s="0"/>
      <c r="FF681" s="0"/>
      <c r="FG681" s="0"/>
      <c r="FH681" s="0"/>
      <c r="FI681" s="0"/>
      <c r="FJ681" s="0"/>
      <c r="FK681" s="0"/>
      <c r="FL681" s="0"/>
      <c r="FM681" s="0"/>
      <c r="FN681" s="0"/>
      <c r="FO681" s="0"/>
      <c r="FP681" s="0"/>
      <c r="FQ681" s="0"/>
      <c r="FR681" s="0"/>
      <c r="FS681" s="0"/>
      <c r="FT681" s="0"/>
      <c r="FU681" s="0"/>
      <c r="FV681" s="0"/>
      <c r="FW681" s="0"/>
      <c r="FX681" s="0"/>
      <c r="FY681" s="0"/>
      <c r="FZ681" s="0"/>
      <c r="GA681" s="0"/>
      <c r="GB681" s="0"/>
      <c r="GC681" s="0"/>
      <c r="GD681" s="0"/>
      <c r="GE681" s="0"/>
      <c r="GF681" s="0"/>
      <c r="GG681" s="0"/>
      <c r="GH681" s="0"/>
      <c r="GI681" s="0"/>
      <c r="GJ681" s="0"/>
      <c r="GK681" s="0"/>
      <c r="GL681" s="0"/>
      <c r="GM681" s="0"/>
      <c r="GN681" s="0"/>
      <c r="GO681" s="0"/>
      <c r="GP681" s="0"/>
      <c r="GQ681" s="0"/>
      <c r="GR681" s="0"/>
      <c r="GS681" s="0"/>
      <c r="GT681" s="0"/>
      <c r="GU681" s="0"/>
      <c r="GV681" s="0"/>
      <c r="GW681" s="0"/>
      <c r="GX681" s="0"/>
      <c r="GY681" s="0"/>
      <c r="GZ681" s="0"/>
      <c r="HA681" s="0"/>
      <c r="HB681" s="0"/>
      <c r="HC681" s="0"/>
      <c r="HD681" s="0"/>
      <c r="HE681" s="0"/>
      <c r="HF681" s="0"/>
      <c r="HG681" s="0"/>
      <c r="HH681" s="0"/>
      <c r="HI681" s="0"/>
      <c r="HJ681" s="0"/>
      <c r="HK681" s="0"/>
      <c r="HL681" s="0"/>
      <c r="HM681" s="0"/>
      <c r="HN681" s="0"/>
      <c r="HO681" s="0"/>
      <c r="HP681" s="0"/>
      <c r="HQ681" s="0"/>
      <c r="HR681" s="0"/>
      <c r="HS681" s="0"/>
      <c r="HT681" s="0"/>
      <c r="HU681" s="0"/>
      <c r="HV681" s="0"/>
      <c r="HW681" s="0"/>
      <c r="HX681" s="0"/>
      <c r="HY681" s="0"/>
      <c r="HZ681" s="0"/>
      <c r="IA681" s="0"/>
      <c r="IB681" s="0"/>
      <c r="IC681" s="0"/>
      <c r="ID681" s="0"/>
      <c r="IE681" s="0"/>
      <c r="IF681" s="0"/>
      <c r="IG681" s="0"/>
      <c r="IH681" s="0"/>
      <c r="II681" s="0"/>
      <c r="IJ681" s="0"/>
      <c r="IK681" s="0"/>
      <c r="IL681" s="0"/>
      <c r="IM681" s="0"/>
      <c r="IN681" s="0"/>
      <c r="IO681" s="0"/>
      <c r="IP681" s="0"/>
      <c r="IQ681" s="0"/>
      <c r="IR681" s="0"/>
      <c r="IS681" s="0"/>
      <c r="IT681" s="0"/>
      <c r="IU681" s="0"/>
      <c r="IV681" s="0"/>
    </row>
    <row r="682" customFormat="false" ht="20.1" hidden="false" customHeight="true" outlineLevel="0" collapsed="false">
      <c r="A682" s="14"/>
      <c r="B682" s="1126"/>
      <c r="C682" s="1126"/>
      <c r="D682" s="1128"/>
      <c r="E682" s="1128"/>
      <c r="F682" s="19"/>
      <c r="G682" s="1024"/>
      <c r="H682" s="1141"/>
      <c r="I682" s="18"/>
      <c r="J682" s="973"/>
      <c r="K682" s="876"/>
      <c r="L682" s="877"/>
      <c r="M682" s="1023"/>
      <c r="Q682" s="55"/>
      <c r="R682" s="55"/>
      <c r="S682" s="55"/>
      <c r="T682" s="0"/>
      <c r="U682" s="0"/>
      <c r="V682" s="0"/>
      <c r="W682" s="0"/>
      <c r="X682" s="0"/>
      <c r="Y682" s="0"/>
      <c r="Z682" s="0"/>
      <c r="AA682" s="0"/>
      <c r="AB682" s="0"/>
      <c r="AC682" s="0"/>
      <c r="AD682" s="0"/>
      <c r="AE682" s="0"/>
      <c r="AF682" s="0"/>
      <c r="AG682" s="0"/>
      <c r="AH682" s="0"/>
      <c r="AI682" s="0"/>
      <c r="AJ682" s="0"/>
      <c r="AK682" s="0"/>
      <c r="AL682" s="0"/>
      <c r="AM682" s="0"/>
      <c r="AN682" s="0"/>
      <c r="AO682" s="0"/>
      <c r="AP682" s="0"/>
      <c r="AQ682" s="0"/>
      <c r="AR682" s="0"/>
      <c r="AS682" s="0"/>
      <c r="AT682" s="0"/>
      <c r="AU682" s="0"/>
      <c r="AV682" s="0"/>
      <c r="BR682" s="0"/>
      <c r="BS682" s="0"/>
      <c r="BT682" s="0"/>
      <c r="BU682" s="0"/>
      <c r="BV682" s="0"/>
      <c r="BW682" s="0"/>
      <c r="BX682" s="0"/>
      <c r="BY682" s="0"/>
      <c r="BZ682" s="0"/>
      <c r="CA682" s="0"/>
      <c r="CB682" s="0"/>
      <c r="CC682" s="0"/>
      <c r="CD682" s="0"/>
      <c r="CE682" s="0"/>
      <c r="CF682" s="0"/>
      <c r="CG682" s="0"/>
      <c r="CH682" s="0"/>
      <c r="CI682" s="0"/>
      <c r="CJ682" s="0"/>
      <c r="CK682" s="0"/>
      <c r="CL682" s="0"/>
      <c r="CM682" s="0"/>
      <c r="CN682" s="0"/>
      <c r="CO682" s="0"/>
      <c r="CP682" s="0"/>
      <c r="CQ682" s="0"/>
      <c r="CR682" s="0"/>
      <c r="CS682" s="0"/>
      <c r="CT682" s="0"/>
      <c r="CU682" s="0"/>
      <c r="CV682" s="0"/>
      <c r="CW682" s="0"/>
      <c r="CX682" s="0"/>
      <c r="CY682" s="0"/>
      <c r="CZ682" s="0"/>
      <c r="DA682" s="0"/>
      <c r="DB682" s="0"/>
      <c r="DC682" s="0"/>
      <c r="DD682" s="0"/>
      <c r="DE682" s="0"/>
      <c r="DF682" s="0"/>
      <c r="DG682" s="0"/>
      <c r="DH682" s="0"/>
      <c r="DI682" s="0"/>
      <c r="DJ682" s="0"/>
      <c r="DK682" s="0"/>
      <c r="DL682" s="0"/>
      <c r="DM682" s="0"/>
      <c r="DN682" s="0"/>
      <c r="DO682" s="0"/>
      <c r="DP682" s="0"/>
      <c r="DQ682" s="0"/>
      <c r="DR682" s="0"/>
      <c r="DS682" s="0"/>
      <c r="DT682" s="0"/>
      <c r="DU682" s="0"/>
      <c r="DV682" s="0"/>
      <c r="DW682" s="0"/>
      <c r="DX682" s="0"/>
      <c r="DY682" s="0"/>
      <c r="DZ682" s="0"/>
      <c r="EA682" s="0"/>
      <c r="EB682" s="0"/>
      <c r="EC682" s="0"/>
      <c r="ED682" s="0"/>
      <c r="EE682" s="0"/>
      <c r="EF682" s="0"/>
      <c r="EG682" s="0"/>
      <c r="EH682" s="0"/>
      <c r="EI682" s="0"/>
      <c r="EJ682" s="0"/>
      <c r="EK682" s="0"/>
      <c r="EL682" s="0"/>
      <c r="EM682" s="0"/>
      <c r="EN682" s="0"/>
      <c r="EO682" s="0"/>
      <c r="EP682" s="0"/>
      <c r="EQ682" s="0"/>
      <c r="ER682" s="0"/>
      <c r="ES682" s="0"/>
      <c r="ET682" s="0"/>
      <c r="EU682" s="0"/>
      <c r="EV682" s="0"/>
      <c r="EW682" s="0"/>
      <c r="EX682" s="0"/>
      <c r="EY682" s="0"/>
      <c r="EZ682" s="0"/>
      <c r="FA682" s="0"/>
      <c r="FB682" s="0"/>
      <c r="FC682" s="0"/>
      <c r="FD682" s="0"/>
      <c r="FE682" s="0"/>
      <c r="FF682" s="0"/>
      <c r="FG682" s="0"/>
      <c r="FH682" s="0"/>
      <c r="FI682" s="0"/>
      <c r="FJ682" s="0"/>
      <c r="FK682" s="0"/>
      <c r="FL682" s="0"/>
      <c r="FM682" s="0"/>
      <c r="FN682" s="0"/>
      <c r="FO682" s="0"/>
      <c r="FP682" s="0"/>
      <c r="FQ682" s="0"/>
      <c r="FR682" s="0"/>
      <c r="FS682" s="0"/>
      <c r="FT682" s="0"/>
      <c r="FU682" s="0"/>
      <c r="FV682" s="0"/>
      <c r="FW682" s="0"/>
      <c r="FX682" s="0"/>
      <c r="FY682" s="0"/>
      <c r="FZ682" s="0"/>
      <c r="GA682" s="0"/>
      <c r="GB682" s="0"/>
      <c r="GC682" s="0"/>
      <c r="GD682" s="0"/>
      <c r="GE682" s="0"/>
      <c r="GF682" s="0"/>
      <c r="GG682" s="0"/>
      <c r="GH682" s="0"/>
      <c r="GI682" s="0"/>
      <c r="GJ682" s="0"/>
      <c r="GK682" s="0"/>
      <c r="GL682" s="0"/>
      <c r="GM682" s="0"/>
      <c r="GN682" s="0"/>
      <c r="GO682" s="0"/>
      <c r="GP682" s="0"/>
      <c r="GQ682" s="0"/>
      <c r="GR682" s="0"/>
      <c r="GS682" s="0"/>
      <c r="GT682" s="0"/>
      <c r="GU682" s="0"/>
      <c r="GV682" s="0"/>
      <c r="GW682" s="0"/>
      <c r="GX682" s="0"/>
      <c r="GY682" s="0"/>
      <c r="GZ682" s="0"/>
      <c r="HA682" s="0"/>
      <c r="HB682" s="0"/>
      <c r="HC682" s="0"/>
      <c r="HD682" s="0"/>
      <c r="HE682" s="0"/>
      <c r="HF682" s="0"/>
      <c r="HG682" s="0"/>
      <c r="HH682" s="0"/>
      <c r="HI682" s="0"/>
      <c r="HJ682" s="0"/>
      <c r="HK682" s="0"/>
      <c r="HL682" s="0"/>
      <c r="HM682" s="0"/>
      <c r="HN682" s="0"/>
      <c r="HO682" s="0"/>
      <c r="HP682" s="0"/>
      <c r="HQ682" s="0"/>
      <c r="HR682" s="0"/>
      <c r="HS682" s="0"/>
      <c r="HT682" s="0"/>
      <c r="HU682" s="0"/>
      <c r="HV682" s="0"/>
      <c r="HW682" s="0"/>
      <c r="HX682" s="0"/>
      <c r="HY682" s="0"/>
      <c r="HZ682" s="0"/>
      <c r="IA682" s="0"/>
      <c r="IB682" s="0"/>
      <c r="IC682" s="0"/>
      <c r="ID682" s="0"/>
      <c r="IE682" s="0"/>
      <c r="IF682" s="0"/>
      <c r="IG682" s="0"/>
      <c r="IH682" s="0"/>
      <c r="II682" s="0"/>
      <c r="IJ682" s="0"/>
      <c r="IK682" s="0"/>
      <c r="IL682" s="0"/>
      <c r="IM682" s="0"/>
      <c r="IN682" s="0"/>
      <c r="IO682" s="0"/>
      <c r="IP682" s="0"/>
      <c r="IQ682" s="0"/>
      <c r="IR682" s="0"/>
      <c r="IS682" s="0"/>
      <c r="IT682" s="0"/>
      <c r="IU682" s="0"/>
      <c r="IV682" s="0"/>
    </row>
    <row r="683" customFormat="false" ht="20.1" hidden="false" customHeight="true" outlineLevel="0" collapsed="false">
      <c r="A683" s="649" t="s">
        <v>525</v>
      </c>
      <c r="B683" s="1126"/>
      <c r="C683" s="1126"/>
      <c r="D683" s="1128"/>
      <c r="E683" s="1127" t="s">
        <v>94</v>
      </c>
      <c r="F683" s="1024"/>
      <c r="G683" s="14"/>
      <c r="H683" s="1129" t="s">
        <v>1460</v>
      </c>
      <c r="I683" s="951"/>
      <c r="J683" s="970"/>
      <c r="K683" s="903"/>
      <c r="L683" s="877"/>
      <c r="M683" s="1023"/>
      <c r="Q683" s="55"/>
      <c r="R683" s="55"/>
      <c r="S683" s="55"/>
      <c r="T683" s="0"/>
      <c r="U683" s="0"/>
      <c r="V683" s="0"/>
      <c r="W683" s="0"/>
      <c r="X683" s="0"/>
      <c r="Y683" s="0"/>
      <c r="Z683" s="0"/>
      <c r="AA683" s="0"/>
      <c r="AB683" s="0"/>
      <c r="AC683" s="0"/>
      <c r="AD683" s="0"/>
      <c r="AE683" s="0"/>
      <c r="AF683" s="0"/>
      <c r="AG683" s="0"/>
      <c r="AH683" s="0"/>
      <c r="AI683" s="0"/>
      <c r="AJ683" s="0"/>
      <c r="AK683" s="0"/>
      <c r="AL683" s="0"/>
      <c r="AM683" s="0"/>
      <c r="AN683" s="0"/>
      <c r="AO683" s="0"/>
      <c r="AP683" s="0"/>
      <c r="AQ683" s="0"/>
      <c r="AR683" s="0"/>
      <c r="AS683" s="0"/>
      <c r="AT683" s="0"/>
      <c r="AU683" s="0"/>
      <c r="AV683" s="0"/>
      <c r="BR683" s="0"/>
      <c r="BS683" s="0"/>
      <c r="BT683" s="0"/>
      <c r="BU683" s="0"/>
      <c r="BV683" s="0"/>
      <c r="BW683" s="0"/>
      <c r="BX683" s="0"/>
      <c r="BY683" s="0"/>
      <c r="BZ683" s="0"/>
      <c r="CA683" s="0"/>
      <c r="CB683" s="0"/>
      <c r="CC683" s="0"/>
      <c r="CD683" s="0"/>
      <c r="CE683" s="0"/>
      <c r="CF683" s="0"/>
      <c r="CG683" s="0"/>
      <c r="CH683" s="0"/>
      <c r="CI683" s="0"/>
      <c r="CJ683" s="0"/>
      <c r="CK683" s="0"/>
      <c r="CL683" s="0"/>
      <c r="CM683" s="0"/>
      <c r="CN683" s="0"/>
      <c r="CO683" s="0"/>
      <c r="CP683" s="0"/>
      <c r="CQ683" s="0"/>
      <c r="CR683" s="0"/>
      <c r="CS683" s="0"/>
      <c r="CT683" s="0"/>
      <c r="CU683" s="0"/>
      <c r="CV683" s="0"/>
      <c r="CW683" s="0"/>
      <c r="CX683" s="0"/>
      <c r="CY683" s="0"/>
      <c r="CZ683" s="0"/>
      <c r="DA683" s="0"/>
      <c r="DB683" s="0"/>
      <c r="DC683" s="0"/>
      <c r="DD683" s="0"/>
      <c r="DE683" s="0"/>
      <c r="DF683" s="0"/>
      <c r="DG683" s="0"/>
      <c r="DH683" s="0"/>
      <c r="DI683" s="0"/>
      <c r="DJ683" s="0"/>
      <c r="DK683" s="0"/>
      <c r="DL683" s="0"/>
      <c r="DM683" s="0"/>
      <c r="DN683" s="0"/>
      <c r="DO683" s="0"/>
      <c r="DP683" s="0"/>
      <c r="DQ683" s="0"/>
      <c r="DR683" s="0"/>
      <c r="DS683" s="0"/>
      <c r="DT683" s="0"/>
      <c r="DU683" s="0"/>
      <c r="DV683" s="0"/>
      <c r="DW683" s="0"/>
      <c r="DX683" s="0"/>
      <c r="DY683" s="0"/>
      <c r="DZ683" s="0"/>
      <c r="EA683" s="0"/>
      <c r="EB683" s="0"/>
      <c r="EC683" s="0"/>
      <c r="ED683" s="0"/>
      <c r="EE683" s="0"/>
      <c r="EF683" s="0"/>
      <c r="EG683" s="0"/>
      <c r="EH683" s="0"/>
      <c r="EI683" s="0"/>
      <c r="EJ683" s="0"/>
      <c r="EK683" s="0"/>
      <c r="EL683" s="0"/>
      <c r="EM683" s="0"/>
      <c r="EN683" s="0"/>
      <c r="EO683" s="0"/>
      <c r="EP683" s="0"/>
      <c r="EQ683" s="0"/>
      <c r="ER683" s="0"/>
      <c r="ES683" s="0"/>
      <c r="ET683" s="0"/>
      <c r="EU683" s="0"/>
      <c r="EV683" s="0"/>
      <c r="EW683" s="0"/>
      <c r="EX683" s="0"/>
      <c r="EY683" s="0"/>
      <c r="EZ683" s="0"/>
      <c r="FA683" s="0"/>
      <c r="FB683" s="0"/>
      <c r="FC683" s="0"/>
      <c r="FD683" s="0"/>
      <c r="FE683" s="0"/>
      <c r="FF683" s="0"/>
      <c r="FG683" s="0"/>
      <c r="FH683" s="0"/>
      <c r="FI683" s="0"/>
      <c r="FJ683" s="0"/>
      <c r="FK683" s="0"/>
      <c r="FL683" s="0"/>
      <c r="FM683" s="0"/>
      <c r="FN683" s="0"/>
      <c r="FO683" s="0"/>
      <c r="FP683" s="0"/>
      <c r="FQ683" s="0"/>
      <c r="FR683" s="0"/>
      <c r="FS683" s="0"/>
      <c r="FT683" s="0"/>
      <c r="FU683" s="0"/>
      <c r="FV683" s="0"/>
      <c r="FW683" s="0"/>
      <c r="FX683" s="0"/>
      <c r="FY683" s="0"/>
      <c r="FZ683" s="0"/>
      <c r="GA683" s="0"/>
      <c r="GB683" s="0"/>
      <c r="GC683" s="0"/>
      <c r="GD683" s="0"/>
      <c r="GE683" s="0"/>
      <c r="GF683" s="0"/>
      <c r="GG683" s="0"/>
      <c r="GH683" s="0"/>
      <c r="GI683" s="0"/>
      <c r="GJ683" s="0"/>
      <c r="GK683" s="0"/>
      <c r="GL683" s="0"/>
      <c r="GM683" s="0"/>
      <c r="GN683" s="0"/>
      <c r="GO683" s="0"/>
      <c r="GP683" s="0"/>
      <c r="GQ683" s="0"/>
      <c r="GR683" s="0"/>
      <c r="GS683" s="0"/>
      <c r="GT683" s="0"/>
      <c r="GU683" s="0"/>
      <c r="GV683" s="0"/>
      <c r="GW683" s="0"/>
      <c r="GX683" s="0"/>
      <c r="GY683" s="0"/>
      <c r="GZ683" s="0"/>
      <c r="HA683" s="0"/>
      <c r="HB683" s="0"/>
      <c r="HC683" s="0"/>
      <c r="HD683" s="0"/>
      <c r="HE683" s="0"/>
      <c r="HF683" s="0"/>
      <c r="HG683" s="0"/>
      <c r="HH683" s="0"/>
      <c r="HI683" s="0"/>
      <c r="HJ683" s="0"/>
      <c r="HK683" s="0"/>
      <c r="HL683" s="0"/>
      <c r="HM683" s="0"/>
      <c r="HN683" s="0"/>
      <c r="HO683" s="0"/>
      <c r="HP683" s="0"/>
      <c r="HQ683" s="0"/>
      <c r="HR683" s="0"/>
      <c r="HS683" s="0"/>
      <c r="HT683" s="0"/>
      <c r="HU683" s="0"/>
      <c r="HV683" s="0"/>
      <c r="HW683" s="0"/>
      <c r="HX683" s="0"/>
      <c r="HY683" s="0"/>
      <c r="HZ683" s="0"/>
      <c r="IA683" s="0"/>
      <c r="IB683" s="0"/>
      <c r="IC683" s="0"/>
      <c r="ID683" s="0"/>
      <c r="IE683" s="0"/>
      <c r="IF683" s="0"/>
      <c r="IG683" s="0"/>
      <c r="IH683" s="0"/>
      <c r="II683" s="0"/>
      <c r="IJ683" s="0"/>
      <c r="IK683" s="0"/>
      <c r="IL683" s="0"/>
      <c r="IM683" s="0"/>
      <c r="IN683" s="0"/>
      <c r="IO683" s="0"/>
      <c r="IP683" s="0"/>
      <c r="IQ683" s="0"/>
      <c r="IR683" s="0"/>
      <c r="IS683" s="0"/>
      <c r="IT683" s="0"/>
      <c r="IU683" s="0"/>
      <c r="IV683" s="0"/>
    </row>
    <row r="684" customFormat="false" ht="20.1" hidden="false" customHeight="true" outlineLevel="0" collapsed="false">
      <c r="A684" s="1015" t="s">
        <v>1462</v>
      </c>
      <c r="B684" s="1015"/>
      <c r="C684" s="1015"/>
      <c r="D684" s="451" t="s">
        <v>1463</v>
      </c>
      <c r="E684" s="1132" t="n">
        <v>39</v>
      </c>
      <c r="F684" s="1024"/>
      <c r="G684" s="14"/>
      <c r="H684" s="1133" t="n">
        <f aca="false">E684/B24</f>
        <v>0.506493506493506</v>
      </c>
      <c r="I684" s="951"/>
      <c r="J684" s="970"/>
      <c r="K684" s="903"/>
      <c r="L684" s="877"/>
      <c r="M684" s="1023"/>
      <c r="Q684" s="55"/>
      <c r="R684" s="55"/>
      <c r="S684" s="55"/>
      <c r="T684" s="0"/>
      <c r="U684" s="0"/>
      <c r="V684" s="0"/>
      <c r="W684" s="0"/>
      <c r="X684" s="0"/>
      <c r="Y684" s="0"/>
      <c r="Z684" s="0"/>
      <c r="AA684" s="0"/>
      <c r="AB684" s="0"/>
      <c r="AC684" s="0"/>
      <c r="AD684" s="0"/>
      <c r="AE684" s="0"/>
      <c r="AF684" s="0"/>
      <c r="AG684" s="0"/>
      <c r="AH684" s="0"/>
      <c r="AI684" s="0"/>
      <c r="AJ684" s="0"/>
      <c r="AK684" s="0"/>
      <c r="AL684" s="0"/>
      <c r="AM684" s="0"/>
      <c r="AN684" s="0"/>
      <c r="AO684" s="0"/>
      <c r="AP684" s="0"/>
      <c r="AQ684" s="0"/>
      <c r="AR684" s="0"/>
      <c r="AS684" s="0"/>
      <c r="AT684" s="0"/>
      <c r="AU684" s="0"/>
      <c r="AV684" s="0"/>
      <c r="BR684" s="0"/>
      <c r="BS684" s="0"/>
      <c r="BT684" s="0"/>
      <c r="BU684" s="0"/>
      <c r="BV684" s="0"/>
      <c r="BW684" s="0"/>
      <c r="BX684" s="0"/>
      <c r="BY684" s="0"/>
      <c r="BZ684" s="0"/>
      <c r="CA684" s="0"/>
      <c r="CB684" s="0"/>
      <c r="CC684" s="0"/>
      <c r="CD684" s="0"/>
      <c r="CE684" s="0"/>
      <c r="CF684" s="0"/>
      <c r="CG684" s="0"/>
      <c r="CH684" s="0"/>
      <c r="CI684" s="0"/>
      <c r="CJ684" s="0"/>
      <c r="CK684" s="0"/>
      <c r="CL684" s="0"/>
      <c r="CM684" s="0"/>
      <c r="CN684" s="0"/>
      <c r="CO684" s="0"/>
      <c r="CP684" s="0"/>
      <c r="CQ684" s="0"/>
      <c r="CR684" s="0"/>
      <c r="CS684" s="0"/>
      <c r="CT684" s="0"/>
      <c r="CU684" s="0"/>
      <c r="CV684" s="0"/>
      <c r="CW684" s="0"/>
      <c r="CX684" s="0"/>
      <c r="CY684" s="0"/>
      <c r="CZ684" s="0"/>
      <c r="DA684" s="0"/>
      <c r="DB684" s="0"/>
      <c r="DC684" s="0"/>
      <c r="DD684" s="0"/>
      <c r="DE684" s="0"/>
      <c r="DF684" s="0"/>
      <c r="DG684" s="0"/>
      <c r="DH684" s="0"/>
      <c r="DI684" s="0"/>
      <c r="DJ684" s="0"/>
      <c r="DK684" s="0"/>
      <c r="DL684" s="0"/>
      <c r="DM684" s="0"/>
      <c r="DN684" s="0"/>
      <c r="DO684" s="0"/>
      <c r="DP684" s="0"/>
      <c r="DQ684" s="0"/>
      <c r="DR684" s="0"/>
      <c r="DS684" s="0"/>
      <c r="DT684" s="0"/>
      <c r="DU684" s="0"/>
      <c r="DV684" s="0"/>
      <c r="DW684" s="0"/>
      <c r="DX684" s="0"/>
      <c r="DY684" s="0"/>
      <c r="DZ684" s="0"/>
      <c r="EA684" s="0"/>
      <c r="EB684" s="0"/>
      <c r="EC684" s="0"/>
      <c r="ED684" s="0"/>
      <c r="EE684" s="0"/>
      <c r="EF684" s="0"/>
      <c r="EG684" s="0"/>
      <c r="EH684" s="0"/>
      <c r="EI684" s="0"/>
      <c r="EJ684" s="0"/>
      <c r="EK684" s="0"/>
      <c r="EL684" s="0"/>
      <c r="EM684" s="0"/>
      <c r="EN684" s="0"/>
      <c r="EO684" s="0"/>
      <c r="EP684" s="0"/>
      <c r="EQ684" s="0"/>
      <c r="ER684" s="0"/>
      <c r="ES684" s="0"/>
      <c r="ET684" s="0"/>
      <c r="EU684" s="0"/>
      <c r="EV684" s="0"/>
      <c r="EW684" s="0"/>
      <c r="EX684" s="0"/>
      <c r="EY684" s="0"/>
      <c r="EZ684" s="0"/>
      <c r="FA684" s="0"/>
      <c r="FB684" s="0"/>
      <c r="FC684" s="0"/>
      <c r="FD684" s="0"/>
      <c r="FE684" s="0"/>
      <c r="FF684" s="0"/>
      <c r="FG684" s="0"/>
      <c r="FH684" s="0"/>
      <c r="FI684" s="0"/>
      <c r="FJ684" s="0"/>
      <c r="FK684" s="0"/>
      <c r="FL684" s="0"/>
      <c r="FM684" s="0"/>
      <c r="FN684" s="0"/>
      <c r="FO684" s="0"/>
      <c r="FP684" s="0"/>
      <c r="FQ684" s="0"/>
      <c r="FR684" s="0"/>
      <c r="FS684" s="0"/>
      <c r="FT684" s="0"/>
      <c r="FU684" s="0"/>
      <c r="FV684" s="0"/>
      <c r="FW684" s="0"/>
      <c r="FX684" s="0"/>
      <c r="FY684" s="0"/>
      <c r="FZ684" s="0"/>
      <c r="GA684" s="0"/>
      <c r="GB684" s="0"/>
      <c r="GC684" s="0"/>
      <c r="GD684" s="0"/>
      <c r="GE684" s="0"/>
      <c r="GF684" s="0"/>
      <c r="GG684" s="0"/>
      <c r="GH684" s="0"/>
      <c r="GI684" s="0"/>
      <c r="GJ684" s="0"/>
      <c r="GK684" s="0"/>
      <c r="GL684" s="0"/>
      <c r="GM684" s="0"/>
      <c r="GN684" s="0"/>
      <c r="GO684" s="0"/>
      <c r="GP684" s="0"/>
      <c r="GQ684" s="0"/>
      <c r="GR684" s="0"/>
      <c r="GS684" s="0"/>
      <c r="GT684" s="0"/>
      <c r="GU684" s="0"/>
      <c r="GV684" s="0"/>
      <c r="GW684" s="0"/>
      <c r="GX684" s="0"/>
      <c r="GY684" s="0"/>
      <c r="GZ684" s="0"/>
      <c r="HA684" s="0"/>
      <c r="HB684" s="0"/>
      <c r="HC684" s="0"/>
      <c r="HD684" s="0"/>
      <c r="HE684" s="0"/>
      <c r="HF684" s="0"/>
      <c r="HG684" s="0"/>
      <c r="HH684" s="0"/>
      <c r="HI684" s="0"/>
      <c r="HJ684" s="0"/>
      <c r="HK684" s="0"/>
      <c r="HL684" s="0"/>
      <c r="HM684" s="0"/>
      <c r="HN684" s="0"/>
      <c r="HO684" s="0"/>
      <c r="HP684" s="0"/>
      <c r="HQ684" s="0"/>
      <c r="HR684" s="0"/>
      <c r="HS684" s="0"/>
      <c r="HT684" s="0"/>
      <c r="HU684" s="0"/>
      <c r="HV684" s="0"/>
      <c r="HW684" s="0"/>
      <c r="HX684" s="0"/>
      <c r="HY684" s="0"/>
      <c r="HZ684" s="0"/>
      <c r="IA684" s="0"/>
      <c r="IB684" s="0"/>
      <c r="IC684" s="0"/>
      <c r="ID684" s="0"/>
      <c r="IE684" s="0"/>
      <c r="IF684" s="0"/>
      <c r="IG684" s="0"/>
      <c r="IH684" s="0"/>
      <c r="II684" s="0"/>
      <c r="IJ684" s="0"/>
      <c r="IK684" s="0"/>
      <c r="IL684" s="0"/>
      <c r="IM684" s="0"/>
      <c r="IN684" s="0"/>
      <c r="IO684" s="0"/>
      <c r="IP684" s="0"/>
      <c r="IQ684" s="0"/>
      <c r="IR684" s="0"/>
      <c r="IS684" s="0"/>
      <c r="IT684" s="0"/>
      <c r="IU684" s="0"/>
      <c r="IV684" s="0"/>
    </row>
    <row r="685" customFormat="false" ht="20.1" hidden="false" customHeight="true" outlineLevel="0" collapsed="false">
      <c r="A685" s="1015" t="s">
        <v>1464</v>
      </c>
      <c r="B685" s="1015"/>
      <c r="C685" s="1015"/>
      <c r="D685" s="451" t="s">
        <v>1465</v>
      </c>
      <c r="E685" s="1132" t="n">
        <v>4</v>
      </c>
      <c r="F685" s="1024"/>
      <c r="G685" s="14"/>
      <c r="H685" s="1133" t="n">
        <f aca="false">E685/B24</f>
        <v>0.051948051948052</v>
      </c>
      <c r="I685" s="951"/>
      <c r="J685" s="970"/>
      <c r="K685" s="903"/>
      <c r="L685" s="877"/>
      <c r="M685" s="1023"/>
      <c r="Q685" s="55"/>
      <c r="R685" s="55"/>
      <c r="S685" s="55"/>
      <c r="T685" s="0"/>
      <c r="U685" s="0"/>
      <c r="V685" s="0"/>
      <c r="W685" s="0"/>
      <c r="X685" s="0"/>
      <c r="Y685" s="0"/>
      <c r="Z685" s="0"/>
      <c r="AA685" s="0"/>
      <c r="AB685" s="0"/>
      <c r="AC685" s="0"/>
      <c r="AD685" s="0"/>
      <c r="AE685" s="0"/>
      <c r="AF685" s="0"/>
      <c r="AG685" s="0"/>
      <c r="AH685" s="0"/>
      <c r="AI685" s="0"/>
      <c r="AJ685" s="0"/>
      <c r="AK685" s="0"/>
      <c r="AL685" s="0"/>
      <c r="AM685" s="0"/>
      <c r="AN685" s="0"/>
      <c r="AO685" s="0"/>
      <c r="AP685" s="0"/>
      <c r="AQ685" s="0"/>
      <c r="AR685" s="0"/>
      <c r="AS685" s="0"/>
      <c r="AT685" s="0"/>
      <c r="AU685" s="0"/>
      <c r="AV685" s="0"/>
      <c r="BR685" s="0"/>
      <c r="BS685" s="0"/>
      <c r="BT685" s="0"/>
      <c r="BU685" s="0"/>
      <c r="BV685" s="0"/>
      <c r="BW685" s="0"/>
      <c r="BX685" s="0"/>
      <c r="BY685" s="0"/>
      <c r="BZ685" s="0"/>
      <c r="CA685" s="0"/>
      <c r="CB685" s="0"/>
      <c r="CC685" s="0"/>
      <c r="CD685" s="0"/>
      <c r="CE685" s="0"/>
      <c r="CF685" s="0"/>
      <c r="CG685" s="0"/>
      <c r="CH685" s="0"/>
      <c r="CI685" s="0"/>
      <c r="CJ685" s="0"/>
      <c r="CK685" s="0"/>
      <c r="CL685" s="0"/>
      <c r="CM685" s="0"/>
      <c r="CN685" s="0"/>
      <c r="CO685" s="0"/>
      <c r="CP685" s="0"/>
      <c r="CQ685" s="0"/>
      <c r="CR685" s="0"/>
      <c r="CS685" s="0"/>
      <c r="CT685" s="0"/>
      <c r="CU685" s="0"/>
      <c r="CV685" s="0"/>
      <c r="CW685" s="0"/>
      <c r="CX685" s="0"/>
      <c r="CY685" s="0"/>
      <c r="CZ685" s="0"/>
      <c r="DA685" s="0"/>
      <c r="DB685" s="0"/>
      <c r="DC685" s="0"/>
      <c r="DD685" s="0"/>
      <c r="DE685" s="0"/>
      <c r="DF685" s="0"/>
      <c r="DG685" s="0"/>
      <c r="DH685" s="0"/>
      <c r="DI685" s="0"/>
      <c r="DJ685" s="0"/>
      <c r="DK685" s="0"/>
      <c r="DL685" s="0"/>
      <c r="DM685" s="0"/>
      <c r="DN685" s="0"/>
      <c r="DO685" s="0"/>
      <c r="DP685" s="0"/>
      <c r="DQ685" s="0"/>
      <c r="DR685" s="0"/>
      <c r="DS685" s="0"/>
      <c r="DT685" s="0"/>
      <c r="DU685" s="0"/>
      <c r="DV685" s="0"/>
      <c r="DW685" s="0"/>
      <c r="DX685" s="0"/>
      <c r="DY685" s="0"/>
      <c r="DZ685" s="0"/>
      <c r="EA685" s="0"/>
      <c r="EB685" s="0"/>
      <c r="EC685" s="0"/>
      <c r="ED685" s="0"/>
      <c r="EE685" s="0"/>
      <c r="EF685" s="0"/>
      <c r="EG685" s="0"/>
      <c r="EH685" s="0"/>
      <c r="EI685" s="0"/>
      <c r="EJ685" s="0"/>
      <c r="EK685" s="0"/>
      <c r="EL685" s="0"/>
      <c r="EM685" s="0"/>
      <c r="EN685" s="0"/>
      <c r="EO685" s="0"/>
      <c r="EP685" s="0"/>
      <c r="EQ685" s="0"/>
      <c r="ER685" s="0"/>
      <c r="ES685" s="0"/>
      <c r="ET685" s="0"/>
      <c r="EU685" s="0"/>
      <c r="EV685" s="0"/>
      <c r="EW685" s="0"/>
      <c r="EX685" s="0"/>
      <c r="EY685" s="0"/>
      <c r="EZ685" s="0"/>
      <c r="FA685" s="0"/>
      <c r="FB685" s="0"/>
      <c r="FC685" s="0"/>
      <c r="FD685" s="0"/>
      <c r="FE685" s="0"/>
      <c r="FF685" s="0"/>
      <c r="FG685" s="0"/>
      <c r="FH685" s="0"/>
      <c r="FI685" s="0"/>
      <c r="FJ685" s="0"/>
      <c r="FK685" s="0"/>
      <c r="FL685" s="0"/>
      <c r="FM685" s="0"/>
      <c r="FN685" s="0"/>
      <c r="FO685" s="0"/>
      <c r="FP685" s="0"/>
      <c r="FQ685" s="0"/>
      <c r="FR685" s="0"/>
      <c r="FS685" s="0"/>
      <c r="FT685" s="0"/>
      <c r="FU685" s="0"/>
      <c r="FV685" s="0"/>
      <c r="FW685" s="0"/>
      <c r="FX685" s="0"/>
      <c r="FY685" s="0"/>
      <c r="FZ685" s="0"/>
      <c r="GA685" s="0"/>
      <c r="GB685" s="0"/>
      <c r="GC685" s="0"/>
      <c r="GD685" s="0"/>
      <c r="GE685" s="0"/>
      <c r="GF685" s="0"/>
      <c r="GG685" s="0"/>
      <c r="GH685" s="0"/>
      <c r="GI685" s="0"/>
      <c r="GJ685" s="0"/>
      <c r="GK685" s="0"/>
      <c r="GL685" s="0"/>
      <c r="GM685" s="0"/>
      <c r="GN685" s="0"/>
      <c r="GO685" s="0"/>
      <c r="GP685" s="0"/>
      <c r="GQ685" s="0"/>
      <c r="GR685" s="0"/>
      <c r="GS685" s="0"/>
      <c r="GT685" s="0"/>
      <c r="GU685" s="0"/>
      <c r="GV685" s="0"/>
      <c r="GW685" s="0"/>
      <c r="GX685" s="0"/>
      <c r="GY685" s="0"/>
      <c r="GZ685" s="0"/>
      <c r="HA685" s="0"/>
      <c r="HB685" s="0"/>
      <c r="HC685" s="0"/>
      <c r="HD685" s="0"/>
      <c r="HE685" s="0"/>
      <c r="HF685" s="0"/>
      <c r="HG685" s="0"/>
      <c r="HH685" s="0"/>
      <c r="HI685" s="0"/>
      <c r="HJ685" s="0"/>
      <c r="HK685" s="0"/>
      <c r="HL685" s="0"/>
      <c r="HM685" s="0"/>
      <c r="HN685" s="0"/>
      <c r="HO685" s="0"/>
      <c r="HP685" s="0"/>
      <c r="HQ685" s="0"/>
      <c r="HR685" s="0"/>
      <c r="HS685" s="0"/>
      <c r="HT685" s="0"/>
      <c r="HU685" s="0"/>
      <c r="HV685" s="0"/>
      <c r="HW685" s="0"/>
      <c r="HX685" s="0"/>
      <c r="HY685" s="0"/>
      <c r="HZ685" s="0"/>
      <c r="IA685" s="0"/>
      <c r="IB685" s="0"/>
      <c r="IC685" s="0"/>
      <c r="ID685" s="0"/>
      <c r="IE685" s="0"/>
      <c r="IF685" s="0"/>
      <c r="IG685" s="0"/>
      <c r="IH685" s="0"/>
      <c r="II685" s="0"/>
      <c r="IJ685" s="0"/>
      <c r="IK685" s="0"/>
      <c r="IL685" s="0"/>
      <c r="IM685" s="0"/>
      <c r="IN685" s="0"/>
      <c r="IO685" s="0"/>
      <c r="IP685" s="0"/>
      <c r="IQ685" s="0"/>
      <c r="IR685" s="0"/>
      <c r="IS685" s="0"/>
      <c r="IT685" s="0"/>
      <c r="IU685" s="0"/>
      <c r="IV685" s="0"/>
    </row>
    <row r="686" customFormat="false" ht="20.1" hidden="false" customHeight="true" outlineLevel="0" collapsed="false">
      <c r="A686" s="1015" t="s">
        <v>1466</v>
      </c>
      <c r="B686" s="1015"/>
      <c r="C686" s="1015"/>
      <c r="D686" s="927"/>
      <c r="E686" s="1132" t="n">
        <v>4</v>
      </c>
      <c r="F686" s="55"/>
      <c r="G686" s="51"/>
      <c r="H686" s="1133" t="n">
        <f aca="false">E686/B24</f>
        <v>0.051948051948052</v>
      </c>
      <c r="I686" s="0"/>
      <c r="J686" s="951"/>
      <c r="K686" s="903"/>
      <c r="L686" s="877"/>
      <c r="M686" s="1023"/>
      <c r="Q686" s="55"/>
      <c r="R686" s="55"/>
      <c r="S686" s="55"/>
      <c r="T686" s="0"/>
      <c r="U686" s="0"/>
      <c r="V686" s="0"/>
      <c r="W686" s="0"/>
      <c r="X686" s="0"/>
      <c r="Y686" s="0"/>
      <c r="Z686" s="0"/>
      <c r="AA686" s="0"/>
      <c r="AB686" s="0"/>
      <c r="AC686" s="0"/>
      <c r="AD686" s="0"/>
      <c r="AE686" s="0"/>
      <c r="AF686" s="0"/>
      <c r="AG686" s="0"/>
      <c r="AH686" s="0"/>
      <c r="AI686" s="0"/>
      <c r="AJ686" s="0"/>
      <c r="AK686" s="0"/>
      <c r="AL686" s="0"/>
      <c r="AM686" s="0"/>
      <c r="AN686" s="0"/>
      <c r="AO686" s="0"/>
      <c r="AP686" s="0"/>
      <c r="AQ686" s="0"/>
      <c r="AR686" s="0"/>
      <c r="AS686" s="0"/>
      <c r="AT686" s="0"/>
      <c r="AU686" s="0"/>
      <c r="AV686" s="0"/>
      <c r="BR686" s="0"/>
      <c r="BS686" s="0"/>
      <c r="BT686" s="0"/>
      <c r="BU686" s="0"/>
      <c r="BV686" s="0"/>
      <c r="BW686" s="0"/>
      <c r="BX686" s="0"/>
      <c r="BY686" s="0"/>
      <c r="BZ686" s="0"/>
      <c r="CA686" s="0"/>
      <c r="CB686" s="0"/>
      <c r="CC686" s="0"/>
      <c r="CD686" s="0"/>
      <c r="CE686" s="0"/>
      <c r="CF686" s="0"/>
      <c r="CG686" s="0"/>
      <c r="CH686" s="0"/>
      <c r="CI686" s="0"/>
      <c r="CJ686" s="0"/>
      <c r="CK686" s="0"/>
      <c r="CL686" s="0"/>
      <c r="CM686" s="0"/>
      <c r="CN686" s="0"/>
      <c r="CO686" s="0"/>
      <c r="CP686" s="0"/>
      <c r="CQ686" s="0"/>
      <c r="CR686" s="0"/>
      <c r="CS686" s="0"/>
      <c r="CT686" s="0"/>
      <c r="CU686" s="0"/>
      <c r="CV686" s="0"/>
      <c r="CW686" s="0"/>
      <c r="CX686" s="0"/>
      <c r="CY686" s="0"/>
      <c r="CZ686" s="0"/>
      <c r="DA686" s="0"/>
      <c r="DB686" s="0"/>
      <c r="DC686" s="0"/>
      <c r="DD686" s="0"/>
      <c r="DE686" s="0"/>
      <c r="DF686" s="0"/>
      <c r="DG686" s="0"/>
      <c r="DH686" s="0"/>
      <c r="DI686" s="0"/>
      <c r="DJ686" s="0"/>
      <c r="DK686" s="0"/>
      <c r="DL686" s="0"/>
      <c r="DM686" s="0"/>
      <c r="DN686" s="0"/>
      <c r="DO686" s="0"/>
      <c r="DP686" s="0"/>
      <c r="DQ686" s="0"/>
      <c r="DR686" s="0"/>
      <c r="DS686" s="0"/>
      <c r="DT686" s="0"/>
      <c r="DU686" s="0"/>
      <c r="DV686" s="0"/>
      <c r="DW686" s="0"/>
      <c r="DX686" s="0"/>
      <c r="DY686" s="0"/>
      <c r="DZ686" s="0"/>
      <c r="EA686" s="0"/>
      <c r="EB686" s="0"/>
      <c r="EC686" s="0"/>
      <c r="ED686" s="0"/>
      <c r="EE686" s="0"/>
      <c r="EF686" s="0"/>
      <c r="EG686" s="0"/>
      <c r="EH686" s="0"/>
      <c r="EI686" s="0"/>
      <c r="EJ686" s="0"/>
      <c r="EK686" s="0"/>
      <c r="EL686" s="0"/>
      <c r="EM686" s="0"/>
      <c r="EN686" s="0"/>
      <c r="EO686" s="0"/>
      <c r="EP686" s="0"/>
      <c r="EQ686" s="0"/>
      <c r="ER686" s="0"/>
      <c r="ES686" s="0"/>
      <c r="ET686" s="0"/>
      <c r="EU686" s="0"/>
      <c r="EV686" s="0"/>
      <c r="EW686" s="0"/>
      <c r="EX686" s="0"/>
      <c r="EY686" s="0"/>
      <c r="EZ686" s="0"/>
      <c r="FA686" s="0"/>
      <c r="FB686" s="0"/>
      <c r="FC686" s="0"/>
      <c r="FD686" s="0"/>
      <c r="FE686" s="0"/>
      <c r="FF686" s="0"/>
      <c r="FG686" s="0"/>
      <c r="FH686" s="0"/>
      <c r="FI686" s="0"/>
      <c r="FJ686" s="0"/>
      <c r="FK686" s="0"/>
      <c r="FL686" s="0"/>
      <c r="FM686" s="0"/>
      <c r="FN686" s="0"/>
      <c r="FO686" s="0"/>
      <c r="FP686" s="0"/>
      <c r="FQ686" s="0"/>
      <c r="FR686" s="0"/>
      <c r="FS686" s="0"/>
      <c r="FT686" s="0"/>
      <c r="FU686" s="0"/>
      <c r="FV686" s="0"/>
      <c r="FW686" s="0"/>
      <c r="FX686" s="0"/>
      <c r="FY686" s="0"/>
      <c r="FZ686" s="0"/>
      <c r="GA686" s="0"/>
      <c r="GB686" s="0"/>
      <c r="GC686" s="0"/>
      <c r="GD686" s="0"/>
      <c r="GE686" s="0"/>
      <c r="GF686" s="0"/>
      <c r="GG686" s="0"/>
      <c r="GH686" s="0"/>
      <c r="GI686" s="0"/>
      <c r="GJ686" s="0"/>
      <c r="GK686" s="0"/>
      <c r="GL686" s="0"/>
      <c r="GM686" s="0"/>
      <c r="GN686" s="0"/>
      <c r="GO686" s="0"/>
      <c r="GP686" s="0"/>
      <c r="GQ686" s="0"/>
      <c r="GR686" s="0"/>
      <c r="GS686" s="0"/>
      <c r="GT686" s="0"/>
      <c r="GU686" s="0"/>
      <c r="GV686" s="0"/>
      <c r="GW686" s="0"/>
      <c r="GX686" s="0"/>
      <c r="GY686" s="0"/>
      <c r="GZ686" s="0"/>
      <c r="HA686" s="0"/>
      <c r="HB686" s="0"/>
      <c r="HC686" s="0"/>
      <c r="HD686" s="0"/>
      <c r="HE686" s="0"/>
      <c r="HF686" s="0"/>
      <c r="HG686" s="0"/>
      <c r="HH686" s="0"/>
      <c r="HI686" s="0"/>
      <c r="HJ686" s="0"/>
      <c r="HK686" s="0"/>
      <c r="HL686" s="0"/>
      <c r="HM686" s="0"/>
      <c r="HN686" s="0"/>
      <c r="HO686" s="0"/>
      <c r="HP686" s="0"/>
      <c r="HQ686" s="0"/>
      <c r="HR686" s="0"/>
      <c r="HS686" s="0"/>
      <c r="HT686" s="0"/>
      <c r="HU686" s="0"/>
      <c r="HV686" s="0"/>
      <c r="HW686" s="0"/>
      <c r="HX686" s="0"/>
      <c r="HY686" s="0"/>
      <c r="HZ686" s="0"/>
      <c r="IA686" s="0"/>
      <c r="IB686" s="0"/>
      <c r="IC686" s="0"/>
      <c r="ID686" s="0"/>
      <c r="IE686" s="0"/>
      <c r="IF686" s="0"/>
      <c r="IG686" s="0"/>
      <c r="IH686" s="0"/>
      <c r="II686" s="0"/>
      <c r="IJ686" s="0"/>
      <c r="IK686" s="0"/>
      <c r="IL686" s="0"/>
      <c r="IM686" s="0"/>
      <c r="IN686" s="0"/>
      <c r="IO686" s="0"/>
      <c r="IP686" s="0"/>
      <c r="IQ686" s="0"/>
      <c r="IR686" s="0"/>
      <c r="IS686" s="0"/>
      <c r="IT686" s="0"/>
      <c r="IU686" s="0"/>
      <c r="IV686" s="0"/>
    </row>
    <row r="687" customFormat="false" ht="20.1" hidden="false" customHeight="true" outlineLevel="0" collapsed="false">
      <c r="A687" s="1142"/>
      <c r="B687" s="1143"/>
      <c r="C687" s="1143"/>
      <c r="D687" s="951"/>
      <c r="E687" s="951"/>
      <c r="F687" s="1044"/>
      <c r="G687" s="951"/>
      <c r="H687" s="951"/>
      <c r="I687" s="951"/>
      <c r="J687" s="14"/>
      <c r="K687" s="1144"/>
      <c r="L687" s="1145"/>
      <c r="M687" s="1023"/>
      <c r="Q687" s="55"/>
      <c r="R687" s="55"/>
      <c r="S687" s="55"/>
      <c r="T687" s="0"/>
      <c r="U687" s="0"/>
      <c r="V687" s="0"/>
      <c r="W687" s="0"/>
      <c r="X687" s="0"/>
      <c r="Y687" s="0"/>
      <c r="Z687" s="0"/>
      <c r="AA687" s="0"/>
      <c r="AB687" s="0"/>
      <c r="AC687" s="0"/>
      <c r="AD687" s="0"/>
      <c r="AE687" s="0"/>
      <c r="AF687" s="0"/>
      <c r="AG687" s="0"/>
      <c r="AH687" s="0"/>
      <c r="AI687" s="0"/>
      <c r="AJ687" s="0"/>
      <c r="AK687" s="0"/>
      <c r="AL687" s="0"/>
      <c r="AM687" s="0"/>
      <c r="AN687" s="0"/>
      <c r="AO687" s="0"/>
      <c r="AP687" s="0"/>
      <c r="AQ687" s="0"/>
      <c r="AR687" s="0"/>
      <c r="AS687" s="0"/>
      <c r="AT687" s="0"/>
      <c r="AU687" s="0"/>
      <c r="AV687" s="0"/>
      <c r="BR687" s="0"/>
      <c r="BS687" s="0"/>
      <c r="BT687" s="0"/>
      <c r="BU687" s="0"/>
      <c r="BV687" s="0"/>
      <c r="BW687" s="0"/>
      <c r="BX687" s="0"/>
      <c r="BY687" s="0"/>
      <c r="BZ687" s="0"/>
      <c r="CA687" s="0"/>
      <c r="CB687" s="0"/>
      <c r="CC687" s="0"/>
      <c r="CD687" s="0"/>
      <c r="CE687" s="0"/>
      <c r="CF687" s="0"/>
      <c r="CG687" s="0"/>
      <c r="CH687" s="0"/>
      <c r="CI687" s="0"/>
      <c r="CJ687" s="0"/>
      <c r="CK687" s="0"/>
      <c r="CL687" s="0"/>
      <c r="CM687" s="0"/>
      <c r="CN687" s="0"/>
      <c r="CO687" s="0"/>
      <c r="CP687" s="0"/>
      <c r="CQ687" s="0"/>
      <c r="CR687" s="0"/>
      <c r="CS687" s="0"/>
      <c r="CT687" s="0"/>
      <c r="CU687" s="0"/>
      <c r="CV687" s="0"/>
      <c r="CW687" s="0"/>
      <c r="CX687" s="0"/>
      <c r="CY687" s="0"/>
      <c r="CZ687" s="0"/>
      <c r="DA687" s="0"/>
      <c r="DB687" s="0"/>
      <c r="DC687" s="0"/>
      <c r="DD687" s="0"/>
      <c r="DE687" s="0"/>
      <c r="DF687" s="0"/>
      <c r="DG687" s="0"/>
      <c r="DH687" s="0"/>
      <c r="DI687" s="0"/>
      <c r="DJ687" s="0"/>
      <c r="DK687" s="0"/>
      <c r="DL687" s="0"/>
      <c r="DM687" s="0"/>
      <c r="DN687" s="0"/>
      <c r="DO687" s="0"/>
      <c r="DP687" s="0"/>
      <c r="DQ687" s="0"/>
      <c r="DR687" s="0"/>
      <c r="DS687" s="0"/>
      <c r="DT687" s="0"/>
      <c r="DU687" s="0"/>
      <c r="DV687" s="0"/>
      <c r="DW687" s="0"/>
      <c r="DX687" s="0"/>
      <c r="DY687" s="0"/>
      <c r="DZ687" s="0"/>
      <c r="EA687" s="0"/>
      <c r="EB687" s="0"/>
      <c r="EC687" s="0"/>
      <c r="ED687" s="0"/>
      <c r="EE687" s="0"/>
      <c r="EF687" s="0"/>
      <c r="EG687" s="0"/>
      <c r="EH687" s="0"/>
      <c r="EI687" s="0"/>
      <c r="EJ687" s="0"/>
      <c r="EK687" s="0"/>
      <c r="EL687" s="0"/>
      <c r="EM687" s="0"/>
      <c r="EN687" s="0"/>
      <c r="EO687" s="0"/>
      <c r="EP687" s="0"/>
      <c r="EQ687" s="0"/>
      <c r="ER687" s="0"/>
      <c r="ES687" s="0"/>
      <c r="ET687" s="0"/>
      <c r="EU687" s="0"/>
      <c r="EV687" s="0"/>
      <c r="EW687" s="0"/>
      <c r="EX687" s="0"/>
      <c r="EY687" s="0"/>
      <c r="EZ687" s="0"/>
      <c r="FA687" s="0"/>
      <c r="FB687" s="0"/>
      <c r="FC687" s="0"/>
      <c r="FD687" s="0"/>
      <c r="FE687" s="0"/>
      <c r="FF687" s="0"/>
      <c r="FG687" s="0"/>
      <c r="FH687" s="0"/>
      <c r="FI687" s="0"/>
      <c r="FJ687" s="0"/>
      <c r="FK687" s="0"/>
      <c r="FL687" s="0"/>
      <c r="FM687" s="0"/>
      <c r="FN687" s="0"/>
      <c r="FO687" s="0"/>
      <c r="FP687" s="0"/>
      <c r="FQ687" s="0"/>
      <c r="FR687" s="0"/>
      <c r="FS687" s="0"/>
      <c r="FT687" s="0"/>
      <c r="FU687" s="0"/>
      <c r="FV687" s="0"/>
      <c r="FW687" s="0"/>
      <c r="FX687" s="0"/>
      <c r="FY687" s="0"/>
      <c r="FZ687" s="0"/>
      <c r="GA687" s="0"/>
      <c r="GB687" s="0"/>
      <c r="GC687" s="0"/>
      <c r="GD687" s="0"/>
      <c r="GE687" s="0"/>
      <c r="GF687" s="0"/>
      <c r="GG687" s="0"/>
      <c r="GH687" s="0"/>
      <c r="GI687" s="0"/>
      <c r="GJ687" s="0"/>
      <c r="GK687" s="0"/>
      <c r="GL687" s="0"/>
      <c r="GM687" s="0"/>
      <c r="GN687" s="0"/>
      <c r="GO687" s="0"/>
      <c r="GP687" s="0"/>
      <c r="GQ687" s="0"/>
      <c r="GR687" s="0"/>
      <c r="GS687" s="0"/>
      <c r="GT687" s="0"/>
      <c r="GU687" s="0"/>
      <c r="GV687" s="0"/>
      <c r="GW687" s="0"/>
      <c r="GX687" s="0"/>
      <c r="GY687" s="0"/>
      <c r="GZ687" s="0"/>
      <c r="HA687" s="0"/>
      <c r="HB687" s="0"/>
      <c r="HC687" s="0"/>
      <c r="HD687" s="0"/>
      <c r="HE687" s="0"/>
      <c r="HF687" s="0"/>
      <c r="HG687" s="0"/>
      <c r="HH687" s="0"/>
      <c r="HI687" s="0"/>
      <c r="HJ687" s="0"/>
      <c r="HK687" s="0"/>
      <c r="HL687" s="0"/>
      <c r="HM687" s="0"/>
      <c r="HN687" s="0"/>
      <c r="HO687" s="0"/>
      <c r="HP687" s="0"/>
      <c r="HQ687" s="0"/>
      <c r="HR687" s="0"/>
      <c r="HS687" s="0"/>
      <c r="HT687" s="0"/>
      <c r="HU687" s="0"/>
      <c r="HV687" s="0"/>
      <c r="HW687" s="0"/>
      <c r="HX687" s="0"/>
      <c r="HY687" s="0"/>
      <c r="HZ687" s="0"/>
      <c r="IA687" s="0"/>
      <c r="IB687" s="0"/>
      <c r="IC687" s="0"/>
      <c r="ID687" s="0"/>
      <c r="IE687" s="0"/>
      <c r="IF687" s="0"/>
      <c r="IG687" s="0"/>
      <c r="IH687" s="0"/>
      <c r="II687" s="0"/>
      <c r="IJ687" s="0"/>
      <c r="IK687" s="0"/>
      <c r="IL687" s="0"/>
      <c r="IM687" s="0"/>
      <c r="IN687" s="0"/>
      <c r="IO687" s="0"/>
      <c r="IP687" s="0"/>
      <c r="IQ687" s="0"/>
      <c r="IR687" s="0"/>
      <c r="IS687" s="0"/>
      <c r="IT687" s="0"/>
      <c r="IU687" s="0"/>
      <c r="IV687" s="0"/>
    </row>
    <row r="688" customFormat="false" ht="20.1" hidden="false" customHeight="true" outlineLevel="0" collapsed="false">
      <c r="A688" s="1140" t="s">
        <v>529</v>
      </c>
      <c r="B688" s="1140"/>
      <c r="C688" s="1140"/>
      <c r="D688" s="1114" t="s">
        <v>254</v>
      </c>
      <c r="E688" s="951"/>
      <c r="F688" s="1044"/>
      <c r="G688" s="951"/>
      <c r="H688" s="951"/>
      <c r="I688" s="951"/>
      <c r="J688" s="14"/>
      <c r="K688" s="1144"/>
      <c r="L688" s="1145"/>
      <c r="M688" s="1023"/>
      <c r="Q688" s="55"/>
      <c r="R688" s="55"/>
      <c r="S688" s="55"/>
      <c r="T688" s="0"/>
      <c r="U688" s="0"/>
      <c r="V688" s="0"/>
      <c r="W688" s="0"/>
      <c r="X688" s="0"/>
      <c r="Y688" s="0"/>
      <c r="Z688" s="0"/>
      <c r="AA688" s="0"/>
      <c r="AB688" s="0"/>
      <c r="AC688" s="0"/>
      <c r="AD688" s="0"/>
      <c r="AE688" s="0"/>
      <c r="AF688" s="0"/>
      <c r="AG688" s="0"/>
      <c r="AH688" s="0"/>
      <c r="AI688" s="0"/>
      <c r="AJ688" s="0"/>
      <c r="AK688" s="0"/>
      <c r="AL688" s="0"/>
      <c r="AM688" s="0"/>
      <c r="AN688" s="0"/>
      <c r="AO688" s="0"/>
      <c r="AP688" s="0"/>
      <c r="AQ688" s="0"/>
      <c r="AR688" s="0"/>
      <c r="AS688" s="0"/>
      <c r="AT688" s="0"/>
      <c r="AU688" s="0"/>
      <c r="AV688" s="0"/>
      <c r="BR688" s="0"/>
      <c r="BS688" s="0"/>
      <c r="BT688" s="0"/>
      <c r="BU688" s="0"/>
      <c r="BV688" s="0"/>
      <c r="BW688" s="0"/>
      <c r="BX688" s="0"/>
      <c r="BY688" s="0"/>
      <c r="BZ688" s="0"/>
      <c r="CA688" s="0"/>
      <c r="CB688" s="0"/>
      <c r="CC688" s="0"/>
      <c r="CD688" s="0"/>
      <c r="CE688" s="0"/>
      <c r="CF688" s="0"/>
      <c r="CG688" s="0"/>
      <c r="CH688" s="0"/>
      <c r="CI688" s="0"/>
      <c r="CJ688" s="0"/>
      <c r="CK688" s="0"/>
      <c r="CL688" s="0"/>
      <c r="CM688" s="0"/>
      <c r="CN688" s="0"/>
      <c r="CO688" s="0"/>
      <c r="CP688" s="0"/>
      <c r="CQ688" s="0"/>
      <c r="CR688" s="0"/>
      <c r="CS688" s="0"/>
      <c r="CT688" s="0"/>
      <c r="CU688" s="0"/>
      <c r="CV688" s="0"/>
      <c r="CW688" s="0"/>
      <c r="CX688" s="0"/>
      <c r="CY688" s="0"/>
      <c r="CZ688" s="0"/>
      <c r="DA688" s="0"/>
      <c r="DB688" s="0"/>
      <c r="DC688" s="0"/>
      <c r="DD688" s="0"/>
      <c r="DE688" s="0"/>
      <c r="DF688" s="0"/>
      <c r="DG688" s="0"/>
      <c r="DH688" s="0"/>
      <c r="DI688" s="0"/>
      <c r="DJ688" s="0"/>
      <c r="DK688" s="0"/>
      <c r="DL688" s="0"/>
      <c r="DM688" s="0"/>
      <c r="DN688" s="0"/>
      <c r="DO688" s="0"/>
      <c r="DP688" s="0"/>
      <c r="DQ688" s="0"/>
      <c r="DR688" s="0"/>
      <c r="DS688" s="0"/>
      <c r="DT688" s="0"/>
      <c r="DU688" s="0"/>
      <c r="DV688" s="0"/>
      <c r="DW688" s="0"/>
      <c r="DX688" s="0"/>
      <c r="DY688" s="0"/>
      <c r="DZ688" s="0"/>
      <c r="EA688" s="0"/>
      <c r="EB688" s="0"/>
      <c r="EC688" s="0"/>
      <c r="ED688" s="0"/>
      <c r="EE688" s="0"/>
      <c r="EF688" s="0"/>
      <c r="EG688" s="0"/>
      <c r="EH688" s="0"/>
      <c r="EI688" s="0"/>
      <c r="EJ688" s="0"/>
      <c r="EK688" s="0"/>
      <c r="EL688" s="0"/>
      <c r="EM688" s="0"/>
      <c r="EN688" s="0"/>
      <c r="EO688" s="0"/>
      <c r="EP688" s="0"/>
      <c r="EQ688" s="0"/>
      <c r="ER688" s="0"/>
      <c r="ES688" s="0"/>
      <c r="ET688" s="0"/>
      <c r="EU688" s="0"/>
      <c r="EV688" s="0"/>
      <c r="EW688" s="0"/>
      <c r="EX688" s="0"/>
      <c r="EY688" s="0"/>
      <c r="EZ688" s="0"/>
      <c r="FA688" s="0"/>
      <c r="FB688" s="0"/>
      <c r="FC688" s="0"/>
      <c r="FD688" s="0"/>
      <c r="FE688" s="0"/>
      <c r="FF688" s="0"/>
      <c r="FG688" s="0"/>
      <c r="FH688" s="0"/>
      <c r="FI688" s="0"/>
      <c r="FJ688" s="0"/>
      <c r="FK688" s="0"/>
      <c r="FL688" s="0"/>
      <c r="FM688" s="0"/>
      <c r="FN688" s="0"/>
      <c r="FO688" s="0"/>
      <c r="FP688" s="0"/>
      <c r="FQ688" s="0"/>
      <c r="FR688" s="0"/>
      <c r="FS688" s="0"/>
      <c r="FT688" s="0"/>
      <c r="FU688" s="0"/>
      <c r="FV688" s="0"/>
      <c r="FW688" s="0"/>
      <c r="FX688" s="0"/>
      <c r="FY688" s="0"/>
      <c r="FZ688" s="0"/>
      <c r="GA688" s="0"/>
      <c r="GB688" s="0"/>
      <c r="GC688" s="0"/>
      <c r="GD688" s="0"/>
      <c r="GE688" s="0"/>
      <c r="GF688" s="0"/>
      <c r="GG688" s="0"/>
      <c r="GH688" s="0"/>
      <c r="GI688" s="0"/>
      <c r="GJ688" s="0"/>
      <c r="GK688" s="0"/>
      <c r="GL688" s="0"/>
      <c r="GM688" s="0"/>
      <c r="GN688" s="0"/>
      <c r="GO688" s="0"/>
      <c r="GP688" s="0"/>
      <c r="GQ688" s="0"/>
      <c r="GR688" s="0"/>
      <c r="GS688" s="0"/>
      <c r="GT688" s="0"/>
      <c r="GU688" s="0"/>
      <c r="GV688" s="0"/>
      <c r="GW688" s="0"/>
      <c r="GX688" s="0"/>
      <c r="GY688" s="0"/>
      <c r="GZ688" s="0"/>
      <c r="HA688" s="0"/>
      <c r="HB688" s="0"/>
      <c r="HC688" s="0"/>
      <c r="HD688" s="0"/>
      <c r="HE688" s="0"/>
      <c r="HF688" s="0"/>
      <c r="HG688" s="0"/>
      <c r="HH688" s="0"/>
      <c r="HI688" s="0"/>
      <c r="HJ688" s="0"/>
      <c r="HK688" s="0"/>
      <c r="HL688" s="0"/>
      <c r="HM688" s="0"/>
      <c r="HN688" s="0"/>
      <c r="HO688" s="0"/>
      <c r="HP688" s="0"/>
      <c r="HQ688" s="0"/>
      <c r="HR688" s="0"/>
      <c r="HS688" s="0"/>
      <c r="HT688" s="0"/>
      <c r="HU688" s="0"/>
      <c r="HV688" s="0"/>
      <c r="HW688" s="0"/>
      <c r="HX688" s="0"/>
      <c r="HY688" s="0"/>
      <c r="HZ688" s="0"/>
      <c r="IA688" s="0"/>
      <c r="IB688" s="0"/>
      <c r="IC688" s="0"/>
      <c r="ID688" s="0"/>
      <c r="IE688" s="0"/>
      <c r="IF688" s="0"/>
      <c r="IG688" s="0"/>
      <c r="IH688" s="0"/>
      <c r="II688" s="0"/>
      <c r="IJ688" s="0"/>
      <c r="IK688" s="0"/>
      <c r="IL688" s="0"/>
      <c r="IM688" s="0"/>
      <c r="IN688" s="0"/>
      <c r="IO688" s="0"/>
      <c r="IP688" s="0"/>
      <c r="IQ688" s="0"/>
      <c r="IR688" s="0"/>
      <c r="IS688" s="0"/>
      <c r="IT688" s="0"/>
      <c r="IU688" s="0"/>
      <c r="IV688" s="0"/>
    </row>
    <row r="689" customFormat="false" ht="20.1" hidden="false" customHeight="true" outlineLevel="0" collapsed="false">
      <c r="A689" s="1142"/>
      <c r="B689" s="1143"/>
      <c r="C689" s="1143"/>
      <c r="D689" s="951"/>
      <c r="E689" s="951"/>
      <c r="F689" s="1044"/>
      <c r="G689" s="951"/>
      <c r="H689" s="951"/>
      <c r="I689" s="951"/>
      <c r="J689" s="14"/>
      <c r="K689" s="1144"/>
      <c r="L689" s="1145"/>
      <c r="M689" s="1023"/>
      <c r="Q689" s="55"/>
      <c r="R689" s="55"/>
      <c r="S689" s="55"/>
      <c r="T689" s="0"/>
      <c r="U689" s="0"/>
      <c r="V689" s="0"/>
      <c r="W689" s="0"/>
      <c r="X689" s="0"/>
      <c r="Y689" s="0"/>
      <c r="Z689" s="0"/>
      <c r="AA689" s="0"/>
      <c r="AB689" s="0"/>
      <c r="AC689" s="0"/>
      <c r="AD689" s="0"/>
      <c r="AE689" s="0"/>
      <c r="AF689" s="0"/>
      <c r="AG689" s="0"/>
      <c r="AH689" s="0"/>
      <c r="AI689" s="0"/>
      <c r="AJ689" s="0"/>
      <c r="AK689" s="0"/>
      <c r="AL689" s="0"/>
      <c r="AM689" s="0"/>
      <c r="AN689" s="0"/>
      <c r="AO689" s="0"/>
      <c r="AP689" s="0"/>
      <c r="AQ689" s="0"/>
      <c r="AR689" s="0"/>
      <c r="AS689" s="0"/>
      <c r="AT689" s="0"/>
      <c r="AU689" s="0"/>
      <c r="AV689" s="0"/>
      <c r="BR689" s="0"/>
      <c r="BS689" s="0"/>
      <c r="BT689" s="0"/>
      <c r="BU689" s="0"/>
      <c r="BV689" s="0"/>
      <c r="BW689" s="0"/>
      <c r="BX689" s="0"/>
      <c r="BY689" s="0"/>
      <c r="BZ689" s="0"/>
      <c r="CA689" s="0"/>
      <c r="CB689" s="0"/>
      <c r="CC689" s="0"/>
      <c r="CD689" s="0"/>
      <c r="CE689" s="0"/>
      <c r="CF689" s="0"/>
      <c r="CG689" s="0"/>
      <c r="CH689" s="0"/>
      <c r="CI689" s="0"/>
      <c r="CJ689" s="0"/>
      <c r="CK689" s="0"/>
      <c r="CL689" s="0"/>
      <c r="CM689" s="0"/>
      <c r="CN689" s="0"/>
      <c r="CO689" s="0"/>
      <c r="CP689" s="0"/>
      <c r="CQ689" s="0"/>
      <c r="CR689" s="0"/>
      <c r="CS689" s="0"/>
      <c r="CT689" s="0"/>
      <c r="CU689" s="0"/>
      <c r="CV689" s="0"/>
      <c r="CW689" s="0"/>
      <c r="CX689" s="0"/>
      <c r="CY689" s="0"/>
      <c r="CZ689" s="0"/>
      <c r="DA689" s="0"/>
      <c r="DB689" s="0"/>
      <c r="DC689" s="0"/>
      <c r="DD689" s="0"/>
      <c r="DE689" s="0"/>
      <c r="DF689" s="0"/>
      <c r="DG689" s="0"/>
      <c r="DH689" s="0"/>
      <c r="DI689" s="0"/>
      <c r="DJ689" s="0"/>
      <c r="DK689" s="0"/>
      <c r="DL689" s="0"/>
      <c r="DM689" s="0"/>
      <c r="DN689" s="0"/>
      <c r="DO689" s="0"/>
      <c r="DP689" s="0"/>
      <c r="DQ689" s="0"/>
      <c r="DR689" s="0"/>
      <c r="DS689" s="0"/>
      <c r="DT689" s="0"/>
      <c r="DU689" s="0"/>
      <c r="DV689" s="0"/>
      <c r="DW689" s="0"/>
      <c r="DX689" s="0"/>
      <c r="DY689" s="0"/>
      <c r="DZ689" s="0"/>
      <c r="EA689" s="0"/>
      <c r="EB689" s="0"/>
      <c r="EC689" s="0"/>
      <c r="ED689" s="0"/>
      <c r="EE689" s="0"/>
      <c r="EF689" s="0"/>
      <c r="EG689" s="0"/>
      <c r="EH689" s="0"/>
      <c r="EI689" s="0"/>
      <c r="EJ689" s="0"/>
      <c r="EK689" s="0"/>
      <c r="EL689" s="0"/>
      <c r="EM689" s="0"/>
      <c r="EN689" s="0"/>
      <c r="EO689" s="0"/>
      <c r="EP689" s="0"/>
      <c r="EQ689" s="0"/>
      <c r="ER689" s="0"/>
      <c r="ES689" s="0"/>
      <c r="ET689" s="0"/>
      <c r="EU689" s="0"/>
      <c r="EV689" s="0"/>
      <c r="EW689" s="0"/>
      <c r="EX689" s="0"/>
      <c r="EY689" s="0"/>
      <c r="EZ689" s="0"/>
      <c r="FA689" s="0"/>
      <c r="FB689" s="0"/>
      <c r="FC689" s="0"/>
      <c r="FD689" s="0"/>
      <c r="FE689" s="0"/>
      <c r="FF689" s="0"/>
      <c r="FG689" s="0"/>
      <c r="FH689" s="0"/>
      <c r="FI689" s="0"/>
      <c r="FJ689" s="0"/>
      <c r="FK689" s="0"/>
      <c r="FL689" s="0"/>
      <c r="FM689" s="0"/>
      <c r="FN689" s="0"/>
      <c r="FO689" s="0"/>
      <c r="FP689" s="0"/>
      <c r="FQ689" s="0"/>
      <c r="FR689" s="0"/>
      <c r="FS689" s="0"/>
      <c r="FT689" s="0"/>
      <c r="FU689" s="0"/>
      <c r="FV689" s="0"/>
      <c r="FW689" s="0"/>
      <c r="FX689" s="0"/>
      <c r="FY689" s="0"/>
      <c r="FZ689" s="0"/>
      <c r="GA689" s="0"/>
      <c r="GB689" s="0"/>
      <c r="GC689" s="0"/>
      <c r="GD689" s="0"/>
      <c r="GE689" s="0"/>
      <c r="GF689" s="0"/>
      <c r="GG689" s="0"/>
      <c r="GH689" s="0"/>
      <c r="GI689" s="0"/>
      <c r="GJ689" s="0"/>
      <c r="GK689" s="0"/>
      <c r="GL689" s="0"/>
      <c r="GM689" s="0"/>
      <c r="GN689" s="0"/>
      <c r="GO689" s="0"/>
      <c r="GP689" s="0"/>
      <c r="GQ689" s="0"/>
      <c r="GR689" s="0"/>
      <c r="GS689" s="0"/>
      <c r="GT689" s="0"/>
      <c r="GU689" s="0"/>
      <c r="GV689" s="0"/>
      <c r="GW689" s="0"/>
      <c r="GX689" s="0"/>
      <c r="GY689" s="0"/>
      <c r="GZ689" s="0"/>
      <c r="HA689" s="0"/>
      <c r="HB689" s="0"/>
      <c r="HC689" s="0"/>
      <c r="HD689" s="0"/>
      <c r="HE689" s="0"/>
      <c r="HF689" s="0"/>
      <c r="HG689" s="0"/>
      <c r="HH689" s="0"/>
      <c r="HI689" s="0"/>
      <c r="HJ689" s="0"/>
      <c r="HK689" s="0"/>
      <c r="HL689" s="0"/>
      <c r="HM689" s="0"/>
      <c r="HN689" s="0"/>
      <c r="HO689" s="0"/>
      <c r="HP689" s="0"/>
      <c r="HQ689" s="0"/>
      <c r="HR689" s="0"/>
      <c r="HS689" s="0"/>
      <c r="HT689" s="0"/>
      <c r="HU689" s="0"/>
      <c r="HV689" s="0"/>
      <c r="HW689" s="0"/>
      <c r="HX689" s="0"/>
      <c r="HY689" s="0"/>
      <c r="HZ689" s="0"/>
      <c r="IA689" s="0"/>
      <c r="IB689" s="0"/>
      <c r="IC689" s="0"/>
      <c r="ID689" s="0"/>
      <c r="IE689" s="0"/>
      <c r="IF689" s="0"/>
      <c r="IG689" s="0"/>
      <c r="IH689" s="0"/>
      <c r="II689" s="0"/>
      <c r="IJ689" s="0"/>
      <c r="IK689" s="0"/>
      <c r="IL689" s="0"/>
      <c r="IM689" s="0"/>
      <c r="IN689" s="0"/>
      <c r="IO689" s="0"/>
      <c r="IP689" s="0"/>
      <c r="IQ689" s="0"/>
      <c r="IR689" s="0"/>
      <c r="IS689" s="0"/>
      <c r="IT689" s="0"/>
      <c r="IU689" s="0"/>
      <c r="IV689" s="0"/>
    </row>
    <row r="690" customFormat="false" ht="20.1" hidden="false" customHeight="true" outlineLevel="0" collapsed="false">
      <c r="A690" s="14" t="s">
        <v>530</v>
      </c>
      <c r="B690" s="620"/>
      <c r="C690" s="620"/>
      <c r="D690" s="879"/>
      <c r="E690" s="0"/>
      <c r="F690" s="19"/>
      <c r="G690" s="14"/>
      <c r="H690" s="1046"/>
      <c r="I690" s="0"/>
      <c r="J690" s="0"/>
      <c r="K690" s="903"/>
      <c r="L690" s="877"/>
      <c r="M690" s="0"/>
      <c r="Q690" s="55"/>
      <c r="R690" s="55"/>
      <c r="S690" s="55"/>
      <c r="T690" s="0"/>
      <c r="U690" s="0"/>
      <c r="V690" s="0"/>
      <c r="W690" s="0"/>
      <c r="X690" s="0"/>
      <c r="Y690" s="0"/>
      <c r="Z690" s="0"/>
      <c r="AA690" s="0"/>
      <c r="AB690" s="0"/>
      <c r="AC690" s="0"/>
      <c r="AD690" s="0"/>
      <c r="AE690" s="0"/>
      <c r="AF690" s="0"/>
      <c r="AG690" s="0"/>
      <c r="AH690" s="0"/>
      <c r="AI690" s="0"/>
      <c r="AJ690" s="0"/>
      <c r="AK690" s="0"/>
      <c r="AL690" s="0"/>
      <c r="AM690" s="0"/>
      <c r="AN690" s="0"/>
      <c r="AO690" s="0"/>
      <c r="AP690" s="0"/>
      <c r="AQ690" s="0"/>
      <c r="AR690" s="0"/>
      <c r="AS690" s="0"/>
      <c r="AT690" s="0"/>
      <c r="AU690" s="0"/>
      <c r="AV690" s="0"/>
      <c r="BR690" s="0"/>
      <c r="BS690" s="0"/>
      <c r="BT690" s="0"/>
      <c r="BU690" s="0"/>
      <c r="BV690" s="0"/>
      <c r="BW690" s="0"/>
      <c r="BX690" s="0"/>
      <c r="BY690" s="0"/>
      <c r="BZ690" s="0"/>
      <c r="CA690" s="0"/>
      <c r="CB690" s="0"/>
      <c r="CC690" s="0"/>
      <c r="CD690" s="0"/>
      <c r="CE690" s="0"/>
      <c r="CF690" s="0"/>
      <c r="CG690" s="0"/>
      <c r="CH690" s="0"/>
      <c r="CI690" s="0"/>
      <c r="CJ690" s="0"/>
      <c r="CK690" s="0"/>
      <c r="CL690" s="0"/>
      <c r="CM690" s="0"/>
      <c r="CN690" s="0"/>
      <c r="CO690" s="0"/>
      <c r="CP690" s="0"/>
      <c r="CQ690" s="0"/>
      <c r="CR690" s="0"/>
      <c r="CS690" s="0"/>
      <c r="CT690" s="0"/>
      <c r="CU690" s="0"/>
      <c r="CV690" s="0"/>
      <c r="CW690" s="0"/>
      <c r="CX690" s="0"/>
      <c r="CY690" s="0"/>
      <c r="CZ690" s="0"/>
      <c r="DA690" s="0"/>
      <c r="DB690" s="0"/>
      <c r="DC690" s="0"/>
      <c r="DD690" s="0"/>
      <c r="DE690" s="0"/>
      <c r="DF690" s="0"/>
      <c r="DG690" s="0"/>
      <c r="DH690" s="0"/>
      <c r="DI690" s="0"/>
      <c r="DJ690" s="0"/>
      <c r="DK690" s="0"/>
      <c r="DL690" s="0"/>
      <c r="DM690" s="0"/>
      <c r="DN690" s="0"/>
      <c r="DO690" s="0"/>
      <c r="DP690" s="0"/>
      <c r="DQ690" s="0"/>
      <c r="DR690" s="0"/>
      <c r="DS690" s="0"/>
      <c r="DT690" s="0"/>
      <c r="DU690" s="0"/>
      <c r="DV690" s="0"/>
      <c r="DW690" s="0"/>
      <c r="DX690" s="0"/>
      <c r="DY690" s="0"/>
      <c r="DZ690" s="0"/>
      <c r="EA690" s="0"/>
      <c r="EB690" s="0"/>
      <c r="EC690" s="0"/>
      <c r="ED690" s="0"/>
      <c r="EE690" s="0"/>
      <c r="EF690" s="0"/>
      <c r="EG690" s="0"/>
      <c r="EH690" s="0"/>
      <c r="EI690" s="0"/>
      <c r="EJ690" s="0"/>
      <c r="EK690" s="0"/>
      <c r="EL690" s="0"/>
      <c r="EM690" s="0"/>
      <c r="EN690" s="0"/>
      <c r="EO690" s="0"/>
      <c r="EP690" s="0"/>
      <c r="EQ690" s="0"/>
      <c r="ER690" s="0"/>
      <c r="ES690" s="0"/>
      <c r="ET690" s="0"/>
      <c r="EU690" s="0"/>
      <c r="EV690" s="0"/>
      <c r="EW690" s="0"/>
      <c r="EX690" s="0"/>
      <c r="EY690" s="0"/>
      <c r="EZ690" s="0"/>
      <c r="FA690" s="0"/>
      <c r="FB690" s="0"/>
      <c r="FC690" s="0"/>
      <c r="FD690" s="0"/>
      <c r="FE690" s="0"/>
      <c r="FF690" s="0"/>
      <c r="FG690" s="0"/>
      <c r="FH690" s="0"/>
      <c r="FI690" s="0"/>
      <c r="FJ690" s="0"/>
      <c r="FK690" s="0"/>
      <c r="FL690" s="0"/>
      <c r="FM690" s="0"/>
      <c r="FN690" s="0"/>
      <c r="FO690" s="0"/>
      <c r="FP690" s="0"/>
      <c r="FQ690" s="0"/>
      <c r="FR690" s="0"/>
      <c r="FS690" s="0"/>
      <c r="FT690" s="0"/>
      <c r="FU690" s="0"/>
      <c r="FV690" s="0"/>
      <c r="FW690" s="0"/>
      <c r="FX690" s="0"/>
      <c r="FY690" s="0"/>
      <c r="FZ690" s="0"/>
      <c r="GA690" s="0"/>
      <c r="GB690" s="0"/>
      <c r="GC690" s="0"/>
      <c r="GD690" s="0"/>
      <c r="GE690" s="0"/>
      <c r="GF690" s="0"/>
      <c r="GG690" s="0"/>
      <c r="GH690" s="0"/>
      <c r="GI690" s="0"/>
      <c r="GJ690" s="0"/>
      <c r="GK690" s="0"/>
      <c r="GL690" s="0"/>
      <c r="GM690" s="0"/>
      <c r="GN690" s="0"/>
      <c r="GO690" s="0"/>
      <c r="GP690" s="0"/>
      <c r="GQ690" s="0"/>
      <c r="GR690" s="0"/>
      <c r="GS690" s="0"/>
      <c r="GT690" s="0"/>
      <c r="GU690" s="0"/>
      <c r="GV690" s="0"/>
      <c r="GW690" s="0"/>
      <c r="GX690" s="0"/>
      <c r="GY690" s="0"/>
      <c r="GZ690" s="0"/>
      <c r="HA690" s="0"/>
      <c r="HB690" s="0"/>
      <c r="HC690" s="0"/>
      <c r="HD690" s="0"/>
      <c r="HE690" s="0"/>
      <c r="HF690" s="0"/>
      <c r="HG690" s="0"/>
      <c r="HH690" s="0"/>
      <c r="HI690" s="0"/>
      <c r="HJ690" s="0"/>
      <c r="HK690" s="0"/>
      <c r="HL690" s="0"/>
      <c r="HM690" s="0"/>
      <c r="HN690" s="0"/>
      <c r="HO690" s="0"/>
      <c r="HP690" s="0"/>
      <c r="HQ690" s="0"/>
      <c r="HR690" s="0"/>
      <c r="HS690" s="0"/>
      <c r="HT690" s="0"/>
      <c r="HU690" s="0"/>
      <c r="HV690" s="0"/>
      <c r="HW690" s="0"/>
      <c r="HX690" s="0"/>
      <c r="HY690" s="0"/>
      <c r="HZ690" s="0"/>
      <c r="IA690" s="0"/>
      <c r="IB690" s="0"/>
      <c r="IC690" s="0"/>
      <c r="ID690" s="0"/>
      <c r="IE690" s="0"/>
      <c r="IF690" s="0"/>
      <c r="IG690" s="0"/>
      <c r="IH690" s="0"/>
      <c r="II690" s="0"/>
      <c r="IJ690" s="0"/>
      <c r="IK690" s="0"/>
      <c r="IL690" s="0"/>
      <c r="IM690" s="0"/>
      <c r="IN690" s="0"/>
      <c r="IO690" s="0"/>
      <c r="IP690" s="0"/>
      <c r="IQ690" s="0"/>
      <c r="IR690" s="0"/>
      <c r="IS690" s="0"/>
      <c r="IT690" s="0"/>
      <c r="IU690" s="0"/>
      <c r="IV690" s="0"/>
    </row>
    <row r="691" customFormat="false" ht="20.1" hidden="false" customHeight="true" outlineLevel="0" collapsed="false">
      <c r="A691" s="1146" t="s">
        <v>531</v>
      </c>
      <c r="B691" s="927"/>
      <c r="C691" s="927"/>
      <c r="D691" s="935"/>
      <c r="E691" s="1048" t="s">
        <v>254</v>
      </c>
      <c r="F691" s="1015" t="s">
        <v>1467</v>
      </c>
      <c r="G691" s="1147"/>
      <c r="H691" s="1147"/>
      <c r="I691" s="1147"/>
      <c r="J691" s="1147"/>
      <c r="K691" s="866"/>
      <c r="L691" s="877"/>
      <c r="M691" s="1023"/>
      <c r="Q691" s="55"/>
      <c r="R691" s="55"/>
      <c r="S691" s="55"/>
      <c r="T691" s="0"/>
      <c r="U691" s="0"/>
      <c r="V691" s="0"/>
      <c r="W691" s="0"/>
      <c r="X691" s="0"/>
      <c r="Y691" s="0"/>
      <c r="Z691" s="0"/>
      <c r="AA691" s="0"/>
      <c r="AB691" s="0"/>
      <c r="AC691" s="0"/>
      <c r="AD691" s="0"/>
      <c r="AE691" s="0"/>
      <c r="AF691" s="0"/>
      <c r="AG691" s="0"/>
      <c r="AH691" s="0"/>
      <c r="AI691" s="0"/>
      <c r="AJ691" s="0"/>
      <c r="AK691" s="0"/>
      <c r="AL691" s="0"/>
      <c r="AM691" s="0"/>
      <c r="AN691" s="0"/>
      <c r="AO691" s="0"/>
      <c r="AP691" s="0"/>
      <c r="AQ691" s="0"/>
      <c r="AR691" s="0"/>
      <c r="AS691" s="0"/>
      <c r="AT691" s="0"/>
      <c r="AU691" s="0"/>
      <c r="AV691" s="0"/>
      <c r="BR691" s="0"/>
      <c r="BS691" s="0"/>
      <c r="BT691" s="0"/>
      <c r="BU691" s="0"/>
      <c r="BV691" s="0"/>
      <c r="BW691" s="0"/>
      <c r="BX691" s="0"/>
      <c r="BY691" s="0"/>
      <c r="BZ691" s="0"/>
      <c r="CA691" s="0"/>
      <c r="CB691" s="0"/>
      <c r="CC691" s="0"/>
      <c r="CD691" s="0"/>
      <c r="CE691" s="0"/>
      <c r="CF691" s="0"/>
      <c r="CG691" s="0"/>
      <c r="CH691" s="0"/>
      <c r="CI691" s="0"/>
      <c r="CJ691" s="0"/>
      <c r="CK691" s="0"/>
      <c r="CL691" s="0"/>
      <c r="CM691" s="0"/>
      <c r="CN691" s="0"/>
      <c r="CO691" s="0"/>
      <c r="CP691" s="0"/>
      <c r="CQ691" s="0"/>
      <c r="CR691" s="0"/>
      <c r="CS691" s="0"/>
      <c r="CT691" s="0"/>
      <c r="CU691" s="0"/>
      <c r="CV691" s="0"/>
      <c r="CW691" s="0"/>
      <c r="CX691" s="0"/>
      <c r="CY691" s="0"/>
      <c r="CZ691" s="0"/>
      <c r="DA691" s="0"/>
      <c r="DB691" s="0"/>
      <c r="DC691" s="0"/>
      <c r="DD691" s="0"/>
      <c r="DE691" s="0"/>
      <c r="DF691" s="0"/>
      <c r="DG691" s="0"/>
      <c r="DH691" s="0"/>
      <c r="DI691" s="0"/>
      <c r="DJ691" s="0"/>
      <c r="DK691" s="0"/>
      <c r="DL691" s="0"/>
      <c r="DM691" s="0"/>
      <c r="DN691" s="0"/>
      <c r="DO691" s="0"/>
      <c r="DP691" s="0"/>
      <c r="DQ691" s="0"/>
      <c r="DR691" s="0"/>
      <c r="DS691" s="0"/>
      <c r="DT691" s="0"/>
      <c r="DU691" s="0"/>
      <c r="DV691" s="0"/>
      <c r="DW691" s="0"/>
      <c r="DX691" s="0"/>
      <c r="DY691" s="0"/>
      <c r="DZ691" s="0"/>
      <c r="EA691" s="0"/>
      <c r="EB691" s="0"/>
      <c r="EC691" s="0"/>
      <c r="ED691" s="0"/>
      <c r="EE691" s="0"/>
      <c r="EF691" s="0"/>
      <c r="EG691" s="0"/>
      <c r="EH691" s="0"/>
      <c r="EI691" s="0"/>
      <c r="EJ691" s="0"/>
      <c r="EK691" s="0"/>
      <c r="EL691" s="0"/>
      <c r="EM691" s="0"/>
      <c r="EN691" s="0"/>
      <c r="EO691" s="0"/>
      <c r="EP691" s="0"/>
      <c r="EQ691" s="0"/>
      <c r="ER691" s="0"/>
      <c r="ES691" s="0"/>
      <c r="ET691" s="0"/>
      <c r="EU691" s="0"/>
      <c r="EV691" s="0"/>
      <c r="EW691" s="0"/>
      <c r="EX691" s="0"/>
      <c r="EY691" s="0"/>
      <c r="EZ691" s="0"/>
      <c r="FA691" s="0"/>
      <c r="FB691" s="0"/>
      <c r="FC691" s="0"/>
      <c r="FD691" s="0"/>
      <c r="FE691" s="0"/>
      <c r="FF691" s="0"/>
      <c r="FG691" s="0"/>
      <c r="FH691" s="0"/>
      <c r="FI691" s="0"/>
      <c r="FJ691" s="0"/>
      <c r="FK691" s="0"/>
      <c r="FL691" s="0"/>
      <c r="FM691" s="0"/>
      <c r="FN691" s="0"/>
      <c r="FO691" s="0"/>
      <c r="FP691" s="0"/>
      <c r="FQ691" s="0"/>
      <c r="FR691" s="0"/>
      <c r="FS691" s="0"/>
      <c r="FT691" s="0"/>
      <c r="FU691" s="0"/>
      <c r="FV691" s="0"/>
      <c r="FW691" s="0"/>
      <c r="FX691" s="0"/>
      <c r="FY691" s="0"/>
      <c r="FZ691" s="0"/>
      <c r="GA691" s="0"/>
      <c r="GB691" s="0"/>
      <c r="GC691" s="0"/>
      <c r="GD691" s="0"/>
      <c r="GE691" s="0"/>
      <c r="GF691" s="0"/>
      <c r="GG691" s="0"/>
      <c r="GH691" s="0"/>
      <c r="GI691" s="0"/>
      <c r="GJ691" s="0"/>
      <c r="GK691" s="0"/>
      <c r="GL691" s="0"/>
      <c r="GM691" s="0"/>
      <c r="GN691" s="0"/>
      <c r="GO691" s="0"/>
      <c r="GP691" s="0"/>
      <c r="GQ691" s="0"/>
      <c r="GR691" s="0"/>
      <c r="GS691" s="0"/>
      <c r="GT691" s="0"/>
      <c r="GU691" s="0"/>
      <c r="GV691" s="0"/>
      <c r="GW691" s="0"/>
      <c r="GX691" s="0"/>
      <c r="GY691" s="0"/>
      <c r="GZ691" s="0"/>
      <c r="HA691" s="0"/>
      <c r="HB691" s="0"/>
      <c r="HC691" s="0"/>
      <c r="HD691" s="0"/>
      <c r="HE691" s="0"/>
      <c r="HF691" s="0"/>
      <c r="HG691" s="0"/>
      <c r="HH691" s="0"/>
      <c r="HI691" s="0"/>
      <c r="HJ691" s="0"/>
      <c r="HK691" s="0"/>
      <c r="HL691" s="0"/>
      <c r="HM691" s="0"/>
      <c r="HN691" s="0"/>
      <c r="HO691" s="0"/>
      <c r="HP691" s="0"/>
      <c r="HQ691" s="0"/>
      <c r="HR691" s="0"/>
      <c r="HS691" s="0"/>
      <c r="HT691" s="0"/>
      <c r="HU691" s="0"/>
      <c r="HV691" s="0"/>
      <c r="HW691" s="0"/>
      <c r="HX691" s="0"/>
      <c r="HY691" s="0"/>
      <c r="HZ691" s="0"/>
      <c r="IA691" s="0"/>
      <c r="IB691" s="0"/>
      <c r="IC691" s="0"/>
      <c r="ID691" s="0"/>
      <c r="IE691" s="0"/>
      <c r="IF691" s="0"/>
      <c r="IG691" s="0"/>
      <c r="IH691" s="0"/>
      <c r="II691" s="0"/>
      <c r="IJ691" s="0"/>
      <c r="IK691" s="0"/>
      <c r="IL691" s="0"/>
      <c r="IM691" s="0"/>
      <c r="IN691" s="0"/>
      <c r="IO691" s="0"/>
      <c r="IP691" s="0"/>
      <c r="IQ691" s="0"/>
      <c r="IR691" s="0"/>
      <c r="IS691" s="0"/>
      <c r="IT691" s="0"/>
      <c r="IU691" s="0"/>
      <c r="IV691" s="0"/>
    </row>
    <row r="692" customFormat="false" ht="20.1" hidden="false" customHeight="true" outlineLevel="0" collapsed="false">
      <c r="A692" s="1148" t="s">
        <v>1468</v>
      </c>
      <c r="B692" s="1148"/>
      <c r="C692" s="1148"/>
      <c r="D692" s="1148"/>
      <c r="E692" s="1148"/>
      <c r="F692" s="19"/>
      <c r="G692" s="1147"/>
      <c r="H692" s="1147"/>
      <c r="I692" s="1147"/>
      <c r="J692" s="1147"/>
      <c r="K692" s="866"/>
      <c r="L692" s="877"/>
      <c r="M692" s="1023"/>
      <c r="Q692" s="55"/>
      <c r="R692" s="55"/>
      <c r="S692" s="55"/>
      <c r="T692" s="0"/>
      <c r="U692" s="0"/>
      <c r="V692" s="0"/>
      <c r="W692" s="0"/>
      <c r="X692" s="0"/>
      <c r="Y692" s="0"/>
      <c r="Z692" s="0"/>
      <c r="AA692" s="0"/>
      <c r="AB692" s="0"/>
      <c r="AC692" s="0"/>
      <c r="AD692" s="0"/>
      <c r="AE692" s="0"/>
      <c r="AF692" s="0"/>
      <c r="AG692" s="0"/>
      <c r="AH692" s="0"/>
      <c r="AI692" s="0"/>
      <c r="AJ692" s="0"/>
      <c r="AK692" s="0"/>
      <c r="AL692" s="0"/>
      <c r="AM692" s="0"/>
      <c r="AN692" s="0"/>
      <c r="AO692" s="0"/>
      <c r="AP692" s="0"/>
      <c r="AQ692" s="0"/>
      <c r="AR692" s="0"/>
      <c r="AS692" s="0"/>
      <c r="AT692" s="0"/>
      <c r="AU692" s="0"/>
      <c r="AV692" s="0"/>
      <c r="BR692" s="0"/>
      <c r="BS692" s="0"/>
      <c r="BT692" s="0"/>
      <c r="BU692" s="0"/>
      <c r="BV692" s="0"/>
      <c r="BW692" s="0"/>
      <c r="BX692" s="0"/>
      <c r="BY692" s="0"/>
      <c r="BZ692" s="0"/>
      <c r="CA692" s="0"/>
      <c r="CB692" s="0"/>
      <c r="CC692" s="0"/>
      <c r="CD692" s="0"/>
      <c r="CE692" s="0"/>
      <c r="CF692" s="0"/>
      <c r="CG692" s="0"/>
      <c r="CH692" s="0"/>
      <c r="CI692" s="0"/>
      <c r="CJ692" s="0"/>
      <c r="CK692" s="0"/>
      <c r="CL692" s="0"/>
      <c r="CM692" s="0"/>
      <c r="CN692" s="0"/>
      <c r="CO692" s="0"/>
      <c r="CP692" s="0"/>
      <c r="CQ692" s="0"/>
      <c r="CR692" s="0"/>
      <c r="CS692" s="0"/>
      <c r="CT692" s="0"/>
      <c r="CU692" s="0"/>
      <c r="CV692" s="0"/>
      <c r="CW692" s="0"/>
      <c r="CX692" s="0"/>
      <c r="CY692" s="0"/>
      <c r="CZ692" s="0"/>
      <c r="DA692" s="0"/>
      <c r="DB692" s="0"/>
      <c r="DC692" s="0"/>
      <c r="DD692" s="0"/>
      <c r="DE692" s="0"/>
      <c r="DF692" s="0"/>
      <c r="DG692" s="0"/>
      <c r="DH692" s="0"/>
      <c r="DI692" s="0"/>
      <c r="DJ692" s="0"/>
      <c r="DK692" s="0"/>
      <c r="DL692" s="0"/>
      <c r="DM692" s="0"/>
      <c r="DN692" s="0"/>
      <c r="DO692" s="0"/>
      <c r="DP692" s="0"/>
      <c r="DQ692" s="0"/>
      <c r="DR692" s="0"/>
      <c r="DS692" s="0"/>
      <c r="DT692" s="0"/>
      <c r="DU692" s="0"/>
      <c r="DV692" s="0"/>
      <c r="DW692" s="0"/>
      <c r="DX692" s="0"/>
      <c r="DY692" s="0"/>
      <c r="DZ692" s="0"/>
      <c r="EA692" s="0"/>
      <c r="EB692" s="0"/>
      <c r="EC692" s="0"/>
      <c r="ED692" s="0"/>
      <c r="EE692" s="0"/>
      <c r="EF692" s="0"/>
      <c r="EG692" s="0"/>
      <c r="EH692" s="0"/>
      <c r="EI692" s="0"/>
      <c r="EJ692" s="0"/>
      <c r="EK692" s="0"/>
      <c r="EL692" s="0"/>
      <c r="EM692" s="0"/>
      <c r="EN692" s="0"/>
      <c r="EO692" s="0"/>
      <c r="EP692" s="0"/>
      <c r="EQ692" s="0"/>
      <c r="ER692" s="0"/>
      <c r="ES692" s="0"/>
      <c r="ET692" s="0"/>
      <c r="EU692" s="0"/>
      <c r="EV692" s="0"/>
      <c r="EW692" s="0"/>
      <c r="EX692" s="0"/>
      <c r="EY692" s="0"/>
      <c r="EZ692" s="0"/>
      <c r="FA692" s="0"/>
      <c r="FB692" s="0"/>
      <c r="FC692" s="0"/>
      <c r="FD692" s="0"/>
      <c r="FE692" s="0"/>
      <c r="FF692" s="0"/>
      <c r="FG692" s="0"/>
      <c r="FH692" s="0"/>
      <c r="FI692" s="0"/>
      <c r="FJ692" s="0"/>
      <c r="FK692" s="0"/>
      <c r="FL692" s="0"/>
      <c r="FM692" s="0"/>
      <c r="FN692" s="0"/>
      <c r="FO692" s="0"/>
      <c r="FP692" s="0"/>
      <c r="FQ692" s="0"/>
      <c r="FR692" s="0"/>
      <c r="FS692" s="0"/>
      <c r="FT692" s="0"/>
      <c r="FU692" s="0"/>
      <c r="FV692" s="0"/>
      <c r="FW692" s="0"/>
      <c r="FX692" s="0"/>
      <c r="FY692" s="0"/>
      <c r="FZ692" s="0"/>
      <c r="GA692" s="0"/>
      <c r="GB692" s="0"/>
      <c r="GC692" s="0"/>
      <c r="GD692" s="0"/>
      <c r="GE692" s="0"/>
      <c r="GF692" s="0"/>
      <c r="GG692" s="0"/>
      <c r="GH692" s="0"/>
      <c r="GI692" s="0"/>
      <c r="GJ692" s="0"/>
      <c r="GK692" s="0"/>
      <c r="GL692" s="0"/>
      <c r="GM692" s="0"/>
      <c r="GN692" s="0"/>
      <c r="GO692" s="0"/>
      <c r="GP692" s="0"/>
      <c r="GQ692" s="0"/>
      <c r="GR692" s="0"/>
      <c r="GS692" s="0"/>
      <c r="GT692" s="0"/>
      <c r="GU692" s="0"/>
      <c r="GV692" s="0"/>
      <c r="GW692" s="0"/>
      <c r="GX692" s="0"/>
      <c r="GY692" s="0"/>
      <c r="GZ692" s="0"/>
      <c r="HA692" s="0"/>
      <c r="HB692" s="0"/>
      <c r="HC692" s="0"/>
      <c r="HD692" s="0"/>
      <c r="HE692" s="0"/>
      <c r="HF692" s="0"/>
      <c r="HG692" s="0"/>
      <c r="HH692" s="0"/>
      <c r="HI692" s="0"/>
      <c r="HJ692" s="0"/>
      <c r="HK692" s="0"/>
      <c r="HL692" s="0"/>
      <c r="HM692" s="0"/>
      <c r="HN692" s="0"/>
      <c r="HO692" s="0"/>
      <c r="HP692" s="0"/>
      <c r="HQ692" s="0"/>
      <c r="HR692" s="0"/>
      <c r="HS692" s="0"/>
      <c r="HT692" s="0"/>
      <c r="HU692" s="0"/>
      <c r="HV692" s="0"/>
      <c r="HW692" s="0"/>
      <c r="HX692" s="0"/>
      <c r="HY692" s="0"/>
      <c r="HZ692" s="0"/>
      <c r="IA692" s="0"/>
      <c r="IB692" s="0"/>
      <c r="IC692" s="0"/>
      <c r="ID692" s="0"/>
      <c r="IE692" s="0"/>
      <c r="IF692" s="0"/>
      <c r="IG692" s="0"/>
      <c r="IH692" s="0"/>
      <c r="II692" s="0"/>
      <c r="IJ692" s="0"/>
      <c r="IK692" s="0"/>
      <c r="IL692" s="0"/>
      <c r="IM692" s="0"/>
      <c r="IN692" s="0"/>
      <c r="IO692" s="0"/>
      <c r="IP692" s="0"/>
      <c r="IQ692" s="0"/>
      <c r="IR692" s="0"/>
      <c r="IS692" s="0"/>
      <c r="IT692" s="0"/>
      <c r="IU692" s="0"/>
      <c r="IV692" s="0"/>
    </row>
    <row r="693" customFormat="false" ht="20.1" hidden="false" customHeight="true" outlineLevel="0" collapsed="false">
      <c r="A693" s="1148"/>
      <c r="B693" s="1148"/>
      <c r="C693" s="1148"/>
      <c r="D693" s="1148"/>
      <c r="E693" s="1148"/>
      <c r="F693" s="19"/>
      <c r="G693" s="1147"/>
      <c r="H693" s="1147"/>
      <c r="I693" s="1147"/>
      <c r="J693" s="1147"/>
      <c r="K693" s="866"/>
      <c r="L693" s="877"/>
      <c r="M693" s="1023"/>
      <c r="Q693" s="55"/>
      <c r="R693" s="55"/>
      <c r="S693" s="55"/>
      <c r="T693" s="0"/>
      <c r="U693" s="0"/>
      <c r="V693" s="0"/>
      <c r="W693" s="0"/>
      <c r="X693" s="0"/>
      <c r="Y693" s="0"/>
      <c r="Z693" s="0"/>
      <c r="AA693" s="0"/>
      <c r="AB693" s="0"/>
      <c r="AC693" s="0"/>
      <c r="AD693" s="0"/>
      <c r="AE693" s="0"/>
      <c r="AF693" s="0"/>
      <c r="AG693" s="0"/>
      <c r="AH693" s="0"/>
      <c r="AI693" s="0"/>
      <c r="AJ693" s="0"/>
      <c r="AK693" s="0"/>
      <c r="AL693" s="0"/>
      <c r="AM693" s="0"/>
      <c r="AN693" s="0"/>
      <c r="AO693" s="0"/>
      <c r="AP693" s="0"/>
      <c r="AQ693" s="0"/>
      <c r="AR693" s="0"/>
      <c r="AS693" s="0"/>
      <c r="AT693" s="0"/>
      <c r="AU693" s="0"/>
      <c r="AV693" s="0"/>
      <c r="BR693" s="0"/>
      <c r="BS693" s="0"/>
      <c r="BT693" s="0"/>
      <c r="BU693" s="0"/>
      <c r="BV693" s="0"/>
      <c r="BW693" s="0"/>
      <c r="BX693" s="0"/>
      <c r="BY693" s="0"/>
      <c r="BZ693" s="0"/>
      <c r="CA693" s="0"/>
      <c r="CB693" s="0"/>
      <c r="CC693" s="0"/>
      <c r="CD693" s="0"/>
      <c r="CE693" s="0"/>
      <c r="CF693" s="0"/>
      <c r="CG693" s="0"/>
      <c r="CH693" s="0"/>
      <c r="CI693" s="0"/>
      <c r="CJ693" s="0"/>
      <c r="CK693" s="0"/>
      <c r="CL693" s="0"/>
      <c r="CM693" s="0"/>
      <c r="CN693" s="0"/>
      <c r="CO693" s="0"/>
      <c r="CP693" s="0"/>
      <c r="CQ693" s="0"/>
      <c r="CR693" s="0"/>
      <c r="CS693" s="0"/>
      <c r="CT693" s="0"/>
      <c r="CU693" s="0"/>
      <c r="CV693" s="0"/>
      <c r="CW693" s="0"/>
      <c r="CX693" s="0"/>
      <c r="CY693" s="0"/>
      <c r="CZ693" s="0"/>
      <c r="DA693" s="0"/>
      <c r="DB693" s="0"/>
      <c r="DC693" s="0"/>
      <c r="DD693" s="0"/>
      <c r="DE693" s="0"/>
      <c r="DF693" s="0"/>
      <c r="DG693" s="0"/>
      <c r="DH693" s="0"/>
      <c r="DI693" s="0"/>
      <c r="DJ693" s="0"/>
      <c r="DK693" s="0"/>
      <c r="DL693" s="0"/>
      <c r="DM693" s="0"/>
      <c r="DN693" s="0"/>
      <c r="DO693" s="0"/>
      <c r="DP693" s="0"/>
      <c r="DQ693" s="0"/>
      <c r="DR693" s="0"/>
      <c r="DS693" s="0"/>
      <c r="DT693" s="0"/>
      <c r="DU693" s="0"/>
      <c r="DV693" s="0"/>
      <c r="DW693" s="0"/>
      <c r="DX693" s="0"/>
      <c r="DY693" s="0"/>
      <c r="DZ693" s="0"/>
      <c r="EA693" s="0"/>
      <c r="EB693" s="0"/>
      <c r="EC693" s="0"/>
      <c r="ED693" s="0"/>
      <c r="EE693" s="0"/>
      <c r="EF693" s="0"/>
      <c r="EG693" s="0"/>
      <c r="EH693" s="0"/>
      <c r="EI693" s="0"/>
      <c r="EJ693" s="0"/>
      <c r="EK693" s="0"/>
      <c r="EL693" s="0"/>
      <c r="EM693" s="0"/>
      <c r="EN693" s="0"/>
      <c r="EO693" s="0"/>
      <c r="EP693" s="0"/>
      <c r="EQ693" s="0"/>
      <c r="ER693" s="0"/>
      <c r="ES693" s="0"/>
      <c r="ET693" s="0"/>
      <c r="EU693" s="0"/>
      <c r="EV693" s="0"/>
      <c r="EW693" s="0"/>
      <c r="EX693" s="0"/>
      <c r="EY693" s="0"/>
      <c r="EZ693" s="0"/>
      <c r="FA693" s="0"/>
      <c r="FB693" s="0"/>
      <c r="FC693" s="0"/>
      <c r="FD693" s="0"/>
      <c r="FE693" s="0"/>
      <c r="FF693" s="0"/>
      <c r="FG693" s="0"/>
      <c r="FH693" s="0"/>
      <c r="FI693" s="0"/>
      <c r="FJ693" s="0"/>
      <c r="FK693" s="0"/>
      <c r="FL693" s="0"/>
      <c r="FM693" s="0"/>
      <c r="FN693" s="0"/>
      <c r="FO693" s="0"/>
      <c r="FP693" s="0"/>
      <c r="FQ693" s="0"/>
      <c r="FR693" s="0"/>
      <c r="FS693" s="0"/>
      <c r="FT693" s="0"/>
      <c r="FU693" s="0"/>
      <c r="FV693" s="0"/>
      <c r="FW693" s="0"/>
      <c r="FX693" s="0"/>
      <c r="FY693" s="0"/>
      <c r="FZ693" s="0"/>
      <c r="GA693" s="0"/>
      <c r="GB693" s="0"/>
      <c r="GC693" s="0"/>
      <c r="GD693" s="0"/>
      <c r="GE693" s="0"/>
      <c r="GF693" s="0"/>
      <c r="GG693" s="0"/>
      <c r="GH693" s="0"/>
      <c r="GI693" s="0"/>
      <c r="GJ693" s="0"/>
      <c r="GK693" s="0"/>
      <c r="GL693" s="0"/>
      <c r="GM693" s="0"/>
      <c r="GN693" s="0"/>
      <c r="GO693" s="0"/>
      <c r="GP693" s="0"/>
      <c r="GQ693" s="0"/>
      <c r="GR693" s="0"/>
      <c r="GS693" s="0"/>
      <c r="GT693" s="0"/>
      <c r="GU693" s="0"/>
      <c r="GV693" s="0"/>
      <c r="GW693" s="0"/>
      <c r="GX693" s="0"/>
      <c r="GY693" s="0"/>
      <c r="GZ693" s="0"/>
      <c r="HA693" s="0"/>
      <c r="HB693" s="0"/>
      <c r="HC693" s="0"/>
      <c r="HD693" s="0"/>
      <c r="HE693" s="0"/>
      <c r="HF693" s="0"/>
      <c r="HG693" s="0"/>
      <c r="HH693" s="0"/>
      <c r="HI693" s="0"/>
      <c r="HJ693" s="0"/>
      <c r="HK693" s="0"/>
      <c r="HL693" s="0"/>
      <c r="HM693" s="0"/>
      <c r="HN693" s="0"/>
      <c r="HO693" s="0"/>
      <c r="HP693" s="0"/>
      <c r="HQ693" s="0"/>
      <c r="HR693" s="0"/>
      <c r="HS693" s="0"/>
      <c r="HT693" s="0"/>
      <c r="HU693" s="0"/>
      <c r="HV693" s="0"/>
      <c r="HW693" s="0"/>
      <c r="HX693" s="0"/>
      <c r="HY693" s="0"/>
      <c r="HZ693" s="0"/>
      <c r="IA693" s="0"/>
      <c r="IB693" s="0"/>
      <c r="IC693" s="0"/>
      <c r="ID693" s="0"/>
      <c r="IE693" s="0"/>
      <c r="IF693" s="0"/>
      <c r="IG693" s="0"/>
      <c r="IH693" s="0"/>
      <c r="II693" s="0"/>
      <c r="IJ693" s="0"/>
      <c r="IK693" s="0"/>
      <c r="IL693" s="0"/>
      <c r="IM693" s="0"/>
      <c r="IN693" s="0"/>
      <c r="IO693" s="0"/>
      <c r="IP693" s="0"/>
      <c r="IQ693" s="0"/>
      <c r="IR693" s="0"/>
      <c r="IS693" s="0"/>
      <c r="IT693" s="0"/>
      <c r="IU693" s="0"/>
      <c r="IV693" s="0"/>
    </row>
    <row r="694" customFormat="false" ht="20.1" hidden="false" customHeight="true" outlineLevel="0" collapsed="false">
      <c r="A694" s="454"/>
      <c r="B694" s="620"/>
      <c r="C694" s="620"/>
      <c r="D694" s="879"/>
      <c r="E694" s="879"/>
      <c r="F694" s="19"/>
      <c r="G694" s="14"/>
      <c r="H694" s="1046"/>
      <c r="I694" s="55"/>
      <c r="J694" s="667"/>
      <c r="K694" s="903"/>
      <c r="L694" s="877"/>
      <c r="M694" s="1023"/>
      <c r="Q694" s="55"/>
      <c r="R694" s="55"/>
      <c r="S694" s="55"/>
      <c r="T694" s="0"/>
      <c r="U694" s="0"/>
      <c r="V694" s="0"/>
      <c r="W694" s="0"/>
      <c r="X694" s="0"/>
      <c r="Y694" s="0"/>
      <c r="Z694" s="0"/>
      <c r="AA694" s="0"/>
      <c r="AB694" s="0"/>
      <c r="AC694" s="0"/>
      <c r="AD694" s="0"/>
      <c r="AE694" s="0"/>
      <c r="AF694" s="0"/>
      <c r="AG694" s="0"/>
      <c r="AH694" s="0"/>
      <c r="AI694" s="0"/>
      <c r="AJ694" s="0"/>
      <c r="AK694" s="0"/>
      <c r="AL694" s="0"/>
      <c r="AM694" s="0"/>
      <c r="AN694" s="0"/>
      <c r="AO694" s="0"/>
      <c r="AP694" s="0"/>
      <c r="AQ694" s="0"/>
      <c r="AR694" s="0"/>
      <c r="AS694" s="0"/>
      <c r="AT694" s="0"/>
      <c r="AU694" s="0"/>
      <c r="AV694" s="0"/>
      <c r="BR694" s="0"/>
      <c r="BS694" s="0"/>
      <c r="BT694" s="0"/>
      <c r="BU694" s="0"/>
      <c r="BV694" s="0"/>
      <c r="BW694" s="0"/>
      <c r="BX694" s="0"/>
      <c r="BY694" s="0"/>
      <c r="BZ694" s="0"/>
      <c r="CA694" s="0"/>
      <c r="CB694" s="0"/>
      <c r="CC694" s="0"/>
      <c r="CD694" s="0"/>
      <c r="CE694" s="0"/>
      <c r="CF694" s="0"/>
      <c r="CG694" s="0"/>
      <c r="CH694" s="0"/>
      <c r="CI694" s="0"/>
      <c r="CJ694" s="0"/>
      <c r="CK694" s="0"/>
      <c r="CL694" s="0"/>
      <c r="CM694" s="0"/>
      <c r="CN694" s="0"/>
      <c r="CO694" s="0"/>
      <c r="CP694" s="0"/>
      <c r="CQ694" s="0"/>
      <c r="CR694" s="0"/>
      <c r="CS694" s="0"/>
      <c r="CT694" s="0"/>
      <c r="CU694" s="0"/>
      <c r="CV694" s="0"/>
      <c r="CW694" s="0"/>
      <c r="CX694" s="0"/>
      <c r="CY694" s="0"/>
      <c r="CZ694" s="0"/>
      <c r="DA694" s="0"/>
      <c r="DB694" s="0"/>
      <c r="DC694" s="0"/>
      <c r="DD694" s="0"/>
      <c r="DE694" s="0"/>
      <c r="DF694" s="0"/>
      <c r="DG694" s="0"/>
      <c r="DH694" s="0"/>
      <c r="DI694" s="0"/>
      <c r="DJ694" s="0"/>
      <c r="DK694" s="0"/>
      <c r="DL694" s="0"/>
      <c r="DM694" s="0"/>
      <c r="DN694" s="0"/>
      <c r="DO694" s="0"/>
      <c r="DP694" s="0"/>
      <c r="DQ694" s="0"/>
      <c r="DR694" s="0"/>
      <c r="DS694" s="0"/>
      <c r="DT694" s="0"/>
      <c r="DU694" s="0"/>
      <c r="DV694" s="0"/>
      <c r="DW694" s="0"/>
      <c r="DX694" s="0"/>
      <c r="DY694" s="0"/>
      <c r="DZ694" s="0"/>
      <c r="EA694" s="0"/>
      <c r="EB694" s="0"/>
      <c r="EC694" s="0"/>
      <c r="ED694" s="0"/>
      <c r="EE694" s="0"/>
      <c r="EF694" s="0"/>
      <c r="EG694" s="0"/>
      <c r="EH694" s="0"/>
      <c r="EI694" s="0"/>
      <c r="EJ694" s="0"/>
      <c r="EK694" s="0"/>
      <c r="EL694" s="0"/>
      <c r="EM694" s="0"/>
      <c r="EN694" s="0"/>
      <c r="EO694" s="0"/>
      <c r="EP694" s="0"/>
      <c r="EQ694" s="0"/>
      <c r="ER694" s="0"/>
      <c r="ES694" s="0"/>
      <c r="ET694" s="0"/>
      <c r="EU694" s="0"/>
      <c r="EV694" s="0"/>
      <c r="EW694" s="0"/>
      <c r="EX694" s="0"/>
      <c r="EY694" s="0"/>
      <c r="EZ694" s="0"/>
      <c r="FA694" s="0"/>
      <c r="FB694" s="0"/>
      <c r="FC694" s="0"/>
      <c r="FD694" s="0"/>
      <c r="FE694" s="0"/>
      <c r="FF694" s="0"/>
      <c r="FG694" s="0"/>
      <c r="FH694" s="0"/>
      <c r="FI694" s="0"/>
      <c r="FJ694" s="0"/>
      <c r="FK694" s="0"/>
      <c r="FL694" s="0"/>
      <c r="FM694" s="0"/>
      <c r="FN694" s="0"/>
      <c r="FO694" s="0"/>
      <c r="FP694" s="0"/>
      <c r="FQ694" s="0"/>
      <c r="FR694" s="0"/>
      <c r="FS694" s="0"/>
      <c r="FT694" s="0"/>
      <c r="FU694" s="0"/>
      <c r="FV694" s="0"/>
      <c r="FW694" s="0"/>
      <c r="FX694" s="0"/>
      <c r="FY694" s="0"/>
      <c r="FZ694" s="0"/>
      <c r="GA694" s="0"/>
      <c r="GB694" s="0"/>
      <c r="GC694" s="0"/>
      <c r="GD694" s="0"/>
      <c r="GE694" s="0"/>
      <c r="GF694" s="0"/>
      <c r="GG694" s="0"/>
      <c r="GH694" s="0"/>
      <c r="GI694" s="0"/>
      <c r="GJ694" s="0"/>
      <c r="GK694" s="0"/>
      <c r="GL694" s="0"/>
      <c r="GM694" s="0"/>
      <c r="GN694" s="0"/>
      <c r="GO694" s="0"/>
      <c r="GP694" s="0"/>
      <c r="GQ694" s="0"/>
      <c r="GR694" s="0"/>
      <c r="GS694" s="0"/>
      <c r="GT694" s="0"/>
      <c r="GU694" s="0"/>
      <c r="GV694" s="0"/>
      <c r="GW694" s="0"/>
      <c r="GX694" s="0"/>
      <c r="GY694" s="0"/>
      <c r="GZ694" s="0"/>
      <c r="HA694" s="0"/>
      <c r="HB694" s="0"/>
      <c r="HC694" s="0"/>
      <c r="HD694" s="0"/>
      <c r="HE694" s="0"/>
      <c r="HF694" s="0"/>
      <c r="HG694" s="0"/>
      <c r="HH694" s="0"/>
      <c r="HI694" s="0"/>
      <c r="HJ694" s="0"/>
      <c r="HK694" s="0"/>
      <c r="HL694" s="0"/>
      <c r="HM694" s="0"/>
      <c r="HN694" s="0"/>
      <c r="HO694" s="0"/>
      <c r="HP694" s="0"/>
      <c r="HQ694" s="0"/>
      <c r="HR694" s="0"/>
      <c r="HS694" s="0"/>
      <c r="HT694" s="0"/>
      <c r="HU694" s="0"/>
      <c r="HV694" s="0"/>
      <c r="HW694" s="0"/>
      <c r="HX694" s="0"/>
      <c r="HY694" s="0"/>
      <c r="HZ694" s="0"/>
      <c r="IA694" s="0"/>
      <c r="IB694" s="0"/>
      <c r="IC694" s="0"/>
      <c r="ID694" s="0"/>
      <c r="IE694" s="0"/>
      <c r="IF694" s="0"/>
      <c r="IG694" s="0"/>
      <c r="IH694" s="0"/>
      <c r="II694" s="0"/>
      <c r="IJ694" s="0"/>
      <c r="IK694" s="0"/>
      <c r="IL694" s="0"/>
      <c r="IM694" s="0"/>
      <c r="IN694" s="0"/>
      <c r="IO694" s="0"/>
      <c r="IP694" s="0"/>
      <c r="IQ694" s="0"/>
      <c r="IR694" s="0"/>
      <c r="IS694" s="0"/>
      <c r="IT694" s="0"/>
      <c r="IU694" s="0"/>
      <c r="IV694" s="0"/>
    </row>
    <row r="695" customFormat="false" ht="20.1" hidden="false" customHeight="true" outlineLevel="0" collapsed="false">
      <c r="A695" s="28"/>
      <c r="B695" s="28"/>
      <c r="C695" s="935"/>
      <c r="D695" s="935"/>
      <c r="E695" s="1024"/>
      <c r="F695" s="19"/>
      <c r="G695" s="1024"/>
      <c r="H695" s="19"/>
      <c r="I695" s="1022"/>
      <c r="J695" s="620"/>
      <c r="M695" s="1023"/>
      <c r="Q695" s="55"/>
      <c r="R695" s="55"/>
      <c r="S695" s="55"/>
      <c r="T695" s="0"/>
      <c r="U695" s="0"/>
      <c r="V695" s="0"/>
      <c r="W695" s="0"/>
      <c r="X695" s="0"/>
      <c r="Y695" s="0"/>
      <c r="Z695" s="0"/>
      <c r="AA695" s="0"/>
      <c r="AB695" s="0"/>
      <c r="AC695" s="0"/>
      <c r="AD695" s="0"/>
      <c r="AE695" s="0"/>
      <c r="AF695" s="0"/>
      <c r="AG695" s="0"/>
      <c r="AH695" s="0"/>
      <c r="AI695" s="0"/>
      <c r="AJ695" s="0"/>
      <c r="AK695" s="0"/>
      <c r="AL695" s="0"/>
      <c r="AM695" s="0"/>
      <c r="AN695" s="0"/>
      <c r="AO695" s="0"/>
      <c r="AP695" s="0"/>
      <c r="AQ695" s="0"/>
      <c r="AR695" s="0"/>
      <c r="AS695" s="0"/>
      <c r="AT695" s="0"/>
      <c r="AU695" s="0"/>
      <c r="AV695" s="0"/>
      <c r="BR695" s="0"/>
      <c r="BS695" s="0"/>
      <c r="BT695" s="0"/>
      <c r="BU695" s="0"/>
      <c r="BV695" s="0"/>
      <c r="BW695" s="0"/>
      <c r="BX695" s="0"/>
      <c r="BY695" s="0"/>
      <c r="BZ695" s="0"/>
      <c r="CA695" s="0"/>
      <c r="CB695" s="0"/>
      <c r="CC695" s="0"/>
      <c r="CD695" s="0"/>
      <c r="CE695" s="0"/>
      <c r="CF695" s="0"/>
      <c r="CG695" s="0"/>
      <c r="CH695" s="0"/>
      <c r="CI695" s="0"/>
      <c r="CJ695" s="0"/>
      <c r="CK695" s="0"/>
      <c r="CL695" s="0"/>
      <c r="CM695" s="0"/>
      <c r="CN695" s="0"/>
      <c r="CO695" s="0"/>
      <c r="CP695" s="0"/>
      <c r="CQ695" s="0"/>
      <c r="CR695" s="0"/>
      <c r="CS695" s="0"/>
      <c r="CT695" s="0"/>
      <c r="CU695" s="0"/>
      <c r="CV695" s="0"/>
      <c r="CW695" s="0"/>
      <c r="CX695" s="0"/>
      <c r="CY695" s="0"/>
      <c r="CZ695" s="0"/>
      <c r="DA695" s="0"/>
      <c r="DB695" s="0"/>
      <c r="DC695" s="0"/>
      <c r="DD695" s="0"/>
      <c r="DE695" s="0"/>
      <c r="DF695" s="0"/>
      <c r="DG695" s="0"/>
      <c r="DH695" s="0"/>
      <c r="DI695" s="0"/>
      <c r="DJ695" s="0"/>
      <c r="DK695" s="0"/>
      <c r="DL695" s="0"/>
      <c r="DM695" s="0"/>
      <c r="DN695" s="0"/>
      <c r="DO695" s="0"/>
      <c r="DP695" s="0"/>
      <c r="DQ695" s="0"/>
      <c r="DR695" s="0"/>
      <c r="DS695" s="0"/>
      <c r="DT695" s="0"/>
      <c r="DU695" s="0"/>
      <c r="DV695" s="0"/>
      <c r="DW695" s="0"/>
      <c r="DX695" s="0"/>
      <c r="DY695" s="0"/>
      <c r="DZ695" s="0"/>
      <c r="EA695" s="0"/>
      <c r="EB695" s="0"/>
      <c r="EC695" s="0"/>
      <c r="ED695" s="0"/>
      <c r="EE695" s="0"/>
      <c r="EF695" s="0"/>
      <c r="EG695" s="0"/>
      <c r="EH695" s="0"/>
      <c r="EI695" s="0"/>
      <c r="EJ695" s="0"/>
      <c r="EK695" s="0"/>
      <c r="EL695" s="0"/>
      <c r="EM695" s="0"/>
      <c r="EN695" s="0"/>
      <c r="EO695" s="0"/>
      <c r="EP695" s="0"/>
      <c r="EQ695" s="0"/>
      <c r="ER695" s="0"/>
      <c r="ES695" s="0"/>
      <c r="ET695" s="0"/>
      <c r="EU695" s="0"/>
      <c r="EV695" s="0"/>
      <c r="EW695" s="0"/>
      <c r="EX695" s="0"/>
      <c r="EY695" s="0"/>
      <c r="EZ695" s="0"/>
      <c r="FA695" s="0"/>
      <c r="FB695" s="0"/>
      <c r="FC695" s="0"/>
      <c r="FD695" s="0"/>
      <c r="FE695" s="0"/>
      <c r="FF695" s="0"/>
      <c r="FG695" s="0"/>
      <c r="FH695" s="0"/>
      <c r="FI695" s="0"/>
      <c r="FJ695" s="0"/>
      <c r="FK695" s="0"/>
      <c r="FL695" s="0"/>
      <c r="FM695" s="0"/>
      <c r="FN695" s="0"/>
      <c r="FO695" s="0"/>
      <c r="FP695" s="0"/>
      <c r="FQ695" s="0"/>
      <c r="FR695" s="0"/>
      <c r="FS695" s="0"/>
      <c r="FT695" s="0"/>
      <c r="FU695" s="0"/>
      <c r="FV695" s="0"/>
      <c r="FW695" s="0"/>
      <c r="FX695" s="0"/>
      <c r="FY695" s="0"/>
      <c r="FZ695" s="0"/>
      <c r="GA695" s="0"/>
      <c r="GB695" s="0"/>
      <c r="GC695" s="0"/>
      <c r="GD695" s="0"/>
      <c r="GE695" s="0"/>
      <c r="GF695" s="0"/>
      <c r="GG695" s="0"/>
      <c r="GH695" s="0"/>
      <c r="GI695" s="0"/>
      <c r="GJ695" s="0"/>
      <c r="GK695" s="0"/>
      <c r="GL695" s="0"/>
      <c r="GM695" s="0"/>
      <c r="GN695" s="0"/>
      <c r="GO695" s="0"/>
      <c r="GP695" s="0"/>
      <c r="GQ695" s="0"/>
      <c r="GR695" s="0"/>
      <c r="GS695" s="0"/>
      <c r="GT695" s="0"/>
      <c r="GU695" s="0"/>
      <c r="GV695" s="0"/>
      <c r="GW695" s="0"/>
      <c r="GX695" s="0"/>
      <c r="GY695" s="0"/>
      <c r="GZ695" s="0"/>
      <c r="HA695" s="0"/>
      <c r="HB695" s="0"/>
      <c r="HC695" s="0"/>
      <c r="HD695" s="0"/>
      <c r="HE695" s="0"/>
      <c r="HF695" s="0"/>
      <c r="HG695" s="0"/>
      <c r="HH695" s="0"/>
      <c r="HI695" s="0"/>
      <c r="HJ695" s="0"/>
      <c r="HK695" s="0"/>
      <c r="HL695" s="0"/>
      <c r="HM695" s="0"/>
      <c r="HN695" s="0"/>
      <c r="HO695" s="0"/>
      <c r="HP695" s="0"/>
      <c r="HQ695" s="0"/>
      <c r="HR695" s="0"/>
      <c r="HS695" s="0"/>
      <c r="HT695" s="0"/>
      <c r="HU695" s="0"/>
      <c r="HV695" s="0"/>
      <c r="HW695" s="0"/>
      <c r="HX695" s="0"/>
      <c r="HY695" s="0"/>
      <c r="HZ695" s="0"/>
      <c r="IA695" s="0"/>
      <c r="IB695" s="0"/>
      <c r="IC695" s="0"/>
      <c r="ID695" s="0"/>
      <c r="IE695" s="0"/>
      <c r="IF695" s="0"/>
      <c r="IG695" s="0"/>
      <c r="IH695" s="0"/>
      <c r="II695" s="0"/>
      <c r="IJ695" s="0"/>
      <c r="IK695" s="0"/>
      <c r="IL695" s="0"/>
      <c r="IM695" s="0"/>
      <c r="IN695" s="0"/>
      <c r="IO695" s="0"/>
      <c r="IP695" s="0"/>
      <c r="IQ695" s="0"/>
      <c r="IR695" s="0"/>
      <c r="IS695" s="0"/>
      <c r="IT695" s="0"/>
      <c r="IU695" s="0"/>
      <c r="IV695" s="0"/>
    </row>
    <row r="696" customFormat="false" ht="20.1" hidden="false" customHeight="true" outlineLevel="0" collapsed="false">
      <c r="A696" s="869" t="s">
        <v>1469</v>
      </c>
      <c r="B696" s="869"/>
      <c r="C696" s="869"/>
      <c r="D696" s="869"/>
      <c r="E696" s="869"/>
      <c r="F696" s="869"/>
      <c r="G696" s="869"/>
      <c r="H696" s="53"/>
      <c r="I696" s="53"/>
      <c r="J696" s="53"/>
      <c r="K696" s="870"/>
      <c r="L696" s="871" t="s">
        <v>1470</v>
      </c>
      <c r="M696" s="0"/>
      <c r="Q696" s="55"/>
      <c r="R696" s="55"/>
      <c r="S696" s="55"/>
      <c r="T696" s="0"/>
      <c r="U696" s="0"/>
      <c r="V696" s="0"/>
      <c r="W696" s="0"/>
      <c r="X696" s="0"/>
      <c r="Y696" s="0"/>
      <c r="Z696" s="0"/>
      <c r="AA696" s="0"/>
      <c r="AB696" s="0"/>
      <c r="AC696" s="0"/>
      <c r="AD696" s="0"/>
      <c r="AE696" s="0"/>
      <c r="AF696" s="0"/>
      <c r="AG696" s="0"/>
      <c r="AH696" s="0"/>
      <c r="AI696" s="0"/>
      <c r="AJ696" s="0"/>
      <c r="AK696" s="0"/>
      <c r="AL696" s="0"/>
      <c r="AM696" s="0"/>
      <c r="AN696" s="0"/>
      <c r="AO696" s="0"/>
      <c r="AP696" s="0"/>
      <c r="AQ696" s="0"/>
      <c r="AR696" s="0"/>
      <c r="AS696" s="0"/>
      <c r="AT696" s="0"/>
      <c r="AU696" s="0"/>
      <c r="AV696" s="0"/>
      <c r="BR696" s="0"/>
      <c r="BS696" s="0"/>
      <c r="BT696" s="0"/>
      <c r="BU696" s="0"/>
      <c r="BV696" s="0"/>
      <c r="BW696" s="0"/>
      <c r="BX696" s="0"/>
      <c r="BY696" s="0"/>
      <c r="BZ696" s="0"/>
      <c r="CA696" s="0"/>
      <c r="CB696" s="0"/>
      <c r="CC696" s="0"/>
      <c r="CD696" s="0"/>
      <c r="CE696" s="0"/>
      <c r="CF696" s="0"/>
      <c r="CG696" s="0"/>
      <c r="CH696" s="0"/>
      <c r="CI696" s="0"/>
      <c r="CJ696" s="0"/>
      <c r="CK696" s="0"/>
      <c r="CL696" s="0"/>
      <c r="CM696" s="0"/>
      <c r="CN696" s="0"/>
      <c r="CO696" s="0"/>
      <c r="CP696" s="0"/>
      <c r="CQ696" s="0"/>
      <c r="CR696" s="0"/>
      <c r="CS696" s="0"/>
      <c r="CT696" s="0"/>
      <c r="CU696" s="0"/>
      <c r="CV696" s="0"/>
      <c r="CW696" s="0"/>
      <c r="CX696" s="0"/>
      <c r="CY696" s="0"/>
      <c r="CZ696" s="0"/>
      <c r="DA696" s="0"/>
      <c r="DB696" s="0"/>
      <c r="DC696" s="0"/>
      <c r="DD696" s="0"/>
      <c r="DE696" s="0"/>
      <c r="DF696" s="0"/>
      <c r="DG696" s="0"/>
      <c r="DH696" s="0"/>
      <c r="DI696" s="0"/>
      <c r="DJ696" s="0"/>
      <c r="DK696" s="0"/>
      <c r="DL696" s="0"/>
      <c r="DM696" s="0"/>
      <c r="DN696" s="0"/>
      <c r="DO696" s="0"/>
      <c r="DP696" s="0"/>
      <c r="DQ696" s="0"/>
      <c r="DR696" s="0"/>
      <c r="DS696" s="0"/>
      <c r="DT696" s="0"/>
      <c r="DU696" s="0"/>
      <c r="DV696" s="0"/>
      <c r="DW696" s="0"/>
      <c r="DX696" s="0"/>
      <c r="DY696" s="0"/>
      <c r="DZ696" s="0"/>
      <c r="EA696" s="0"/>
      <c r="EB696" s="0"/>
      <c r="EC696" s="0"/>
      <c r="ED696" s="0"/>
      <c r="EE696" s="0"/>
      <c r="EF696" s="0"/>
      <c r="EG696" s="0"/>
      <c r="EH696" s="0"/>
      <c r="EI696" s="0"/>
      <c r="EJ696" s="0"/>
      <c r="EK696" s="0"/>
      <c r="EL696" s="0"/>
      <c r="EM696" s="0"/>
      <c r="EN696" s="0"/>
      <c r="EO696" s="0"/>
      <c r="EP696" s="0"/>
      <c r="EQ696" s="0"/>
      <c r="ER696" s="0"/>
      <c r="ES696" s="0"/>
      <c r="ET696" s="0"/>
      <c r="EU696" s="0"/>
      <c r="EV696" s="0"/>
      <c r="EW696" s="0"/>
      <c r="EX696" s="0"/>
      <c r="EY696" s="0"/>
      <c r="EZ696" s="0"/>
      <c r="FA696" s="0"/>
      <c r="FB696" s="0"/>
      <c r="FC696" s="0"/>
      <c r="FD696" s="0"/>
      <c r="FE696" s="0"/>
      <c r="FF696" s="0"/>
      <c r="FG696" s="0"/>
      <c r="FH696" s="0"/>
      <c r="FI696" s="0"/>
      <c r="FJ696" s="0"/>
      <c r="FK696" s="0"/>
      <c r="FL696" s="0"/>
      <c r="FM696" s="0"/>
      <c r="FN696" s="0"/>
      <c r="FO696" s="0"/>
      <c r="FP696" s="0"/>
      <c r="FQ696" s="0"/>
      <c r="FR696" s="0"/>
      <c r="FS696" s="0"/>
      <c r="FT696" s="0"/>
      <c r="FU696" s="0"/>
      <c r="FV696" s="0"/>
      <c r="FW696" s="0"/>
      <c r="FX696" s="0"/>
      <c r="FY696" s="0"/>
      <c r="FZ696" s="0"/>
      <c r="GA696" s="0"/>
      <c r="GB696" s="0"/>
      <c r="GC696" s="0"/>
      <c r="GD696" s="0"/>
      <c r="GE696" s="0"/>
      <c r="GF696" s="0"/>
      <c r="GG696" s="0"/>
      <c r="GH696" s="0"/>
      <c r="GI696" s="0"/>
      <c r="GJ696" s="0"/>
      <c r="GK696" s="0"/>
      <c r="GL696" s="0"/>
      <c r="GM696" s="0"/>
      <c r="GN696" s="0"/>
      <c r="GO696" s="0"/>
      <c r="GP696" s="0"/>
      <c r="GQ696" s="0"/>
      <c r="GR696" s="0"/>
      <c r="GS696" s="0"/>
      <c r="GT696" s="0"/>
      <c r="GU696" s="0"/>
      <c r="GV696" s="0"/>
      <c r="GW696" s="0"/>
      <c r="GX696" s="0"/>
      <c r="GY696" s="0"/>
      <c r="GZ696" s="0"/>
      <c r="HA696" s="0"/>
      <c r="HB696" s="0"/>
      <c r="HC696" s="0"/>
      <c r="HD696" s="0"/>
      <c r="HE696" s="0"/>
      <c r="HF696" s="0"/>
      <c r="HG696" s="0"/>
      <c r="HH696" s="0"/>
      <c r="HI696" s="0"/>
      <c r="HJ696" s="0"/>
      <c r="HK696" s="0"/>
      <c r="HL696" s="0"/>
      <c r="HM696" s="0"/>
      <c r="HN696" s="0"/>
      <c r="HO696" s="0"/>
      <c r="HP696" s="0"/>
      <c r="HQ696" s="0"/>
      <c r="HR696" s="0"/>
      <c r="HS696" s="0"/>
      <c r="HT696" s="0"/>
      <c r="HU696" s="0"/>
      <c r="HV696" s="0"/>
      <c r="HW696" s="0"/>
      <c r="HX696" s="0"/>
      <c r="HY696" s="0"/>
      <c r="HZ696" s="0"/>
      <c r="IA696" s="0"/>
      <c r="IB696" s="0"/>
      <c r="IC696" s="0"/>
      <c r="ID696" s="0"/>
      <c r="IE696" s="0"/>
      <c r="IF696" s="0"/>
      <c r="IG696" s="0"/>
      <c r="IH696" s="0"/>
      <c r="II696" s="0"/>
      <c r="IJ696" s="0"/>
      <c r="IK696" s="0"/>
      <c r="IL696" s="0"/>
      <c r="IM696" s="0"/>
      <c r="IN696" s="0"/>
      <c r="IO696" s="0"/>
      <c r="IP696" s="0"/>
      <c r="IQ696" s="0"/>
      <c r="IR696" s="0"/>
      <c r="IS696" s="0"/>
      <c r="IT696" s="0"/>
      <c r="IU696" s="0"/>
      <c r="IV696" s="0"/>
    </row>
    <row r="697" customFormat="false" ht="20.1" hidden="false" customHeight="true" outlineLevel="0" collapsed="false">
      <c r="A697" s="1005"/>
      <c r="B697" s="1005"/>
      <c r="C697" s="1005"/>
      <c r="D697" s="1005"/>
      <c r="E697" s="1005"/>
      <c r="F697" s="1005"/>
      <c r="G697" s="409"/>
      <c r="H697" s="410"/>
      <c r="I697" s="411"/>
      <c r="J697" s="412"/>
      <c r="K697" s="866"/>
      <c r="L697" s="868"/>
      <c r="M697" s="0"/>
      <c r="Q697" s="55"/>
      <c r="R697" s="55"/>
      <c r="S697" s="55"/>
      <c r="T697" s="0"/>
      <c r="U697" s="0"/>
      <c r="V697" s="0"/>
      <c r="W697" s="0"/>
      <c r="X697" s="0"/>
      <c r="Y697" s="0"/>
      <c r="Z697" s="0"/>
      <c r="AA697" s="0"/>
      <c r="AB697" s="0"/>
      <c r="AC697" s="0"/>
      <c r="AD697" s="0"/>
      <c r="AE697" s="0"/>
      <c r="AF697" s="0"/>
      <c r="AG697" s="0"/>
      <c r="AH697" s="0"/>
      <c r="AI697" s="0"/>
      <c r="AJ697" s="0"/>
      <c r="AK697" s="0"/>
      <c r="AL697" s="0"/>
      <c r="AM697" s="0"/>
      <c r="AN697" s="0"/>
      <c r="AO697" s="0"/>
      <c r="AP697" s="0"/>
      <c r="AQ697" s="0"/>
      <c r="AR697" s="0"/>
      <c r="AS697" s="0"/>
      <c r="AT697" s="0"/>
      <c r="AU697" s="0"/>
      <c r="AV697" s="0"/>
      <c r="BR697" s="0"/>
      <c r="BS697" s="0"/>
      <c r="BT697" s="0"/>
      <c r="BU697" s="0"/>
      <c r="BV697" s="0"/>
      <c r="BW697" s="0"/>
      <c r="BX697" s="0"/>
      <c r="BY697" s="0"/>
      <c r="BZ697" s="0"/>
      <c r="CA697" s="0"/>
      <c r="CB697" s="0"/>
      <c r="CC697" s="0"/>
      <c r="CD697" s="0"/>
      <c r="CE697" s="0"/>
      <c r="CF697" s="0"/>
      <c r="CG697" s="0"/>
      <c r="CH697" s="0"/>
      <c r="CI697" s="0"/>
      <c r="CJ697" s="0"/>
      <c r="CK697" s="0"/>
      <c r="CL697" s="0"/>
      <c r="CM697" s="0"/>
      <c r="CN697" s="0"/>
      <c r="CO697" s="0"/>
      <c r="CP697" s="0"/>
      <c r="CQ697" s="0"/>
      <c r="CR697" s="0"/>
      <c r="CS697" s="0"/>
      <c r="CT697" s="0"/>
      <c r="CU697" s="0"/>
      <c r="CV697" s="0"/>
      <c r="CW697" s="0"/>
      <c r="CX697" s="0"/>
      <c r="CY697" s="0"/>
      <c r="CZ697" s="0"/>
      <c r="DA697" s="0"/>
      <c r="DB697" s="0"/>
      <c r="DC697" s="0"/>
      <c r="DD697" s="0"/>
      <c r="DE697" s="0"/>
      <c r="DF697" s="0"/>
      <c r="DG697" s="0"/>
      <c r="DH697" s="0"/>
      <c r="DI697" s="0"/>
      <c r="DJ697" s="0"/>
      <c r="DK697" s="0"/>
      <c r="DL697" s="0"/>
      <c r="DM697" s="0"/>
      <c r="DN697" s="0"/>
      <c r="DO697" s="0"/>
      <c r="DP697" s="0"/>
      <c r="DQ697" s="0"/>
      <c r="DR697" s="0"/>
      <c r="DS697" s="0"/>
      <c r="DT697" s="0"/>
      <c r="DU697" s="0"/>
      <c r="DV697" s="0"/>
      <c r="DW697" s="0"/>
      <c r="DX697" s="0"/>
      <c r="DY697" s="0"/>
      <c r="DZ697" s="0"/>
      <c r="EA697" s="0"/>
      <c r="EB697" s="0"/>
      <c r="EC697" s="0"/>
      <c r="ED697" s="0"/>
      <c r="EE697" s="0"/>
      <c r="EF697" s="0"/>
      <c r="EG697" s="0"/>
      <c r="EH697" s="0"/>
      <c r="EI697" s="0"/>
      <c r="EJ697" s="0"/>
      <c r="EK697" s="0"/>
      <c r="EL697" s="0"/>
      <c r="EM697" s="0"/>
      <c r="EN697" s="0"/>
      <c r="EO697" s="0"/>
      <c r="EP697" s="0"/>
      <c r="EQ697" s="0"/>
      <c r="ER697" s="0"/>
      <c r="ES697" s="0"/>
      <c r="ET697" s="0"/>
      <c r="EU697" s="0"/>
      <c r="EV697" s="0"/>
      <c r="EW697" s="0"/>
      <c r="EX697" s="0"/>
      <c r="EY697" s="0"/>
      <c r="EZ697" s="0"/>
      <c r="FA697" s="0"/>
      <c r="FB697" s="0"/>
      <c r="FC697" s="0"/>
      <c r="FD697" s="0"/>
      <c r="FE697" s="0"/>
      <c r="FF697" s="0"/>
      <c r="FG697" s="0"/>
      <c r="FH697" s="0"/>
      <c r="FI697" s="0"/>
      <c r="FJ697" s="0"/>
      <c r="FK697" s="0"/>
      <c r="FL697" s="0"/>
      <c r="FM697" s="0"/>
      <c r="FN697" s="0"/>
      <c r="FO697" s="0"/>
      <c r="FP697" s="0"/>
      <c r="FQ697" s="0"/>
      <c r="FR697" s="0"/>
      <c r="FS697" s="0"/>
      <c r="FT697" s="0"/>
      <c r="FU697" s="0"/>
      <c r="FV697" s="0"/>
      <c r="FW697" s="0"/>
      <c r="FX697" s="0"/>
      <c r="FY697" s="0"/>
      <c r="FZ697" s="0"/>
      <c r="GA697" s="0"/>
      <c r="GB697" s="0"/>
      <c r="GC697" s="0"/>
      <c r="GD697" s="0"/>
      <c r="GE697" s="0"/>
      <c r="GF697" s="0"/>
      <c r="GG697" s="0"/>
      <c r="GH697" s="0"/>
      <c r="GI697" s="0"/>
      <c r="GJ697" s="0"/>
      <c r="GK697" s="0"/>
      <c r="GL697" s="0"/>
      <c r="GM697" s="0"/>
      <c r="GN697" s="0"/>
      <c r="GO697" s="0"/>
      <c r="GP697" s="0"/>
      <c r="GQ697" s="0"/>
      <c r="GR697" s="0"/>
      <c r="GS697" s="0"/>
      <c r="GT697" s="0"/>
      <c r="GU697" s="0"/>
      <c r="GV697" s="0"/>
      <c r="GW697" s="0"/>
      <c r="GX697" s="0"/>
      <c r="GY697" s="0"/>
      <c r="GZ697" s="0"/>
      <c r="HA697" s="0"/>
      <c r="HB697" s="0"/>
      <c r="HC697" s="0"/>
      <c r="HD697" s="0"/>
      <c r="HE697" s="0"/>
      <c r="HF697" s="0"/>
      <c r="HG697" s="0"/>
      <c r="HH697" s="0"/>
      <c r="HI697" s="0"/>
      <c r="HJ697" s="0"/>
      <c r="HK697" s="0"/>
      <c r="HL697" s="0"/>
      <c r="HM697" s="0"/>
      <c r="HN697" s="0"/>
      <c r="HO697" s="0"/>
      <c r="HP697" s="0"/>
      <c r="HQ697" s="0"/>
      <c r="HR697" s="0"/>
      <c r="HS697" s="0"/>
      <c r="HT697" s="0"/>
      <c r="HU697" s="0"/>
      <c r="HV697" s="0"/>
      <c r="HW697" s="0"/>
      <c r="HX697" s="0"/>
      <c r="HY697" s="0"/>
      <c r="HZ697" s="0"/>
      <c r="IA697" s="0"/>
      <c r="IB697" s="0"/>
      <c r="IC697" s="0"/>
      <c r="ID697" s="0"/>
      <c r="IE697" s="0"/>
      <c r="IF697" s="0"/>
      <c r="IG697" s="0"/>
      <c r="IH697" s="0"/>
      <c r="II697" s="0"/>
      <c r="IJ697" s="0"/>
      <c r="IK697" s="0"/>
      <c r="IL697" s="0"/>
      <c r="IM697" s="0"/>
      <c r="IN697" s="0"/>
      <c r="IO697" s="0"/>
      <c r="IP697" s="0"/>
      <c r="IQ697" s="0"/>
      <c r="IR697" s="0"/>
      <c r="IS697" s="0"/>
      <c r="IT697" s="0"/>
      <c r="IU697" s="0"/>
      <c r="IV697" s="0"/>
    </row>
    <row r="698" customFormat="false" ht="20.1" hidden="false" customHeight="true" outlineLevel="0" collapsed="false">
      <c r="A698" s="433" t="s">
        <v>1471</v>
      </c>
      <c r="B698" s="433"/>
      <c r="C698" s="433"/>
      <c r="D698" s="1149" t="s">
        <v>1472</v>
      </c>
      <c r="E698" s="1149"/>
      <c r="F698" s="1026"/>
      <c r="G698" s="409"/>
      <c r="H698" s="410"/>
      <c r="I698" s="411"/>
      <c r="J698" s="412"/>
      <c r="K698" s="866"/>
      <c r="L698" s="868"/>
      <c r="M698" s="0"/>
      <c r="Q698" s="55"/>
      <c r="R698" s="55"/>
      <c r="S698" s="55"/>
      <c r="T698" s="0"/>
      <c r="U698" s="0"/>
      <c r="V698" s="0"/>
      <c r="W698" s="0"/>
      <c r="X698" s="0"/>
      <c r="Y698" s="0"/>
      <c r="Z698" s="0"/>
      <c r="AA698" s="0"/>
      <c r="AB698" s="0"/>
      <c r="AC698" s="0"/>
      <c r="AD698" s="0"/>
      <c r="AE698" s="0"/>
      <c r="AF698" s="0"/>
      <c r="AG698" s="0"/>
      <c r="AH698" s="0"/>
      <c r="AI698" s="0"/>
      <c r="AJ698" s="0"/>
      <c r="AK698" s="0"/>
      <c r="AL698" s="0"/>
      <c r="AM698" s="0"/>
      <c r="AN698" s="0"/>
      <c r="AO698" s="0"/>
      <c r="AP698" s="0"/>
      <c r="AQ698" s="0"/>
      <c r="AR698" s="0"/>
      <c r="AS698" s="0"/>
      <c r="AT698" s="0"/>
      <c r="AU698" s="0"/>
      <c r="AV698" s="0"/>
      <c r="BR698" s="0"/>
      <c r="BS698" s="0"/>
      <c r="BT698" s="0"/>
      <c r="BU698" s="0"/>
      <c r="BV698" s="0"/>
      <c r="BW698" s="0"/>
      <c r="BX698" s="0"/>
      <c r="BY698" s="0"/>
      <c r="BZ698" s="0"/>
      <c r="CA698" s="0"/>
      <c r="CB698" s="0"/>
      <c r="CC698" s="0"/>
      <c r="CD698" s="0"/>
      <c r="CE698" s="0"/>
      <c r="CF698" s="0"/>
      <c r="CG698" s="0"/>
      <c r="CH698" s="0"/>
      <c r="CI698" s="0"/>
      <c r="CJ698" s="0"/>
      <c r="CK698" s="0"/>
      <c r="CL698" s="0"/>
      <c r="CM698" s="0"/>
      <c r="CN698" s="0"/>
      <c r="CO698" s="0"/>
      <c r="CP698" s="0"/>
      <c r="CQ698" s="0"/>
      <c r="CR698" s="0"/>
      <c r="CS698" s="0"/>
      <c r="CT698" s="0"/>
      <c r="CU698" s="0"/>
      <c r="CV698" s="0"/>
      <c r="CW698" s="0"/>
      <c r="CX698" s="0"/>
      <c r="CY698" s="0"/>
      <c r="CZ698" s="0"/>
      <c r="DA698" s="0"/>
      <c r="DB698" s="0"/>
      <c r="DC698" s="0"/>
      <c r="DD698" s="0"/>
      <c r="DE698" s="0"/>
      <c r="DF698" s="0"/>
      <c r="DG698" s="0"/>
      <c r="DH698" s="0"/>
      <c r="DI698" s="0"/>
      <c r="DJ698" s="0"/>
      <c r="DK698" s="0"/>
      <c r="DL698" s="0"/>
      <c r="DM698" s="0"/>
      <c r="DN698" s="0"/>
      <c r="DO698" s="0"/>
      <c r="DP698" s="0"/>
      <c r="DQ698" s="0"/>
      <c r="DR698" s="0"/>
      <c r="DS698" s="0"/>
      <c r="DT698" s="0"/>
      <c r="DU698" s="0"/>
      <c r="DV698" s="0"/>
      <c r="DW698" s="0"/>
      <c r="DX698" s="0"/>
      <c r="DY698" s="0"/>
      <c r="DZ698" s="0"/>
      <c r="EA698" s="0"/>
      <c r="EB698" s="0"/>
      <c r="EC698" s="0"/>
      <c r="ED698" s="0"/>
      <c r="EE698" s="0"/>
      <c r="EF698" s="0"/>
      <c r="EG698" s="0"/>
      <c r="EH698" s="0"/>
      <c r="EI698" s="0"/>
      <c r="EJ698" s="0"/>
      <c r="EK698" s="0"/>
      <c r="EL698" s="0"/>
      <c r="EM698" s="0"/>
      <c r="EN698" s="0"/>
      <c r="EO698" s="0"/>
      <c r="EP698" s="0"/>
      <c r="EQ698" s="0"/>
      <c r="ER698" s="0"/>
      <c r="ES698" s="0"/>
      <c r="ET698" s="0"/>
      <c r="EU698" s="0"/>
      <c r="EV698" s="0"/>
      <c r="EW698" s="0"/>
      <c r="EX698" s="0"/>
      <c r="EY698" s="0"/>
      <c r="EZ698" s="0"/>
      <c r="FA698" s="0"/>
      <c r="FB698" s="0"/>
      <c r="FC698" s="0"/>
      <c r="FD698" s="0"/>
      <c r="FE698" s="0"/>
      <c r="FF698" s="0"/>
      <c r="FG698" s="0"/>
      <c r="FH698" s="0"/>
      <c r="FI698" s="0"/>
      <c r="FJ698" s="0"/>
      <c r="FK698" s="0"/>
      <c r="FL698" s="0"/>
      <c r="FM698" s="0"/>
      <c r="FN698" s="0"/>
      <c r="FO698" s="0"/>
      <c r="FP698" s="0"/>
      <c r="FQ698" s="0"/>
      <c r="FR698" s="0"/>
      <c r="FS698" s="0"/>
      <c r="FT698" s="0"/>
      <c r="FU698" s="0"/>
      <c r="FV698" s="0"/>
      <c r="FW698" s="0"/>
      <c r="FX698" s="0"/>
      <c r="FY698" s="0"/>
      <c r="FZ698" s="0"/>
      <c r="GA698" s="0"/>
      <c r="GB698" s="0"/>
      <c r="GC698" s="0"/>
      <c r="GD698" s="0"/>
      <c r="GE698" s="0"/>
      <c r="GF698" s="0"/>
      <c r="GG698" s="0"/>
      <c r="GH698" s="0"/>
      <c r="GI698" s="0"/>
      <c r="GJ698" s="0"/>
      <c r="GK698" s="0"/>
      <c r="GL698" s="0"/>
      <c r="GM698" s="0"/>
      <c r="GN698" s="0"/>
      <c r="GO698" s="0"/>
      <c r="GP698" s="0"/>
      <c r="GQ698" s="0"/>
      <c r="GR698" s="0"/>
      <c r="GS698" s="0"/>
      <c r="GT698" s="0"/>
      <c r="GU698" s="0"/>
      <c r="GV698" s="0"/>
      <c r="GW698" s="0"/>
      <c r="GX698" s="0"/>
      <c r="GY698" s="0"/>
      <c r="GZ698" s="0"/>
      <c r="HA698" s="0"/>
      <c r="HB698" s="0"/>
      <c r="HC698" s="0"/>
      <c r="HD698" s="0"/>
      <c r="HE698" s="0"/>
      <c r="HF698" s="0"/>
      <c r="HG698" s="0"/>
      <c r="HH698" s="0"/>
      <c r="HI698" s="0"/>
      <c r="HJ698" s="0"/>
      <c r="HK698" s="0"/>
      <c r="HL698" s="0"/>
      <c r="HM698" s="0"/>
      <c r="HN698" s="0"/>
      <c r="HO698" s="0"/>
      <c r="HP698" s="0"/>
      <c r="HQ698" s="0"/>
      <c r="HR698" s="0"/>
      <c r="HS698" s="0"/>
      <c r="HT698" s="0"/>
      <c r="HU698" s="0"/>
      <c r="HV698" s="0"/>
      <c r="HW698" s="0"/>
      <c r="HX698" s="0"/>
      <c r="HY698" s="0"/>
      <c r="HZ698" s="0"/>
      <c r="IA698" s="0"/>
      <c r="IB698" s="0"/>
      <c r="IC698" s="0"/>
      <c r="ID698" s="0"/>
      <c r="IE698" s="0"/>
      <c r="IF698" s="0"/>
      <c r="IG698" s="0"/>
      <c r="IH698" s="0"/>
      <c r="II698" s="0"/>
      <c r="IJ698" s="0"/>
      <c r="IK698" s="0"/>
      <c r="IL698" s="0"/>
      <c r="IM698" s="0"/>
      <c r="IN698" s="0"/>
      <c r="IO698" s="0"/>
      <c r="IP698" s="0"/>
      <c r="IQ698" s="0"/>
      <c r="IR698" s="0"/>
      <c r="IS698" s="0"/>
      <c r="IT698" s="0"/>
      <c r="IU698" s="0"/>
      <c r="IV698" s="0"/>
    </row>
    <row r="699" customFormat="false" ht="20.1" hidden="false" customHeight="true" outlineLevel="0" collapsed="false">
      <c r="A699" s="1150" t="s">
        <v>1473</v>
      </c>
      <c r="B699" s="1150"/>
      <c r="C699" s="1150"/>
      <c r="D699" s="0"/>
      <c r="E699" s="0"/>
      <c r="F699" s="0"/>
      <c r="G699" s="409"/>
      <c r="H699" s="410"/>
      <c r="I699" s="411"/>
      <c r="J699" s="412"/>
      <c r="K699" s="866"/>
      <c r="L699" s="868" t="s">
        <v>1319</v>
      </c>
      <c r="M699" s="0"/>
      <c r="Q699" s="55"/>
      <c r="R699" s="55"/>
      <c r="S699" s="55"/>
      <c r="T699" s="0"/>
      <c r="U699" s="0"/>
      <c r="V699" s="0"/>
      <c r="W699" s="0"/>
      <c r="X699" s="0"/>
      <c r="Y699" s="0"/>
      <c r="Z699" s="0"/>
      <c r="AA699" s="0"/>
      <c r="AB699" s="0"/>
      <c r="AC699" s="0"/>
      <c r="AD699" s="0"/>
      <c r="AE699" s="0"/>
      <c r="AF699" s="0"/>
      <c r="AG699" s="0"/>
      <c r="AH699" s="0"/>
      <c r="AI699" s="0"/>
      <c r="AJ699" s="0"/>
      <c r="AK699" s="0"/>
      <c r="AL699" s="0"/>
      <c r="AM699" s="0"/>
      <c r="AN699" s="0"/>
      <c r="AO699" s="0"/>
      <c r="AP699" s="0"/>
      <c r="AQ699" s="0"/>
      <c r="AR699" s="0"/>
      <c r="AS699" s="0"/>
      <c r="AT699" s="0"/>
      <c r="AU699" s="0"/>
      <c r="AV699" s="0"/>
      <c r="BR699" s="0"/>
      <c r="BS699" s="0"/>
      <c r="BT699" s="0"/>
      <c r="BU699" s="0"/>
      <c r="BV699" s="0"/>
      <c r="BW699" s="0"/>
      <c r="BX699" s="0"/>
      <c r="BY699" s="0"/>
      <c r="BZ699" s="0"/>
      <c r="CA699" s="0"/>
      <c r="CB699" s="0"/>
      <c r="CC699" s="0"/>
      <c r="CD699" s="0"/>
      <c r="CE699" s="0"/>
      <c r="CF699" s="0"/>
      <c r="CG699" s="0"/>
      <c r="CH699" s="0"/>
      <c r="CI699" s="0"/>
      <c r="CJ699" s="0"/>
      <c r="CK699" s="0"/>
      <c r="CL699" s="0"/>
      <c r="CM699" s="0"/>
      <c r="CN699" s="0"/>
      <c r="CO699" s="0"/>
      <c r="CP699" s="0"/>
      <c r="CQ699" s="0"/>
      <c r="CR699" s="0"/>
      <c r="CS699" s="0"/>
      <c r="CT699" s="0"/>
      <c r="CU699" s="0"/>
      <c r="CV699" s="0"/>
      <c r="CW699" s="0"/>
      <c r="CX699" s="0"/>
      <c r="CY699" s="0"/>
      <c r="CZ699" s="0"/>
      <c r="DA699" s="0"/>
      <c r="DB699" s="0"/>
      <c r="DC699" s="0"/>
      <c r="DD699" s="0"/>
      <c r="DE699" s="0"/>
      <c r="DF699" s="0"/>
      <c r="DG699" s="0"/>
      <c r="DH699" s="0"/>
      <c r="DI699" s="0"/>
      <c r="DJ699" s="0"/>
      <c r="DK699" s="0"/>
      <c r="DL699" s="0"/>
      <c r="DM699" s="0"/>
      <c r="DN699" s="0"/>
      <c r="DO699" s="0"/>
      <c r="DP699" s="0"/>
      <c r="DQ699" s="0"/>
      <c r="DR699" s="0"/>
      <c r="DS699" s="0"/>
      <c r="DT699" s="0"/>
      <c r="DU699" s="0"/>
      <c r="DV699" s="0"/>
      <c r="DW699" s="0"/>
      <c r="DX699" s="0"/>
      <c r="DY699" s="0"/>
      <c r="DZ699" s="0"/>
      <c r="EA699" s="0"/>
      <c r="EB699" s="0"/>
      <c r="EC699" s="0"/>
      <c r="ED699" s="0"/>
      <c r="EE699" s="0"/>
      <c r="EF699" s="0"/>
      <c r="EG699" s="0"/>
      <c r="EH699" s="0"/>
      <c r="EI699" s="0"/>
      <c r="EJ699" s="0"/>
      <c r="EK699" s="0"/>
      <c r="EL699" s="0"/>
      <c r="EM699" s="0"/>
      <c r="EN699" s="0"/>
      <c r="EO699" s="0"/>
      <c r="EP699" s="0"/>
      <c r="EQ699" s="0"/>
      <c r="ER699" s="0"/>
      <c r="ES699" s="0"/>
      <c r="ET699" s="0"/>
      <c r="EU699" s="0"/>
      <c r="EV699" s="0"/>
      <c r="EW699" s="0"/>
      <c r="EX699" s="0"/>
      <c r="EY699" s="0"/>
      <c r="EZ699" s="0"/>
      <c r="FA699" s="0"/>
      <c r="FB699" s="0"/>
      <c r="FC699" s="0"/>
      <c r="FD699" s="0"/>
      <c r="FE699" s="0"/>
      <c r="FF699" s="0"/>
      <c r="FG699" s="0"/>
      <c r="FH699" s="0"/>
      <c r="FI699" s="0"/>
      <c r="FJ699" s="0"/>
      <c r="FK699" s="0"/>
      <c r="FL699" s="0"/>
      <c r="FM699" s="0"/>
      <c r="FN699" s="0"/>
      <c r="FO699" s="0"/>
      <c r="FP699" s="0"/>
      <c r="FQ699" s="0"/>
      <c r="FR699" s="0"/>
      <c r="FS699" s="0"/>
      <c r="FT699" s="0"/>
      <c r="FU699" s="0"/>
      <c r="FV699" s="0"/>
      <c r="FW699" s="0"/>
      <c r="FX699" s="0"/>
      <c r="FY699" s="0"/>
      <c r="FZ699" s="0"/>
      <c r="GA699" s="0"/>
      <c r="GB699" s="0"/>
      <c r="GC699" s="0"/>
      <c r="GD699" s="0"/>
      <c r="GE699" s="0"/>
      <c r="GF699" s="0"/>
      <c r="GG699" s="0"/>
      <c r="GH699" s="0"/>
      <c r="GI699" s="0"/>
      <c r="GJ699" s="0"/>
      <c r="GK699" s="0"/>
      <c r="GL699" s="0"/>
      <c r="GM699" s="0"/>
      <c r="GN699" s="0"/>
      <c r="GO699" s="0"/>
      <c r="GP699" s="0"/>
      <c r="GQ699" s="0"/>
      <c r="GR699" s="0"/>
      <c r="GS699" s="0"/>
      <c r="GT699" s="0"/>
      <c r="GU699" s="0"/>
      <c r="GV699" s="0"/>
      <c r="GW699" s="0"/>
      <c r="GX699" s="0"/>
      <c r="GY699" s="0"/>
      <c r="GZ699" s="0"/>
      <c r="HA699" s="0"/>
      <c r="HB699" s="0"/>
      <c r="HC699" s="0"/>
      <c r="HD699" s="0"/>
      <c r="HE699" s="0"/>
      <c r="HF699" s="0"/>
      <c r="HG699" s="0"/>
      <c r="HH699" s="0"/>
      <c r="HI699" s="0"/>
      <c r="HJ699" s="0"/>
      <c r="HK699" s="0"/>
      <c r="HL699" s="0"/>
      <c r="HM699" s="0"/>
      <c r="HN699" s="0"/>
      <c r="HO699" s="0"/>
      <c r="HP699" s="0"/>
      <c r="HQ699" s="0"/>
      <c r="HR699" s="0"/>
      <c r="HS699" s="0"/>
      <c r="HT699" s="0"/>
      <c r="HU699" s="0"/>
      <c r="HV699" s="0"/>
      <c r="HW699" s="0"/>
      <c r="HX699" s="0"/>
      <c r="HY699" s="0"/>
      <c r="HZ699" s="0"/>
      <c r="IA699" s="0"/>
      <c r="IB699" s="0"/>
      <c r="IC699" s="0"/>
      <c r="ID699" s="0"/>
      <c r="IE699" s="0"/>
      <c r="IF699" s="0"/>
      <c r="IG699" s="0"/>
      <c r="IH699" s="0"/>
      <c r="II699" s="0"/>
      <c r="IJ699" s="0"/>
      <c r="IK699" s="0"/>
      <c r="IL699" s="0"/>
      <c r="IM699" s="0"/>
      <c r="IN699" s="0"/>
      <c r="IO699" s="0"/>
      <c r="IP699" s="0"/>
      <c r="IQ699" s="0"/>
      <c r="IR699" s="0"/>
      <c r="IS699" s="0"/>
      <c r="IT699" s="0"/>
      <c r="IU699" s="0"/>
      <c r="IV699" s="0"/>
    </row>
    <row r="700" customFormat="false" ht="20.1" hidden="false" customHeight="true" outlineLevel="0" collapsed="false">
      <c r="A700" s="1151" t="s">
        <v>489</v>
      </c>
      <c r="B700" s="1151"/>
      <c r="C700" s="1151"/>
      <c r="D700" s="1048" t="s">
        <v>491</v>
      </c>
      <c r="E700" s="1146"/>
      <c r="F700" s="0"/>
      <c r="J700" s="11"/>
      <c r="K700" s="903"/>
      <c r="L700" s="877"/>
      <c r="M700" s="0"/>
      <c r="Q700" s="55"/>
      <c r="R700" s="55"/>
      <c r="S700" s="55"/>
      <c r="T700" s="0"/>
      <c r="U700" s="0"/>
      <c r="V700" s="0"/>
      <c r="W700" s="0"/>
      <c r="X700" s="0"/>
      <c r="Y700" s="0"/>
      <c r="Z700" s="0"/>
      <c r="AA700" s="0"/>
      <c r="AB700" s="0"/>
      <c r="AC700" s="0"/>
      <c r="AD700" s="0"/>
      <c r="AE700" s="0"/>
      <c r="AF700" s="0"/>
      <c r="AG700" s="0"/>
      <c r="AH700" s="0"/>
      <c r="AI700" s="0"/>
      <c r="AJ700" s="0"/>
      <c r="AK700" s="0"/>
      <c r="AL700" s="0"/>
      <c r="AM700" s="0"/>
      <c r="AN700" s="0"/>
      <c r="AO700" s="0"/>
      <c r="AP700" s="0"/>
      <c r="AQ700" s="0"/>
      <c r="AR700" s="0"/>
      <c r="AS700" s="0"/>
      <c r="AT700" s="0"/>
      <c r="AU700" s="0"/>
      <c r="AV700" s="0"/>
      <c r="BR700" s="0"/>
      <c r="BS700" s="0"/>
      <c r="BT700" s="0"/>
      <c r="BU700" s="0"/>
      <c r="BV700" s="0"/>
      <c r="BW700" s="0"/>
      <c r="BX700" s="0"/>
      <c r="BY700" s="0"/>
      <c r="BZ700" s="0"/>
      <c r="CA700" s="0"/>
      <c r="CB700" s="0"/>
      <c r="CC700" s="0"/>
      <c r="CD700" s="0"/>
      <c r="CE700" s="0"/>
      <c r="CF700" s="0"/>
      <c r="CG700" s="0"/>
      <c r="CH700" s="0"/>
      <c r="CI700" s="0"/>
      <c r="CJ700" s="0"/>
      <c r="CK700" s="0"/>
      <c r="CL700" s="0"/>
      <c r="CM700" s="0"/>
      <c r="CN700" s="0"/>
      <c r="CO700" s="0"/>
      <c r="CP700" s="0"/>
      <c r="CQ700" s="0"/>
      <c r="CR700" s="0"/>
      <c r="CS700" s="0"/>
      <c r="CT700" s="0"/>
      <c r="CU700" s="0"/>
      <c r="CV700" s="0"/>
      <c r="CW700" s="0"/>
      <c r="CX700" s="0"/>
      <c r="CY700" s="0"/>
      <c r="CZ700" s="0"/>
      <c r="DA700" s="0"/>
      <c r="DB700" s="0"/>
      <c r="DC700" s="0"/>
      <c r="DD700" s="0"/>
      <c r="DE700" s="0"/>
      <c r="DF700" s="0"/>
      <c r="DG700" s="0"/>
      <c r="DH700" s="0"/>
      <c r="DI700" s="0"/>
      <c r="DJ700" s="0"/>
      <c r="DK700" s="0"/>
      <c r="DL700" s="0"/>
      <c r="DM700" s="0"/>
      <c r="DN700" s="0"/>
      <c r="DO700" s="0"/>
      <c r="DP700" s="0"/>
      <c r="DQ700" s="0"/>
      <c r="DR700" s="0"/>
      <c r="DS700" s="0"/>
      <c r="DT700" s="0"/>
      <c r="DU700" s="0"/>
      <c r="DV700" s="0"/>
      <c r="DW700" s="0"/>
      <c r="DX700" s="0"/>
      <c r="DY700" s="0"/>
      <c r="DZ700" s="0"/>
      <c r="EA700" s="0"/>
      <c r="EB700" s="0"/>
      <c r="EC700" s="0"/>
      <c r="ED700" s="0"/>
      <c r="EE700" s="0"/>
      <c r="EF700" s="0"/>
      <c r="EG700" s="0"/>
      <c r="EH700" s="0"/>
      <c r="EI700" s="0"/>
      <c r="EJ700" s="0"/>
      <c r="EK700" s="0"/>
      <c r="EL700" s="0"/>
      <c r="EM700" s="0"/>
      <c r="EN700" s="0"/>
      <c r="EO700" s="0"/>
      <c r="EP700" s="0"/>
      <c r="EQ700" s="0"/>
      <c r="ER700" s="0"/>
      <c r="ES700" s="0"/>
      <c r="ET700" s="0"/>
      <c r="EU700" s="0"/>
      <c r="EV700" s="0"/>
      <c r="EW700" s="0"/>
      <c r="EX700" s="0"/>
      <c r="EY700" s="0"/>
      <c r="EZ700" s="0"/>
      <c r="FA700" s="0"/>
      <c r="FB700" s="0"/>
      <c r="FC700" s="0"/>
      <c r="FD700" s="0"/>
      <c r="FE700" s="0"/>
      <c r="FF700" s="0"/>
      <c r="FG700" s="0"/>
      <c r="FH700" s="0"/>
      <c r="FI700" s="0"/>
      <c r="FJ700" s="0"/>
      <c r="FK700" s="0"/>
      <c r="FL700" s="0"/>
      <c r="FM700" s="0"/>
      <c r="FN700" s="0"/>
      <c r="FO700" s="0"/>
      <c r="FP700" s="0"/>
      <c r="FQ700" s="0"/>
      <c r="FR700" s="0"/>
      <c r="FS700" s="0"/>
      <c r="FT700" s="0"/>
      <c r="FU700" s="0"/>
      <c r="FV700" s="0"/>
      <c r="FW700" s="0"/>
      <c r="FX700" s="0"/>
      <c r="FY700" s="0"/>
      <c r="FZ700" s="0"/>
      <c r="GA700" s="0"/>
      <c r="GB700" s="0"/>
      <c r="GC700" s="0"/>
      <c r="GD700" s="0"/>
      <c r="GE700" s="0"/>
      <c r="GF700" s="0"/>
      <c r="GG700" s="0"/>
      <c r="GH700" s="0"/>
      <c r="GI700" s="0"/>
      <c r="GJ700" s="0"/>
      <c r="GK700" s="0"/>
      <c r="GL700" s="0"/>
      <c r="GM700" s="0"/>
      <c r="GN700" s="0"/>
      <c r="GO700" s="0"/>
      <c r="GP700" s="0"/>
      <c r="GQ700" s="0"/>
      <c r="GR700" s="0"/>
      <c r="GS700" s="0"/>
      <c r="GT700" s="0"/>
      <c r="GU700" s="0"/>
      <c r="GV700" s="0"/>
      <c r="GW700" s="0"/>
      <c r="GX700" s="0"/>
      <c r="GY700" s="0"/>
      <c r="GZ700" s="0"/>
      <c r="HA700" s="0"/>
      <c r="HB700" s="0"/>
      <c r="HC700" s="0"/>
      <c r="HD700" s="0"/>
      <c r="HE700" s="0"/>
      <c r="HF700" s="0"/>
      <c r="HG700" s="0"/>
      <c r="HH700" s="0"/>
      <c r="HI700" s="0"/>
      <c r="HJ700" s="0"/>
      <c r="HK700" s="0"/>
      <c r="HL700" s="0"/>
      <c r="HM700" s="0"/>
      <c r="HN700" s="0"/>
      <c r="HO700" s="0"/>
      <c r="HP700" s="0"/>
      <c r="HQ700" s="0"/>
      <c r="HR700" s="0"/>
      <c r="HS700" s="0"/>
      <c r="HT700" s="0"/>
      <c r="HU700" s="0"/>
      <c r="HV700" s="0"/>
      <c r="HW700" s="0"/>
      <c r="HX700" s="0"/>
      <c r="HY700" s="0"/>
      <c r="HZ700" s="0"/>
      <c r="IA700" s="0"/>
      <c r="IB700" s="0"/>
      <c r="IC700" s="0"/>
      <c r="ID700" s="0"/>
      <c r="IE700" s="0"/>
      <c r="IF700" s="0"/>
      <c r="IG700" s="0"/>
      <c r="IH700" s="0"/>
      <c r="II700" s="0"/>
      <c r="IJ700" s="0"/>
      <c r="IK700" s="0"/>
      <c r="IL700" s="0"/>
      <c r="IM700" s="0"/>
      <c r="IN700" s="0"/>
      <c r="IO700" s="0"/>
      <c r="IP700" s="0"/>
      <c r="IQ700" s="0"/>
      <c r="IR700" s="0"/>
      <c r="IS700" s="0"/>
      <c r="IT700" s="0"/>
      <c r="IU700" s="0"/>
      <c r="IV700" s="0"/>
    </row>
    <row r="701" customFormat="false" ht="20.1" hidden="false" customHeight="true" outlineLevel="0" collapsed="false">
      <c r="B701" s="15"/>
      <c r="J701" s="11"/>
      <c r="K701" s="903"/>
      <c r="L701" s="877"/>
      <c r="Q701" s="55"/>
      <c r="R701" s="55"/>
      <c r="S701" s="55"/>
      <c r="T701" s="0"/>
      <c r="U701" s="0"/>
      <c r="V701" s="0"/>
      <c r="W701" s="0"/>
      <c r="X701" s="0"/>
      <c r="Y701" s="0"/>
      <c r="Z701" s="0"/>
      <c r="AA701" s="0"/>
      <c r="AB701" s="0"/>
      <c r="AC701" s="0"/>
      <c r="AD701" s="0"/>
      <c r="AE701" s="0"/>
      <c r="AF701" s="0"/>
      <c r="AG701" s="0"/>
      <c r="AH701" s="0"/>
      <c r="AI701" s="0"/>
      <c r="AJ701" s="0"/>
      <c r="AK701" s="0"/>
      <c r="AL701" s="0"/>
      <c r="AM701" s="0"/>
      <c r="AN701" s="0"/>
      <c r="AO701" s="0"/>
      <c r="AP701" s="0"/>
      <c r="AQ701" s="0"/>
      <c r="AR701" s="0"/>
      <c r="AS701" s="0"/>
      <c r="AT701" s="0"/>
      <c r="AU701" s="0"/>
      <c r="AV701" s="0"/>
      <c r="BR701" s="0"/>
      <c r="BS701" s="0"/>
      <c r="BT701" s="0"/>
      <c r="BU701" s="0"/>
      <c r="BV701" s="0"/>
      <c r="BW701" s="0"/>
      <c r="BX701" s="0"/>
      <c r="BY701" s="0"/>
      <c r="BZ701" s="0"/>
      <c r="CA701" s="0"/>
      <c r="CB701" s="0"/>
      <c r="CC701" s="0"/>
      <c r="CD701" s="0"/>
      <c r="CE701" s="0"/>
      <c r="CF701" s="0"/>
      <c r="CG701" s="0"/>
      <c r="CH701" s="0"/>
      <c r="CI701" s="0"/>
      <c r="CJ701" s="0"/>
      <c r="CK701" s="0"/>
      <c r="CL701" s="0"/>
      <c r="CM701" s="0"/>
      <c r="CN701" s="0"/>
      <c r="CO701" s="0"/>
      <c r="CP701" s="0"/>
      <c r="CQ701" s="0"/>
      <c r="CR701" s="0"/>
      <c r="CS701" s="0"/>
      <c r="CT701" s="0"/>
      <c r="CU701" s="0"/>
      <c r="CV701" s="0"/>
      <c r="CW701" s="0"/>
      <c r="CX701" s="0"/>
      <c r="CY701" s="0"/>
      <c r="CZ701" s="0"/>
      <c r="DA701" s="0"/>
      <c r="DB701" s="0"/>
      <c r="DC701" s="0"/>
      <c r="DD701" s="0"/>
      <c r="DE701" s="0"/>
      <c r="DF701" s="0"/>
      <c r="DG701" s="0"/>
      <c r="DH701" s="0"/>
      <c r="DI701" s="0"/>
      <c r="DJ701" s="0"/>
      <c r="DK701" s="0"/>
      <c r="DL701" s="0"/>
      <c r="DM701" s="0"/>
      <c r="DN701" s="0"/>
      <c r="DO701" s="0"/>
      <c r="DP701" s="0"/>
      <c r="DQ701" s="0"/>
      <c r="DR701" s="0"/>
      <c r="DS701" s="0"/>
      <c r="DT701" s="0"/>
      <c r="DU701" s="0"/>
      <c r="DV701" s="0"/>
      <c r="DW701" s="0"/>
      <c r="DX701" s="0"/>
      <c r="DY701" s="0"/>
      <c r="DZ701" s="0"/>
      <c r="EA701" s="0"/>
      <c r="EB701" s="0"/>
      <c r="EC701" s="0"/>
      <c r="ED701" s="0"/>
      <c r="EE701" s="0"/>
      <c r="EF701" s="0"/>
      <c r="EG701" s="0"/>
      <c r="EH701" s="0"/>
      <c r="EI701" s="0"/>
      <c r="EJ701" s="0"/>
      <c r="EK701" s="0"/>
      <c r="EL701" s="0"/>
      <c r="EM701" s="0"/>
      <c r="EN701" s="0"/>
      <c r="EO701" s="0"/>
      <c r="EP701" s="0"/>
      <c r="EQ701" s="0"/>
      <c r="ER701" s="0"/>
      <c r="ES701" s="0"/>
      <c r="ET701" s="0"/>
      <c r="EU701" s="0"/>
      <c r="EV701" s="0"/>
      <c r="EW701" s="0"/>
      <c r="EX701" s="0"/>
      <c r="EY701" s="0"/>
      <c r="EZ701" s="0"/>
      <c r="FA701" s="0"/>
      <c r="FB701" s="0"/>
      <c r="FC701" s="0"/>
      <c r="FD701" s="0"/>
      <c r="FE701" s="0"/>
      <c r="FF701" s="0"/>
      <c r="FG701" s="0"/>
      <c r="FH701" s="0"/>
      <c r="FI701" s="0"/>
      <c r="FJ701" s="0"/>
      <c r="FK701" s="0"/>
      <c r="FL701" s="0"/>
      <c r="FM701" s="0"/>
      <c r="FN701" s="0"/>
      <c r="FO701" s="0"/>
      <c r="FP701" s="0"/>
      <c r="FQ701" s="0"/>
      <c r="FR701" s="0"/>
      <c r="FS701" s="0"/>
      <c r="FT701" s="0"/>
      <c r="FU701" s="0"/>
      <c r="FV701" s="0"/>
      <c r="FW701" s="0"/>
      <c r="FX701" s="0"/>
      <c r="FY701" s="0"/>
      <c r="FZ701" s="0"/>
      <c r="GA701" s="0"/>
      <c r="GB701" s="0"/>
      <c r="GC701" s="0"/>
      <c r="GD701" s="0"/>
      <c r="GE701" s="0"/>
      <c r="GF701" s="0"/>
      <c r="GG701" s="0"/>
      <c r="GH701" s="0"/>
      <c r="GI701" s="0"/>
      <c r="GJ701" s="0"/>
      <c r="GK701" s="0"/>
      <c r="GL701" s="0"/>
      <c r="GM701" s="0"/>
      <c r="GN701" s="0"/>
      <c r="GO701" s="0"/>
      <c r="GP701" s="0"/>
      <c r="GQ701" s="0"/>
      <c r="GR701" s="0"/>
      <c r="GS701" s="0"/>
      <c r="GT701" s="0"/>
      <c r="GU701" s="0"/>
      <c r="GV701" s="0"/>
      <c r="GW701" s="0"/>
      <c r="GX701" s="0"/>
      <c r="GY701" s="0"/>
      <c r="GZ701" s="0"/>
      <c r="HA701" s="0"/>
      <c r="HB701" s="0"/>
      <c r="HC701" s="0"/>
      <c r="HD701" s="0"/>
      <c r="HE701" s="0"/>
      <c r="HF701" s="0"/>
      <c r="HG701" s="0"/>
      <c r="HH701" s="0"/>
      <c r="HI701" s="0"/>
      <c r="HJ701" s="0"/>
      <c r="HK701" s="0"/>
      <c r="HL701" s="0"/>
      <c r="HM701" s="0"/>
      <c r="HN701" s="0"/>
      <c r="HO701" s="0"/>
      <c r="HP701" s="0"/>
      <c r="HQ701" s="0"/>
      <c r="HR701" s="0"/>
      <c r="HS701" s="0"/>
      <c r="HT701" s="0"/>
      <c r="HU701" s="0"/>
      <c r="HV701" s="0"/>
      <c r="HW701" s="0"/>
      <c r="HX701" s="0"/>
      <c r="HY701" s="0"/>
      <c r="HZ701" s="0"/>
      <c r="IA701" s="0"/>
      <c r="IB701" s="0"/>
      <c r="IC701" s="0"/>
      <c r="ID701" s="0"/>
      <c r="IE701" s="0"/>
      <c r="IF701" s="0"/>
      <c r="IG701" s="0"/>
      <c r="IH701" s="0"/>
      <c r="II701" s="0"/>
      <c r="IJ701" s="0"/>
      <c r="IK701" s="0"/>
      <c r="IL701" s="0"/>
      <c r="IM701" s="0"/>
      <c r="IN701" s="0"/>
      <c r="IO701" s="0"/>
      <c r="IP701" s="0"/>
      <c r="IQ701" s="0"/>
      <c r="IR701" s="0"/>
      <c r="IS701" s="0"/>
      <c r="IT701" s="0"/>
      <c r="IU701" s="0"/>
      <c r="IV701" s="0"/>
    </row>
    <row r="702" customFormat="false" ht="20.1" hidden="false" customHeight="true" outlineLevel="0" collapsed="false">
      <c r="A702" s="1150" t="s">
        <v>1474</v>
      </c>
      <c r="B702" s="1150"/>
      <c r="C702" s="1150"/>
      <c r="D702" s="0"/>
      <c r="E702" s="0"/>
      <c r="F702" s="0"/>
      <c r="G702" s="0"/>
      <c r="H702" s="0"/>
      <c r="I702" s="0"/>
      <c r="J702" s="0"/>
      <c r="K702" s="903"/>
      <c r="L702" s="877" t="s">
        <v>1475</v>
      </c>
      <c r="M702" s="0"/>
      <c r="N702" s="0"/>
      <c r="O702" s="0"/>
      <c r="P702" s="0"/>
      <c r="Q702" s="55"/>
      <c r="R702" s="55"/>
      <c r="S702" s="55"/>
      <c r="T702" s="0"/>
      <c r="U702" s="0"/>
      <c r="V702" s="0"/>
      <c r="W702" s="0"/>
      <c r="X702" s="0"/>
      <c r="Y702" s="0"/>
      <c r="Z702" s="0"/>
      <c r="AA702" s="0"/>
      <c r="AB702" s="0"/>
      <c r="AC702" s="0"/>
      <c r="AD702" s="0"/>
      <c r="AE702" s="0"/>
      <c r="AF702" s="0"/>
      <c r="AG702" s="0"/>
      <c r="AH702" s="0"/>
      <c r="AI702" s="0"/>
      <c r="AJ702" s="0"/>
      <c r="AK702" s="0"/>
      <c r="AL702" s="0"/>
      <c r="AM702" s="0"/>
      <c r="AN702" s="0"/>
      <c r="AO702" s="0"/>
      <c r="AP702" s="0"/>
      <c r="AQ702" s="0"/>
      <c r="AR702" s="0"/>
      <c r="AS702" s="0"/>
      <c r="AT702" s="0"/>
      <c r="AU702" s="0"/>
      <c r="AV702" s="0"/>
      <c r="BR702" s="0"/>
      <c r="BS702" s="0"/>
      <c r="BT702" s="0"/>
      <c r="BU702" s="0"/>
      <c r="BV702" s="0"/>
      <c r="BW702" s="0"/>
      <c r="BX702" s="0"/>
      <c r="BY702" s="0"/>
      <c r="BZ702" s="0"/>
      <c r="CA702" s="0"/>
      <c r="CB702" s="0"/>
      <c r="CC702" s="0"/>
      <c r="CD702" s="0"/>
      <c r="CE702" s="0"/>
      <c r="CF702" s="0"/>
      <c r="CG702" s="0"/>
      <c r="CH702" s="0"/>
      <c r="CI702" s="0"/>
      <c r="CJ702" s="0"/>
      <c r="CK702" s="0"/>
      <c r="CL702" s="0"/>
      <c r="CM702" s="0"/>
      <c r="CN702" s="0"/>
      <c r="CO702" s="0"/>
      <c r="CP702" s="0"/>
      <c r="CQ702" s="0"/>
      <c r="CR702" s="0"/>
      <c r="CS702" s="0"/>
      <c r="CT702" s="0"/>
      <c r="CU702" s="0"/>
      <c r="CV702" s="0"/>
      <c r="CW702" s="0"/>
      <c r="CX702" s="0"/>
      <c r="CY702" s="0"/>
      <c r="CZ702" s="0"/>
      <c r="DA702" s="0"/>
      <c r="DB702" s="0"/>
      <c r="DC702" s="0"/>
      <c r="DD702" s="0"/>
      <c r="DE702" s="0"/>
      <c r="DF702" s="0"/>
      <c r="DG702" s="0"/>
      <c r="DH702" s="0"/>
      <c r="DI702" s="0"/>
      <c r="DJ702" s="0"/>
      <c r="DK702" s="0"/>
      <c r="DL702" s="0"/>
      <c r="DM702" s="0"/>
      <c r="DN702" s="0"/>
      <c r="DO702" s="0"/>
      <c r="DP702" s="0"/>
      <c r="DQ702" s="0"/>
      <c r="DR702" s="0"/>
      <c r="DS702" s="0"/>
      <c r="DT702" s="0"/>
      <c r="DU702" s="0"/>
      <c r="DV702" s="0"/>
      <c r="DW702" s="0"/>
      <c r="DX702" s="0"/>
      <c r="DY702" s="0"/>
      <c r="DZ702" s="0"/>
      <c r="EA702" s="0"/>
      <c r="EB702" s="0"/>
      <c r="EC702" s="0"/>
      <c r="ED702" s="0"/>
      <c r="EE702" s="0"/>
      <c r="EF702" s="0"/>
      <c r="EG702" s="0"/>
      <c r="EH702" s="0"/>
      <c r="EI702" s="0"/>
      <c r="EJ702" s="0"/>
      <c r="EK702" s="0"/>
      <c r="EL702" s="0"/>
      <c r="EM702" s="0"/>
      <c r="EN702" s="0"/>
      <c r="EO702" s="0"/>
      <c r="EP702" s="0"/>
      <c r="EQ702" s="0"/>
      <c r="ER702" s="0"/>
      <c r="ES702" s="0"/>
      <c r="ET702" s="0"/>
      <c r="EU702" s="0"/>
      <c r="EV702" s="0"/>
      <c r="EW702" s="0"/>
      <c r="EX702" s="0"/>
      <c r="EY702" s="0"/>
      <c r="EZ702" s="0"/>
      <c r="FA702" s="0"/>
      <c r="FB702" s="0"/>
      <c r="FC702" s="0"/>
      <c r="FD702" s="0"/>
      <c r="FE702" s="0"/>
      <c r="FF702" s="0"/>
      <c r="FG702" s="0"/>
      <c r="FH702" s="0"/>
      <c r="FI702" s="0"/>
      <c r="FJ702" s="0"/>
      <c r="FK702" s="0"/>
      <c r="FL702" s="0"/>
      <c r="FM702" s="0"/>
      <c r="FN702" s="0"/>
      <c r="FO702" s="0"/>
      <c r="FP702" s="0"/>
      <c r="FQ702" s="0"/>
      <c r="FR702" s="0"/>
      <c r="FS702" s="0"/>
      <c r="FT702" s="0"/>
      <c r="FU702" s="0"/>
      <c r="FV702" s="0"/>
      <c r="FW702" s="0"/>
      <c r="FX702" s="0"/>
      <c r="FY702" s="0"/>
      <c r="FZ702" s="0"/>
      <c r="GA702" s="0"/>
      <c r="GB702" s="0"/>
      <c r="GC702" s="0"/>
      <c r="GD702" s="0"/>
      <c r="GE702" s="0"/>
      <c r="GF702" s="0"/>
      <c r="GG702" s="0"/>
      <c r="GH702" s="0"/>
      <c r="GI702" s="0"/>
      <c r="GJ702" s="0"/>
      <c r="GK702" s="0"/>
      <c r="GL702" s="0"/>
      <c r="GM702" s="0"/>
      <c r="GN702" s="0"/>
      <c r="GO702" s="0"/>
      <c r="GP702" s="0"/>
      <c r="GQ702" s="0"/>
      <c r="GR702" s="0"/>
      <c r="GS702" s="0"/>
      <c r="GT702" s="0"/>
      <c r="GU702" s="0"/>
      <c r="GV702" s="0"/>
      <c r="GW702" s="0"/>
      <c r="GX702" s="0"/>
      <c r="GY702" s="0"/>
      <c r="GZ702" s="0"/>
      <c r="HA702" s="0"/>
      <c r="HB702" s="0"/>
      <c r="HC702" s="0"/>
      <c r="HD702" s="0"/>
      <c r="HE702" s="0"/>
      <c r="HF702" s="0"/>
      <c r="HG702" s="0"/>
      <c r="HH702" s="0"/>
      <c r="HI702" s="0"/>
      <c r="HJ702" s="0"/>
      <c r="HK702" s="0"/>
      <c r="HL702" s="0"/>
      <c r="HM702" s="0"/>
      <c r="HN702" s="0"/>
      <c r="HO702" s="0"/>
      <c r="HP702" s="0"/>
      <c r="HQ702" s="0"/>
      <c r="HR702" s="0"/>
      <c r="HS702" s="0"/>
      <c r="HT702" s="0"/>
      <c r="HU702" s="0"/>
      <c r="HV702" s="0"/>
      <c r="HW702" s="0"/>
      <c r="HX702" s="0"/>
      <c r="HY702" s="0"/>
      <c r="HZ702" s="0"/>
      <c r="IA702" s="0"/>
      <c r="IB702" s="0"/>
      <c r="IC702" s="0"/>
      <c r="ID702" s="0"/>
      <c r="IE702" s="0"/>
      <c r="IF702" s="0"/>
      <c r="IG702" s="0"/>
      <c r="IH702" s="0"/>
      <c r="II702" s="0"/>
      <c r="IJ702" s="0"/>
      <c r="IK702" s="0"/>
      <c r="IL702" s="0"/>
      <c r="IM702" s="0"/>
      <c r="IN702" s="0"/>
      <c r="IO702" s="0"/>
      <c r="IP702" s="0"/>
      <c r="IQ702" s="0"/>
      <c r="IR702" s="0"/>
      <c r="IS702" s="0"/>
      <c r="IT702" s="0"/>
      <c r="IU702" s="0"/>
      <c r="IV702" s="0"/>
    </row>
    <row r="703" customFormat="false" ht="20.1" hidden="false" customHeight="true" outlineLevel="0" collapsed="false">
      <c r="A703" s="0"/>
      <c r="B703" s="15"/>
      <c r="C703" s="0"/>
      <c r="D703" s="0"/>
      <c r="E703" s="0"/>
      <c r="F703" s="0"/>
      <c r="G703" s="0"/>
      <c r="H703" s="0"/>
      <c r="I703" s="0"/>
      <c r="J703" s="0"/>
      <c r="K703" s="903"/>
      <c r="L703" s="877"/>
      <c r="M703" s="0"/>
      <c r="N703" s="0"/>
      <c r="O703" s="0"/>
      <c r="P703" s="0"/>
      <c r="Q703" s="55"/>
      <c r="R703" s="55"/>
      <c r="S703" s="55"/>
      <c r="T703" s="0"/>
      <c r="U703" s="0"/>
      <c r="V703" s="0"/>
      <c r="W703" s="0"/>
      <c r="X703" s="0"/>
      <c r="Y703" s="0"/>
      <c r="Z703" s="0"/>
      <c r="AA703" s="0"/>
      <c r="AB703" s="0"/>
      <c r="AC703" s="0"/>
      <c r="AD703" s="0"/>
      <c r="AE703" s="0"/>
      <c r="AF703" s="0"/>
      <c r="AG703" s="0"/>
      <c r="AH703" s="0"/>
      <c r="AI703" s="0"/>
      <c r="AJ703" s="0"/>
      <c r="AK703" s="0"/>
      <c r="AL703" s="0"/>
      <c r="AM703" s="0"/>
      <c r="AN703" s="0"/>
      <c r="AO703" s="0"/>
      <c r="AP703" s="0"/>
      <c r="AQ703" s="0"/>
      <c r="AR703" s="0"/>
      <c r="AS703" s="0"/>
      <c r="AT703" s="0"/>
      <c r="AU703" s="0"/>
      <c r="AV703" s="0"/>
      <c r="BR703" s="0"/>
      <c r="BS703" s="0"/>
      <c r="BT703" s="0"/>
      <c r="BU703" s="0"/>
      <c r="BV703" s="0"/>
      <c r="BW703" s="0"/>
      <c r="BX703" s="0"/>
      <c r="BY703" s="0"/>
      <c r="BZ703" s="0"/>
      <c r="CA703" s="0"/>
      <c r="CB703" s="0"/>
      <c r="CC703" s="0"/>
      <c r="CD703" s="0"/>
      <c r="CE703" s="0"/>
      <c r="CF703" s="0"/>
      <c r="CG703" s="0"/>
      <c r="CH703" s="0"/>
      <c r="CI703" s="0"/>
      <c r="CJ703" s="0"/>
      <c r="CK703" s="0"/>
      <c r="CL703" s="0"/>
      <c r="CM703" s="0"/>
      <c r="CN703" s="0"/>
      <c r="CO703" s="0"/>
      <c r="CP703" s="0"/>
      <c r="CQ703" s="0"/>
      <c r="CR703" s="0"/>
      <c r="CS703" s="0"/>
      <c r="CT703" s="0"/>
      <c r="CU703" s="0"/>
      <c r="CV703" s="0"/>
      <c r="CW703" s="0"/>
      <c r="CX703" s="0"/>
      <c r="CY703" s="0"/>
      <c r="CZ703" s="0"/>
      <c r="DA703" s="0"/>
      <c r="DB703" s="0"/>
      <c r="DC703" s="0"/>
      <c r="DD703" s="0"/>
      <c r="DE703" s="0"/>
      <c r="DF703" s="0"/>
      <c r="DG703" s="0"/>
      <c r="DH703" s="0"/>
      <c r="DI703" s="0"/>
      <c r="DJ703" s="0"/>
      <c r="DK703" s="0"/>
      <c r="DL703" s="0"/>
      <c r="DM703" s="0"/>
      <c r="DN703" s="0"/>
      <c r="DO703" s="0"/>
      <c r="DP703" s="0"/>
      <c r="DQ703" s="0"/>
      <c r="DR703" s="0"/>
      <c r="DS703" s="0"/>
      <c r="DT703" s="0"/>
      <c r="DU703" s="0"/>
      <c r="DV703" s="0"/>
      <c r="DW703" s="0"/>
      <c r="DX703" s="0"/>
      <c r="DY703" s="0"/>
      <c r="DZ703" s="0"/>
      <c r="EA703" s="0"/>
      <c r="EB703" s="0"/>
      <c r="EC703" s="0"/>
      <c r="ED703" s="0"/>
      <c r="EE703" s="0"/>
      <c r="EF703" s="0"/>
      <c r="EG703" s="0"/>
      <c r="EH703" s="0"/>
      <c r="EI703" s="0"/>
      <c r="EJ703" s="0"/>
      <c r="EK703" s="0"/>
      <c r="EL703" s="0"/>
      <c r="EM703" s="0"/>
      <c r="EN703" s="0"/>
      <c r="EO703" s="0"/>
      <c r="EP703" s="0"/>
      <c r="EQ703" s="0"/>
      <c r="ER703" s="0"/>
      <c r="ES703" s="0"/>
      <c r="ET703" s="0"/>
      <c r="EU703" s="0"/>
      <c r="EV703" s="0"/>
      <c r="EW703" s="0"/>
      <c r="EX703" s="0"/>
      <c r="EY703" s="0"/>
      <c r="EZ703" s="0"/>
      <c r="FA703" s="0"/>
      <c r="FB703" s="0"/>
      <c r="FC703" s="0"/>
      <c r="FD703" s="0"/>
      <c r="FE703" s="0"/>
      <c r="FF703" s="0"/>
      <c r="FG703" s="0"/>
      <c r="FH703" s="0"/>
      <c r="FI703" s="0"/>
      <c r="FJ703" s="0"/>
      <c r="FK703" s="0"/>
      <c r="FL703" s="0"/>
      <c r="FM703" s="0"/>
      <c r="FN703" s="0"/>
      <c r="FO703" s="0"/>
      <c r="FP703" s="0"/>
      <c r="FQ703" s="0"/>
      <c r="FR703" s="0"/>
      <c r="FS703" s="0"/>
      <c r="FT703" s="0"/>
      <c r="FU703" s="0"/>
      <c r="FV703" s="0"/>
      <c r="FW703" s="0"/>
      <c r="FX703" s="0"/>
      <c r="FY703" s="0"/>
      <c r="FZ703" s="0"/>
      <c r="GA703" s="0"/>
      <c r="GB703" s="0"/>
      <c r="GC703" s="0"/>
      <c r="GD703" s="0"/>
      <c r="GE703" s="0"/>
      <c r="GF703" s="0"/>
      <c r="GG703" s="0"/>
      <c r="GH703" s="0"/>
      <c r="GI703" s="0"/>
      <c r="GJ703" s="0"/>
      <c r="GK703" s="0"/>
      <c r="GL703" s="0"/>
      <c r="GM703" s="0"/>
      <c r="GN703" s="0"/>
      <c r="GO703" s="0"/>
      <c r="GP703" s="0"/>
      <c r="GQ703" s="0"/>
      <c r="GR703" s="0"/>
      <c r="GS703" s="0"/>
      <c r="GT703" s="0"/>
      <c r="GU703" s="0"/>
      <c r="GV703" s="0"/>
      <c r="GW703" s="0"/>
      <c r="GX703" s="0"/>
      <c r="GY703" s="0"/>
      <c r="GZ703" s="0"/>
      <c r="HA703" s="0"/>
      <c r="HB703" s="0"/>
      <c r="HC703" s="0"/>
      <c r="HD703" s="0"/>
      <c r="HE703" s="0"/>
      <c r="HF703" s="0"/>
      <c r="HG703" s="0"/>
      <c r="HH703" s="0"/>
      <c r="HI703" s="0"/>
      <c r="HJ703" s="0"/>
      <c r="HK703" s="0"/>
      <c r="HL703" s="0"/>
      <c r="HM703" s="0"/>
      <c r="HN703" s="0"/>
      <c r="HO703" s="0"/>
      <c r="HP703" s="0"/>
      <c r="HQ703" s="0"/>
      <c r="HR703" s="0"/>
      <c r="HS703" s="0"/>
      <c r="HT703" s="0"/>
      <c r="HU703" s="0"/>
      <c r="HV703" s="0"/>
      <c r="HW703" s="0"/>
      <c r="HX703" s="0"/>
      <c r="HY703" s="0"/>
      <c r="HZ703" s="0"/>
      <c r="IA703" s="0"/>
      <c r="IB703" s="0"/>
      <c r="IC703" s="0"/>
      <c r="ID703" s="0"/>
      <c r="IE703" s="0"/>
      <c r="IF703" s="0"/>
      <c r="IG703" s="0"/>
      <c r="IH703" s="0"/>
      <c r="II703" s="0"/>
      <c r="IJ703" s="0"/>
      <c r="IK703" s="0"/>
      <c r="IL703" s="0"/>
      <c r="IM703" s="0"/>
      <c r="IN703" s="0"/>
      <c r="IO703" s="0"/>
      <c r="IP703" s="0"/>
      <c r="IQ703" s="0"/>
      <c r="IR703" s="0"/>
      <c r="IS703" s="0"/>
      <c r="IT703" s="0"/>
      <c r="IU703" s="0"/>
      <c r="IV703" s="0"/>
    </row>
    <row r="704" customFormat="false" ht="20.1" hidden="false" customHeight="true" outlineLevel="0" collapsed="false">
      <c r="A704" s="1152" t="s">
        <v>1476</v>
      </c>
      <c r="B704" s="1152"/>
      <c r="C704" s="1121" t="s">
        <v>1477</v>
      </c>
      <c r="D704" s="1152" t="s">
        <v>1478</v>
      </c>
      <c r="E704" s="1152"/>
      <c r="F704" s="1121" t="s">
        <v>1479</v>
      </c>
      <c r="G704" s="0"/>
      <c r="H704" s="0"/>
      <c r="I704" s="0"/>
      <c r="J704" s="0"/>
      <c r="K704" s="903"/>
      <c r="L704" s="877"/>
      <c r="M704" s="0"/>
      <c r="N704" s="0"/>
      <c r="O704" s="0"/>
      <c r="P704" s="1153"/>
      <c r="Q704" s="55"/>
      <c r="R704" s="55"/>
      <c r="S704" s="55"/>
      <c r="T704" s="0"/>
      <c r="U704" s="0"/>
      <c r="V704" s="0"/>
      <c r="W704" s="0"/>
      <c r="X704" s="0"/>
      <c r="Y704" s="0"/>
      <c r="Z704" s="0"/>
      <c r="AA704" s="0"/>
      <c r="AB704" s="0"/>
      <c r="AC704" s="0"/>
      <c r="AD704" s="0"/>
      <c r="AE704" s="0"/>
      <c r="AF704" s="0"/>
      <c r="AG704" s="0"/>
      <c r="AH704" s="0"/>
      <c r="AI704" s="0"/>
      <c r="AJ704" s="0"/>
      <c r="AK704" s="0"/>
      <c r="AL704" s="0"/>
      <c r="AM704" s="0"/>
      <c r="AN704" s="0"/>
      <c r="AO704" s="0"/>
      <c r="AP704" s="0"/>
      <c r="AQ704" s="0"/>
      <c r="AR704" s="0"/>
      <c r="AS704" s="0"/>
      <c r="AT704" s="0"/>
      <c r="AU704" s="0"/>
      <c r="AV704" s="0"/>
      <c r="BR704" s="0"/>
      <c r="BS704" s="0"/>
      <c r="BT704" s="0"/>
      <c r="BU704" s="0"/>
      <c r="BV704" s="0"/>
      <c r="BW704" s="0"/>
      <c r="BX704" s="0"/>
      <c r="BY704" s="0"/>
      <c r="BZ704" s="0"/>
      <c r="CA704" s="0"/>
      <c r="CB704" s="0"/>
      <c r="CC704" s="0"/>
      <c r="CD704" s="0"/>
      <c r="CE704" s="0"/>
      <c r="CF704" s="0"/>
      <c r="CG704" s="0"/>
      <c r="CH704" s="0"/>
      <c r="CI704" s="0"/>
      <c r="CJ704" s="0"/>
      <c r="CK704" s="0"/>
      <c r="CL704" s="0"/>
      <c r="CM704" s="0"/>
      <c r="CN704" s="0"/>
      <c r="CO704" s="0"/>
      <c r="CP704" s="0"/>
      <c r="CQ704" s="0"/>
      <c r="CR704" s="0"/>
      <c r="CS704" s="0"/>
      <c r="CT704" s="0"/>
      <c r="CU704" s="0"/>
      <c r="CV704" s="0"/>
      <c r="CW704" s="0"/>
      <c r="CX704" s="0"/>
      <c r="CY704" s="0"/>
      <c r="CZ704" s="0"/>
      <c r="DA704" s="0"/>
      <c r="DB704" s="0"/>
      <c r="DC704" s="0"/>
      <c r="DD704" s="0"/>
      <c r="DE704" s="0"/>
      <c r="DF704" s="0"/>
      <c r="DG704" s="0"/>
      <c r="DH704" s="0"/>
      <c r="DI704" s="0"/>
      <c r="DJ704" s="0"/>
      <c r="DK704" s="0"/>
      <c r="DL704" s="0"/>
      <c r="DM704" s="0"/>
      <c r="DN704" s="0"/>
      <c r="DO704" s="0"/>
      <c r="DP704" s="0"/>
      <c r="DQ704" s="0"/>
      <c r="DR704" s="0"/>
      <c r="DS704" s="0"/>
      <c r="DT704" s="0"/>
      <c r="DU704" s="0"/>
      <c r="DV704" s="0"/>
      <c r="DW704" s="0"/>
      <c r="DX704" s="0"/>
      <c r="DY704" s="0"/>
      <c r="DZ704" s="0"/>
      <c r="EA704" s="0"/>
      <c r="EB704" s="0"/>
      <c r="EC704" s="0"/>
      <c r="ED704" s="0"/>
      <c r="EE704" s="0"/>
      <c r="EF704" s="0"/>
      <c r="EG704" s="0"/>
      <c r="EH704" s="0"/>
      <c r="EI704" s="0"/>
      <c r="EJ704" s="0"/>
      <c r="EK704" s="0"/>
      <c r="EL704" s="0"/>
      <c r="EM704" s="0"/>
      <c r="EN704" s="0"/>
      <c r="EO704" s="0"/>
      <c r="EP704" s="0"/>
      <c r="EQ704" s="0"/>
      <c r="ER704" s="0"/>
      <c r="ES704" s="0"/>
      <c r="ET704" s="0"/>
      <c r="EU704" s="0"/>
      <c r="EV704" s="0"/>
      <c r="EW704" s="0"/>
      <c r="EX704" s="0"/>
      <c r="EY704" s="0"/>
      <c r="EZ704" s="0"/>
      <c r="FA704" s="0"/>
      <c r="FB704" s="0"/>
      <c r="FC704" s="0"/>
      <c r="FD704" s="0"/>
      <c r="FE704" s="0"/>
      <c r="FF704" s="0"/>
      <c r="FG704" s="0"/>
      <c r="FH704" s="0"/>
      <c r="FI704" s="0"/>
      <c r="FJ704" s="0"/>
      <c r="FK704" s="0"/>
      <c r="FL704" s="0"/>
      <c r="FM704" s="0"/>
      <c r="FN704" s="0"/>
      <c r="FO704" s="0"/>
      <c r="FP704" s="0"/>
      <c r="FQ704" s="0"/>
      <c r="FR704" s="0"/>
      <c r="FS704" s="0"/>
      <c r="FT704" s="0"/>
      <c r="FU704" s="0"/>
      <c r="FV704" s="0"/>
      <c r="FW704" s="0"/>
      <c r="FX704" s="0"/>
      <c r="FY704" s="0"/>
      <c r="FZ704" s="0"/>
      <c r="GA704" s="0"/>
      <c r="GB704" s="0"/>
      <c r="GC704" s="0"/>
      <c r="GD704" s="0"/>
      <c r="GE704" s="0"/>
      <c r="GF704" s="0"/>
      <c r="GG704" s="0"/>
      <c r="GH704" s="0"/>
      <c r="GI704" s="0"/>
      <c r="GJ704" s="0"/>
      <c r="GK704" s="0"/>
      <c r="GL704" s="0"/>
      <c r="GM704" s="0"/>
      <c r="GN704" s="0"/>
      <c r="GO704" s="0"/>
      <c r="GP704" s="0"/>
      <c r="GQ704" s="0"/>
      <c r="GR704" s="0"/>
      <c r="GS704" s="0"/>
      <c r="GT704" s="0"/>
      <c r="GU704" s="0"/>
      <c r="GV704" s="0"/>
      <c r="GW704" s="0"/>
      <c r="GX704" s="0"/>
      <c r="GY704" s="0"/>
      <c r="GZ704" s="0"/>
      <c r="HA704" s="0"/>
      <c r="HB704" s="0"/>
      <c r="HC704" s="0"/>
      <c r="HD704" s="0"/>
      <c r="HE704" s="0"/>
      <c r="HF704" s="0"/>
      <c r="HG704" s="0"/>
      <c r="HH704" s="0"/>
      <c r="HI704" s="0"/>
      <c r="HJ704" s="0"/>
      <c r="HK704" s="0"/>
      <c r="HL704" s="0"/>
      <c r="HM704" s="0"/>
      <c r="HN704" s="0"/>
      <c r="HO704" s="0"/>
      <c r="HP704" s="0"/>
      <c r="HQ704" s="0"/>
      <c r="HR704" s="0"/>
      <c r="HS704" s="0"/>
      <c r="HT704" s="0"/>
      <c r="HU704" s="0"/>
      <c r="HV704" s="0"/>
      <c r="HW704" s="0"/>
      <c r="HX704" s="0"/>
      <c r="HY704" s="0"/>
      <c r="HZ704" s="0"/>
      <c r="IA704" s="0"/>
      <c r="IB704" s="0"/>
      <c r="IC704" s="0"/>
      <c r="ID704" s="0"/>
      <c r="IE704" s="0"/>
      <c r="IF704" s="0"/>
      <c r="IG704" s="0"/>
      <c r="IH704" s="0"/>
      <c r="II704" s="0"/>
      <c r="IJ704" s="0"/>
      <c r="IK704" s="0"/>
      <c r="IL704" s="0"/>
      <c r="IM704" s="0"/>
      <c r="IN704" s="0"/>
      <c r="IO704" s="0"/>
      <c r="IP704" s="0"/>
      <c r="IQ704" s="0"/>
      <c r="IR704" s="0"/>
      <c r="IS704" s="0"/>
      <c r="IT704" s="0"/>
      <c r="IU704" s="0"/>
      <c r="IV704" s="0"/>
    </row>
    <row r="705" customFormat="false" ht="36" hidden="false" customHeight="true" outlineLevel="0" collapsed="false">
      <c r="A705" s="55"/>
      <c r="B705" s="0"/>
      <c r="C705" s="0"/>
      <c r="D705" s="1154" t="s">
        <v>1480</v>
      </c>
      <c r="E705" s="1154"/>
      <c r="F705" s="55"/>
      <c r="G705" s="55"/>
      <c r="H705" s="55"/>
      <c r="I705" s="55"/>
      <c r="J705" s="11"/>
      <c r="K705" s="903"/>
      <c r="L705" s="877"/>
      <c r="M705" s="0"/>
      <c r="N705" s="0"/>
      <c r="O705" s="0"/>
      <c r="P705" s="1153"/>
      <c r="Q705" s="55"/>
      <c r="R705" s="1153"/>
      <c r="S705" s="55"/>
      <c r="T705" s="0"/>
      <c r="U705" s="0"/>
      <c r="V705" s="0"/>
      <c r="W705" s="0"/>
      <c r="X705" s="0"/>
      <c r="Y705" s="0"/>
      <c r="Z705" s="0"/>
      <c r="AA705" s="0"/>
      <c r="AB705" s="0"/>
      <c r="AC705" s="0"/>
      <c r="AD705" s="0"/>
      <c r="AE705" s="0"/>
      <c r="AF705" s="0"/>
      <c r="AG705" s="0"/>
      <c r="AH705" s="0"/>
      <c r="AI705" s="0"/>
      <c r="AJ705" s="0"/>
      <c r="AK705" s="0"/>
      <c r="AL705" s="0"/>
      <c r="AM705" s="0"/>
      <c r="AN705" s="0"/>
      <c r="AO705" s="0"/>
      <c r="AP705" s="0"/>
      <c r="AQ705" s="0"/>
      <c r="AR705" s="0"/>
      <c r="AS705" s="0"/>
      <c r="AT705" s="0"/>
      <c r="AU705" s="0"/>
      <c r="AV705" s="0"/>
      <c r="BR705" s="0"/>
      <c r="BS705" s="0"/>
      <c r="BT705" s="0"/>
      <c r="BU705" s="0"/>
      <c r="BV705" s="0"/>
      <c r="BW705" s="0"/>
      <c r="BX705" s="0"/>
      <c r="BY705" s="0"/>
      <c r="BZ705" s="0"/>
      <c r="CA705" s="0"/>
      <c r="CB705" s="0"/>
      <c r="CC705" s="0"/>
      <c r="CD705" s="0"/>
      <c r="CE705" s="0"/>
      <c r="CF705" s="0"/>
      <c r="CG705" s="0"/>
      <c r="CH705" s="0"/>
      <c r="CI705" s="0"/>
      <c r="CJ705" s="0"/>
      <c r="CK705" s="0"/>
      <c r="CL705" s="0"/>
      <c r="CM705" s="0"/>
      <c r="CN705" s="0"/>
      <c r="CO705" s="0"/>
      <c r="CP705" s="0"/>
      <c r="CQ705" s="0"/>
      <c r="CR705" s="0"/>
      <c r="CS705" s="0"/>
      <c r="CT705" s="0"/>
      <c r="CU705" s="0"/>
      <c r="CV705" s="0"/>
      <c r="CW705" s="0"/>
      <c r="CX705" s="0"/>
      <c r="CY705" s="0"/>
      <c r="CZ705" s="0"/>
      <c r="DA705" s="0"/>
      <c r="DB705" s="0"/>
      <c r="DC705" s="0"/>
      <c r="DD705" s="0"/>
      <c r="DE705" s="0"/>
      <c r="DF705" s="0"/>
      <c r="DG705" s="0"/>
      <c r="DH705" s="0"/>
      <c r="DI705" s="0"/>
      <c r="DJ705" s="0"/>
      <c r="DK705" s="0"/>
      <c r="DL705" s="0"/>
      <c r="DM705" s="0"/>
      <c r="DN705" s="0"/>
      <c r="DO705" s="0"/>
      <c r="DP705" s="0"/>
      <c r="DQ705" s="0"/>
      <c r="DR705" s="0"/>
      <c r="DS705" s="0"/>
      <c r="DT705" s="0"/>
      <c r="DU705" s="0"/>
      <c r="DV705" s="0"/>
      <c r="DW705" s="0"/>
      <c r="DX705" s="0"/>
      <c r="DY705" s="0"/>
      <c r="DZ705" s="0"/>
      <c r="EA705" s="0"/>
      <c r="EB705" s="0"/>
      <c r="EC705" s="0"/>
      <c r="ED705" s="0"/>
      <c r="EE705" s="0"/>
      <c r="EF705" s="0"/>
      <c r="EG705" s="0"/>
      <c r="EH705" s="0"/>
      <c r="EI705" s="0"/>
      <c r="EJ705" s="0"/>
      <c r="EK705" s="0"/>
      <c r="EL705" s="0"/>
      <c r="EM705" s="0"/>
      <c r="EN705" s="0"/>
      <c r="EO705" s="0"/>
      <c r="EP705" s="0"/>
      <c r="EQ705" s="0"/>
      <c r="ER705" s="0"/>
      <c r="ES705" s="0"/>
      <c r="ET705" s="0"/>
      <c r="EU705" s="0"/>
      <c r="EV705" s="0"/>
      <c r="EW705" s="0"/>
      <c r="EX705" s="0"/>
      <c r="EY705" s="0"/>
      <c r="EZ705" s="0"/>
      <c r="FA705" s="0"/>
      <c r="FB705" s="0"/>
      <c r="FC705" s="0"/>
      <c r="FD705" s="0"/>
      <c r="FE705" s="0"/>
      <c r="FF705" s="0"/>
      <c r="FG705" s="0"/>
      <c r="FH705" s="0"/>
      <c r="FI705" s="0"/>
      <c r="FJ705" s="0"/>
      <c r="FK705" s="0"/>
      <c r="FL705" s="0"/>
      <c r="FM705" s="0"/>
      <c r="FN705" s="0"/>
      <c r="FO705" s="0"/>
      <c r="FP705" s="0"/>
      <c r="FQ705" s="0"/>
      <c r="FR705" s="0"/>
      <c r="FS705" s="0"/>
      <c r="FT705" s="0"/>
      <c r="FU705" s="0"/>
      <c r="FV705" s="0"/>
      <c r="FW705" s="0"/>
      <c r="FX705" s="0"/>
      <c r="FY705" s="0"/>
      <c r="FZ705" s="0"/>
      <c r="GA705" s="0"/>
      <c r="GB705" s="0"/>
      <c r="GC705" s="0"/>
      <c r="GD705" s="0"/>
      <c r="GE705" s="0"/>
      <c r="GF705" s="0"/>
      <c r="GG705" s="0"/>
      <c r="GH705" s="0"/>
      <c r="GI705" s="0"/>
      <c r="GJ705" s="0"/>
      <c r="GK705" s="0"/>
      <c r="GL705" s="0"/>
      <c r="GM705" s="0"/>
      <c r="GN705" s="0"/>
      <c r="GO705" s="0"/>
      <c r="GP705" s="0"/>
      <c r="GQ705" s="0"/>
      <c r="GR705" s="0"/>
      <c r="GS705" s="0"/>
      <c r="GT705" s="0"/>
      <c r="GU705" s="0"/>
      <c r="GV705" s="0"/>
      <c r="GW705" s="0"/>
      <c r="GX705" s="0"/>
      <c r="GY705" s="0"/>
      <c r="GZ705" s="0"/>
      <c r="HA705" s="0"/>
      <c r="HB705" s="0"/>
      <c r="HC705" s="0"/>
      <c r="HD705" s="0"/>
      <c r="HE705" s="0"/>
      <c r="HF705" s="0"/>
      <c r="HG705" s="0"/>
      <c r="HH705" s="0"/>
      <c r="HI705" s="0"/>
      <c r="HJ705" s="0"/>
      <c r="HK705" s="0"/>
      <c r="HL705" s="0"/>
      <c r="HM705" s="0"/>
      <c r="HN705" s="0"/>
      <c r="HO705" s="0"/>
      <c r="HP705" s="0"/>
      <c r="HQ705" s="0"/>
      <c r="HR705" s="0"/>
      <c r="HS705" s="0"/>
      <c r="HT705" s="0"/>
      <c r="HU705" s="0"/>
      <c r="HV705" s="0"/>
      <c r="HW705" s="0"/>
      <c r="HX705" s="0"/>
      <c r="HY705" s="0"/>
      <c r="HZ705" s="0"/>
      <c r="IA705" s="0"/>
      <c r="IB705" s="0"/>
      <c r="IC705" s="0"/>
      <c r="ID705" s="0"/>
      <c r="IE705" s="0"/>
      <c r="IF705" s="0"/>
      <c r="IG705" s="0"/>
      <c r="IH705" s="0"/>
      <c r="II705" s="0"/>
      <c r="IJ705" s="0"/>
      <c r="IK705" s="0"/>
      <c r="IL705" s="0"/>
      <c r="IM705" s="0"/>
      <c r="IN705" s="0"/>
      <c r="IO705" s="0"/>
      <c r="IP705" s="0"/>
      <c r="IQ705" s="0"/>
      <c r="IR705" s="0"/>
      <c r="IS705" s="0"/>
      <c r="IT705" s="0"/>
      <c r="IU705" s="0"/>
      <c r="IV705" s="0"/>
    </row>
    <row r="706" customFormat="false" ht="39" hidden="false" customHeight="true" outlineLevel="0" collapsed="false">
      <c r="A706" s="55"/>
      <c r="B706" s="1155" t="s">
        <v>1481</v>
      </c>
      <c r="C706" s="1155"/>
      <c r="D706" s="1156" t="s">
        <v>1482</v>
      </c>
      <c r="E706" s="1157" t="s">
        <v>1483</v>
      </c>
      <c r="F706" s="55"/>
      <c r="G706" s="1063" t="s">
        <v>1401</v>
      </c>
      <c r="H706" s="1064" t="n">
        <v>2</v>
      </c>
      <c r="I706" s="55"/>
      <c r="J706" s="11"/>
      <c r="K706" s="903"/>
      <c r="L706" s="877"/>
      <c r="M706" s="0"/>
      <c r="N706" s="0"/>
      <c r="O706" s="0"/>
      <c r="P706" s="1153"/>
      <c r="Q706" s="55"/>
      <c r="R706" s="1153"/>
      <c r="S706" s="55"/>
      <c r="T706" s="0"/>
      <c r="U706" s="0"/>
      <c r="V706" s="0"/>
      <c r="W706" s="0"/>
      <c r="X706" s="0"/>
      <c r="Y706" s="0"/>
      <c r="Z706" s="0"/>
      <c r="AA706" s="0"/>
      <c r="AB706" s="0"/>
      <c r="AC706" s="0"/>
      <c r="AD706" s="0"/>
      <c r="AE706" s="0"/>
      <c r="AF706" s="0"/>
      <c r="AG706" s="0"/>
      <c r="AH706" s="0"/>
      <c r="AI706" s="0"/>
      <c r="AJ706" s="0"/>
      <c r="AK706" s="0"/>
      <c r="AL706" s="0"/>
      <c r="AM706" s="0"/>
      <c r="AN706" s="0"/>
      <c r="AO706" s="0"/>
      <c r="AP706" s="0"/>
      <c r="AQ706" s="0"/>
      <c r="AR706" s="0"/>
      <c r="AS706" s="0"/>
      <c r="AT706" s="0"/>
      <c r="AU706" s="0"/>
      <c r="AV706" s="0"/>
      <c r="BR706" s="0"/>
      <c r="BS706" s="0"/>
      <c r="BT706" s="0"/>
      <c r="BU706" s="0"/>
      <c r="BV706" s="0"/>
      <c r="BW706" s="0"/>
      <c r="BX706" s="0"/>
      <c r="BY706" s="0"/>
      <c r="BZ706" s="0"/>
      <c r="CA706" s="0"/>
      <c r="CB706" s="0"/>
      <c r="CC706" s="0"/>
      <c r="CD706" s="0"/>
      <c r="CE706" s="0"/>
      <c r="CF706" s="0"/>
      <c r="CG706" s="0"/>
      <c r="CH706" s="0"/>
      <c r="CI706" s="0"/>
      <c r="CJ706" s="0"/>
      <c r="CK706" s="0"/>
      <c r="CL706" s="0"/>
      <c r="CM706" s="0"/>
      <c r="CN706" s="0"/>
      <c r="CO706" s="0"/>
      <c r="CP706" s="0"/>
      <c r="CQ706" s="0"/>
      <c r="CR706" s="0"/>
      <c r="CS706" s="0"/>
      <c r="CT706" s="0"/>
      <c r="CU706" s="0"/>
      <c r="CV706" s="0"/>
      <c r="CW706" s="0"/>
      <c r="CX706" s="0"/>
      <c r="CY706" s="0"/>
      <c r="CZ706" s="0"/>
      <c r="DA706" s="0"/>
      <c r="DB706" s="0"/>
      <c r="DC706" s="0"/>
      <c r="DD706" s="0"/>
      <c r="DE706" s="0"/>
      <c r="DF706" s="0"/>
      <c r="DG706" s="0"/>
      <c r="DH706" s="0"/>
      <c r="DI706" s="0"/>
      <c r="DJ706" s="0"/>
      <c r="DK706" s="0"/>
      <c r="DL706" s="0"/>
      <c r="DM706" s="0"/>
      <c r="DN706" s="0"/>
      <c r="DO706" s="0"/>
      <c r="DP706" s="0"/>
      <c r="DQ706" s="0"/>
      <c r="DR706" s="0"/>
      <c r="DS706" s="0"/>
      <c r="DT706" s="0"/>
      <c r="DU706" s="0"/>
      <c r="DV706" s="0"/>
      <c r="DW706" s="0"/>
      <c r="DX706" s="0"/>
      <c r="DY706" s="0"/>
      <c r="DZ706" s="0"/>
      <c r="EA706" s="0"/>
      <c r="EB706" s="0"/>
      <c r="EC706" s="0"/>
      <c r="ED706" s="0"/>
      <c r="EE706" s="0"/>
      <c r="EF706" s="0"/>
      <c r="EG706" s="0"/>
      <c r="EH706" s="0"/>
      <c r="EI706" s="0"/>
      <c r="EJ706" s="0"/>
      <c r="EK706" s="0"/>
      <c r="EL706" s="0"/>
      <c r="EM706" s="0"/>
      <c r="EN706" s="0"/>
      <c r="EO706" s="0"/>
      <c r="EP706" s="0"/>
      <c r="EQ706" s="0"/>
      <c r="ER706" s="0"/>
      <c r="ES706" s="0"/>
      <c r="ET706" s="0"/>
      <c r="EU706" s="0"/>
      <c r="EV706" s="0"/>
      <c r="EW706" s="0"/>
      <c r="EX706" s="0"/>
      <c r="EY706" s="0"/>
      <c r="EZ706" s="0"/>
      <c r="FA706" s="0"/>
      <c r="FB706" s="0"/>
      <c r="FC706" s="0"/>
      <c r="FD706" s="0"/>
      <c r="FE706" s="0"/>
      <c r="FF706" s="0"/>
      <c r="FG706" s="0"/>
      <c r="FH706" s="0"/>
      <c r="FI706" s="0"/>
      <c r="FJ706" s="0"/>
      <c r="FK706" s="0"/>
      <c r="FL706" s="0"/>
      <c r="FM706" s="0"/>
      <c r="FN706" s="0"/>
      <c r="FO706" s="0"/>
      <c r="FP706" s="0"/>
      <c r="FQ706" s="0"/>
      <c r="FR706" s="0"/>
      <c r="FS706" s="0"/>
      <c r="FT706" s="0"/>
      <c r="FU706" s="0"/>
      <c r="FV706" s="0"/>
      <c r="FW706" s="0"/>
      <c r="FX706" s="0"/>
      <c r="FY706" s="0"/>
      <c r="FZ706" s="0"/>
      <c r="GA706" s="0"/>
      <c r="GB706" s="0"/>
      <c r="GC706" s="0"/>
      <c r="GD706" s="0"/>
      <c r="GE706" s="0"/>
      <c r="GF706" s="0"/>
      <c r="GG706" s="0"/>
      <c r="GH706" s="0"/>
      <c r="GI706" s="0"/>
      <c r="GJ706" s="0"/>
      <c r="GK706" s="0"/>
      <c r="GL706" s="0"/>
      <c r="GM706" s="0"/>
      <c r="GN706" s="0"/>
      <c r="GO706" s="0"/>
      <c r="GP706" s="0"/>
      <c r="GQ706" s="0"/>
      <c r="GR706" s="0"/>
      <c r="GS706" s="0"/>
      <c r="GT706" s="0"/>
      <c r="GU706" s="0"/>
      <c r="GV706" s="0"/>
      <c r="GW706" s="0"/>
      <c r="GX706" s="0"/>
      <c r="GY706" s="0"/>
      <c r="GZ706" s="0"/>
      <c r="HA706" s="0"/>
      <c r="HB706" s="0"/>
      <c r="HC706" s="0"/>
      <c r="HD706" s="0"/>
      <c r="HE706" s="0"/>
      <c r="HF706" s="0"/>
      <c r="HG706" s="0"/>
      <c r="HH706" s="0"/>
      <c r="HI706" s="0"/>
      <c r="HJ706" s="0"/>
      <c r="HK706" s="0"/>
      <c r="HL706" s="0"/>
      <c r="HM706" s="0"/>
      <c r="HN706" s="0"/>
      <c r="HO706" s="0"/>
      <c r="HP706" s="0"/>
      <c r="HQ706" s="0"/>
      <c r="HR706" s="0"/>
      <c r="HS706" s="0"/>
      <c r="HT706" s="0"/>
      <c r="HU706" s="0"/>
      <c r="HV706" s="0"/>
      <c r="HW706" s="0"/>
      <c r="HX706" s="0"/>
      <c r="HY706" s="0"/>
      <c r="HZ706" s="0"/>
      <c r="IA706" s="0"/>
      <c r="IB706" s="0"/>
      <c r="IC706" s="0"/>
      <c r="ID706" s="0"/>
      <c r="IE706" s="0"/>
      <c r="IF706" s="0"/>
      <c r="IG706" s="0"/>
      <c r="IH706" s="0"/>
      <c r="II706" s="0"/>
      <c r="IJ706" s="0"/>
      <c r="IK706" s="0"/>
      <c r="IL706" s="0"/>
      <c r="IM706" s="0"/>
      <c r="IN706" s="0"/>
      <c r="IO706" s="0"/>
      <c r="IP706" s="0"/>
      <c r="IQ706" s="0"/>
      <c r="IR706" s="0"/>
      <c r="IS706" s="0"/>
      <c r="IT706" s="0"/>
      <c r="IU706" s="0"/>
      <c r="IV706" s="0"/>
    </row>
    <row r="707" customFormat="false" ht="20.1" hidden="false" customHeight="true" outlineLevel="0" collapsed="false">
      <c r="A707" s="55"/>
      <c r="B707" s="1158" t="s">
        <v>1484</v>
      </c>
      <c r="C707" s="1158"/>
      <c r="D707" s="1159" t="n">
        <v>0</v>
      </c>
      <c r="E707" s="1160" t="n">
        <v>4</v>
      </c>
      <c r="F707" s="55"/>
      <c r="G707" s="1063"/>
      <c r="H707" s="1064"/>
      <c r="I707" s="55"/>
      <c r="J707" s="11"/>
      <c r="K707" s="903"/>
      <c r="L707" s="877"/>
      <c r="M707" s="0"/>
      <c r="N707" s="0"/>
      <c r="O707" s="0"/>
      <c r="P707" s="1153"/>
      <c r="Q707" s="55"/>
      <c r="R707" s="1153"/>
      <c r="S707" s="55"/>
      <c r="T707" s="0"/>
      <c r="U707" s="0"/>
      <c r="V707" s="0"/>
      <c r="W707" s="0"/>
      <c r="X707" s="0"/>
      <c r="Y707" s="0"/>
      <c r="Z707" s="0"/>
      <c r="AA707" s="0"/>
      <c r="AB707" s="0"/>
      <c r="AC707" s="0"/>
      <c r="AD707" s="0"/>
      <c r="AE707" s="0"/>
      <c r="AF707" s="0"/>
      <c r="AG707" s="0"/>
      <c r="AH707" s="0"/>
      <c r="AI707" s="0"/>
      <c r="AJ707" s="0"/>
      <c r="AK707" s="0"/>
      <c r="AL707" s="0"/>
      <c r="AM707" s="0"/>
      <c r="AN707" s="0"/>
      <c r="AO707" s="0"/>
      <c r="AP707" s="0"/>
      <c r="AQ707" s="0"/>
      <c r="AR707" s="0"/>
      <c r="AS707" s="0"/>
      <c r="AT707" s="0"/>
      <c r="AU707" s="0"/>
      <c r="AV707" s="0"/>
      <c r="BR707" s="0"/>
      <c r="BS707" s="0"/>
      <c r="BT707" s="0"/>
      <c r="BU707" s="0"/>
      <c r="BV707" s="0"/>
      <c r="BW707" s="0"/>
      <c r="BX707" s="0"/>
      <c r="BY707" s="0"/>
      <c r="BZ707" s="0"/>
      <c r="CA707" s="0"/>
      <c r="CB707" s="0"/>
      <c r="CC707" s="0"/>
      <c r="CD707" s="0"/>
      <c r="CE707" s="0"/>
      <c r="CF707" s="0"/>
      <c r="CG707" s="0"/>
      <c r="CH707" s="0"/>
      <c r="CI707" s="0"/>
      <c r="CJ707" s="0"/>
      <c r="CK707" s="0"/>
      <c r="CL707" s="0"/>
      <c r="CM707" s="0"/>
      <c r="CN707" s="0"/>
      <c r="CO707" s="0"/>
      <c r="CP707" s="0"/>
      <c r="CQ707" s="0"/>
      <c r="CR707" s="0"/>
      <c r="CS707" s="0"/>
      <c r="CT707" s="0"/>
      <c r="CU707" s="0"/>
      <c r="CV707" s="0"/>
      <c r="CW707" s="0"/>
      <c r="CX707" s="0"/>
      <c r="CY707" s="0"/>
      <c r="CZ707" s="0"/>
      <c r="DA707" s="0"/>
      <c r="DB707" s="0"/>
      <c r="DC707" s="0"/>
      <c r="DD707" s="0"/>
      <c r="DE707" s="0"/>
      <c r="DF707" s="0"/>
      <c r="DG707" s="0"/>
      <c r="DH707" s="0"/>
      <c r="DI707" s="0"/>
      <c r="DJ707" s="0"/>
      <c r="DK707" s="0"/>
      <c r="DL707" s="0"/>
      <c r="DM707" s="0"/>
      <c r="DN707" s="0"/>
      <c r="DO707" s="0"/>
      <c r="DP707" s="0"/>
      <c r="DQ707" s="0"/>
      <c r="DR707" s="0"/>
      <c r="DS707" s="0"/>
      <c r="DT707" s="0"/>
      <c r="DU707" s="0"/>
      <c r="DV707" s="0"/>
      <c r="DW707" s="0"/>
      <c r="DX707" s="0"/>
      <c r="DY707" s="0"/>
      <c r="DZ707" s="0"/>
      <c r="EA707" s="0"/>
      <c r="EB707" s="0"/>
      <c r="EC707" s="0"/>
      <c r="ED707" s="0"/>
      <c r="EE707" s="0"/>
      <c r="EF707" s="0"/>
      <c r="EG707" s="0"/>
      <c r="EH707" s="0"/>
      <c r="EI707" s="0"/>
      <c r="EJ707" s="0"/>
      <c r="EK707" s="0"/>
      <c r="EL707" s="0"/>
      <c r="EM707" s="0"/>
      <c r="EN707" s="0"/>
      <c r="EO707" s="0"/>
      <c r="EP707" s="0"/>
      <c r="EQ707" s="0"/>
      <c r="ER707" s="0"/>
      <c r="ES707" s="0"/>
      <c r="ET707" s="0"/>
      <c r="EU707" s="0"/>
      <c r="EV707" s="0"/>
      <c r="EW707" s="0"/>
      <c r="EX707" s="0"/>
      <c r="EY707" s="0"/>
      <c r="EZ707" s="0"/>
      <c r="FA707" s="0"/>
      <c r="FB707" s="0"/>
      <c r="FC707" s="0"/>
      <c r="FD707" s="0"/>
      <c r="FE707" s="0"/>
      <c r="FF707" s="0"/>
      <c r="FG707" s="0"/>
      <c r="FH707" s="0"/>
      <c r="FI707" s="0"/>
      <c r="FJ707" s="0"/>
      <c r="FK707" s="0"/>
      <c r="FL707" s="0"/>
      <c r="FM707" s="0"/>
      <c r="FN707" s="0"/>
      <c r="FO707" s="0"/>
      <c r="FP707" s="0"/>
      <c r="FQ707" s="0"/>
      <c r="FR707" s="0"/>
      <c r="FS707" s="0"/>
      <c r="FT707" s="0"/>
      <c r="FU707" s="0"/>
      <c r="FV707" s="0"/>
      <c r="FW707" s="0"/>
      <c r="FX707" s="0"/>
      <c r="FY707" s="0"/>
      <c r="FZ707" s="0"/>
      <c r="GA707" s="0"/>
      <c r="GB707" s="0"/>
      <c r="GC707" s="0"/>
      <c r="GD707" s="0"/>
      <c r="GE707" s="0"/>
      <c r="GF707" s="0"/>
      <c r="GG707" s="0"/>
      <c r="GH707" s="0"/>
      <c r="GI707" s="0"/>
      <c r="GJ707" s="0"/>
      <c r="GK707" s="0"/>
      <c r="GL707" s="0"/>
      <c r="GM707" s="0"/>
      <c r="GN707" s="0"/>
      <c r="GO707" s="0"/>
      <c r="GP707" s="0"/>
      <c r="GQ707" s="0"/>
      <c r="GR707" s="0"/>
      <c r="GS707" s="0"/>
      <c r="GT707" s="0"/>
      <c r="GU707" s="0"/>
      <c r="GV707" s="0"/>
      <c r="GW707" s="0"/>
      <c r="GX707" s="0"/>
      <c r="GY707" s="0"/>
      <c r="GZ707" s="0"/>
      <c r="HA707" s="0"/>
      <c r="HB707" s="0"/>
      <c r="HC707" s="0"/>
      <c r="HD707" s="0"/>
      <c r="HE707" s="0"/>
      <c r="HF707" s="0"/>
      <c r="HG707" s="0"/>
      <c r="HH707" s="0"/>
      <c r="HI707" s="0"/>
      <c r="HJ707" s="0"/>
      <c r="HK707" s="0"/>
      <c r="HL707" s="0"/>
      <c r="HM707" s="0"/>
      <c r="HN707" s="0"/>
      <c r="HO707" s="0"/>
      <c r="HP707" s="0"/>
      <c r="HQ707" s="0"/>
      <c r="HR707" s="0"/>
      <c r="HS707" s="0"/>
      <c r="HT707" s="0"/>
      <c r="HU707" s="0"/>
      <c r="HV707" s="0"/>
      <c r="HW707" s="0"/>
      <c r="HX707" s="0"/>
      <c r="HY707" s="0"/>
      <c r="HZ707" s="0"/>
      <c r="IA707" s="0"/>
      <c r="IB707" s="0"/>
      <c r="IC707" s="0"/>
      <c r="ID707" s="0"/>
      <c r="IE707" s="0"/>
      <c r="IF707" s="0"/>
      <c r="IG707" s="0"/>
      <c r="IH707" s="0"/>
      <c r="II707" s="0"/>
      <c r="IJ707" s="0"/>
      <c r="IK707" s="0"/>
      <c r="IL707" s="0"/>
      <c r="IM707" s="0"/>
      <c r="IN707" s="0"/>
      <c r="IO707" s="0"/>
      <c r="IP707" s="0"/>
      <c r="IQ707" s="0"/>
      <c r="IR707" s="0"/>
      <c r="IS707" s="0"/>
      <c r="IT707" s="0"/>
      <c r="IU707" s="0"/>
      <c r="IV707" s="0"/>
    </row>
    <row r="708" customFormat="false" ht="20.1" hidden="false" customHeight="true" outlineLevel="0" collapsed="false">
      <c r="A708" s="968"/>
      <c r="B708" s="1161" t="s">
        <v>1485</v>
      </c>
      <c r="C708" s="1161"/>
      <c r="D708" s="1159"/>
      <c r="E708" s="1162" t="n">
        <v>2</v>
      </c>
      <c r="F708" s="55"/>
      <c r="G708" s="1063" t="s">
        <v>1401</v>
      </c>
      <c r="H708" s="1064"/>
      <c r="I708" s="55"/>
      <c r="J708" s="11"/>
      <c r="K708" s="903"/>
      <c r="L708" s="877"/>
      <c r="M708" s="0"/>
      <c r="N708" s="0"/>
      <c r="O708" s="0"/>
      <c r="P708" s="1153"/>
      <c r="Q708" s="55"/>
      <c r="R708" s="1153"/>
      <c r="S708" s="55"/>
      <c r="T708" s="0"/>
      <c r="U708" s="0"/>
      <c r="V708" s="0"/>
      <c r="W708" s="0"/>
      <c r="X708" s="0"/>
      <c r="Y708" s="0"/>
      <c r="Z708" s="0"/>
      <c r="AA708" s="0"/>
      <c r="AB708" s="0"/>
      <c r="AC708" s="0"/>
      <c r="AD708" s="0"/>
      <c r="AE708" s="0"/>
      <c r="AF708" s="0"/>
      <c r="AG708" s="0"/>
      <c r="AH708" s="0"/>
      <c r="AI708" s="0"/>
      <c r="AJ708" s="0"/>
      <c r="AK708" s="0"/>
      <c r="AL708" s="0"/>
      <c r="AM708" s="0"/>
      <c r="AN708" s="0"/>
      <c r="AO708" s="0"/>
      <c r="AP708" s="0"/>
      <c r="AQ708" s="0"/>
      <c r="AR708" s="0"/>
      <c r="AS708" s="0"/>
      <c r="AT708" s="0"/>
      <c r="AU708" s="0"/>
      <c r="AV708" s="0"/>
      <c r="BR708" s="0"/>
      <c r="BS708" s="0"/>
      <c r="BT708" s="0"/>
      <c r="BU708" s="0"/>
      <c r="BV708" s="0"/>
      <c r="BW708" s="0"/>
      <c r="BX708" s="0"/>
      <c r="BY708" s="0"/>
      <c r="BZ708" s="0"/>
      <c r="CA708" s="0"/>
      <c r="CB708" s="0"/>
      <c r="CC708" s="0"/>
      <c r="CD708" s="0"/>
      <c r="CE708" s="0"/>
      <c r="CF708" s="0"/>
      <c r="CG708" s="0"/>
      <c r="CH708" s="0"/>
      <c r="CI708" s="0"/>
      <c r="CJ708" s="0"/>
      <c r="CK708" s="0"/>
      <c r="CL708" s="0"/>
      <c r="CM708" s="0"/>
      <c r="CN708" s="0"/>
      <c r="CO708" s="0"/>
      <c r="CP708" s="0"/>
      <c r="CQ708" s="0"/>
      <c r="CR708" s="0"/>
      <c r="CS708" s="0"/>
      <c r="CT708" s="0"/>
      <c r="CU708" s="0"/>
      <c r="CV708" s="0"/>
      <c r="CW708" s="0"/>
      <c r="CX708" s="0"/>
      <c r="CY708" s="0"/>
      <c r="CZ708" s="0"/>
      <c r="DA708" s="0"/>
      <c r="DB708" s="0"/>
      <c r="DC708" s="0"/>
      <c r="DD708" s="0"/>
      <c r="DE708" s="0"/>
      <c r="DF708" s="0"/>
      <c r="DG708" s="0"/>
      <c r="DH708" s="0"/>
      <c r="DI708" s="0"/>
      <c r="DJ708" s="0"/>
      <c r="DK708" s="0"/>
      <c r="DL708" s="0"/>
      <c r="DM708" s="0"/>
      <c r="DN708" s="0"/>
      <c r="DO708" s="0"/>
      <c r="DP708" s="0"/>
      <c r="DQ708" s="0"/>
      <c r="DR708" s="0"/>
      <c r="DS708" s="0"/>
      <c r="DT708" s="0"/>
      <c r="DU708" s="0"/>
      <c r="DV708" s="0"/>
      <c r="DW708" s="0"/>
      <c r="DX708" s="0"/>
      <c r="DY708" s="0"/>
      <c r="DZ708" s="0"/>
      <c r="EA708" s="0"/>
      <c r="EB708" s="0"/>
      <c r="EC708" s="0"/>
      <c r="ED708" s="0"/>
      <c r="EE708" s="0"/>
      <c r="EF708" s="0"/>
      <c r="EG708" s="0"/>
      <c r="EH708" s="0"/>
      <c r="EI708" s="0"/>
      <c r="EJ708" s="0"/>
      <c r="EK708" s="0"/>
      <c r="EL708" s="0"/>
      <c r="EM708" s="0"/>
      <c r="EN708" s="0"/>
      <c r="EO708" s="0"/>
      <c r="EP708" s="0"/>
      <c r="EQ708" s="0"/>
      <c r="ER708" s="0"/>
      <c r="ES708" s="0"/>
      <c r="ET708" s="0"/>
      <c r="EU708" s="0"/>
      <c r="EV708" s="0"/>
      <c r="EW708" s="0"/>
      <c r="EX708" s="0"/>
      <c r="EY708" s="0"/>
      <c r="EZ708" s="0"/>
      <c r="FA708" s="0"/>
      <c r="FB708" s="0"/>
      <c r="FC708" s="0"/>
      <c r="FD708" s="0"/>
      <c r="FE708" s="0"/>
      <c r="FF708" s="0"/>
      <c r="FG708" s="0"/>
      <c r="FH708" s="0"/>
      <c r="FI708" s="0"/>
      <c r="FJ708" s="0"/>
      <c r="FK708" s="0"/>
      <c r="FL708" s="0"/>
      <c r="FM708" s="0"/>
      <c r="FN708" s="0"/>
      <c r="FO708" s="0"/>
      <c r="FP708" s="0"/>
      <c r="FQ708" s="0"/>
      <c r="FR708" s="0"/>
      <c r="FS708" s="0"/>
      <c r="FT708" s="0"/>
      <c r="FU708" s="0"/>
      <c r="FV708" s="0"/>
      <c r="FW708" s="0"/>
      <c r="FX708" s="0"/>
      <c r="FY708" s="0"/>
      <c r="FZ708" s="0"/>
      <c r="GA708" s="0"/>
      <c r="GB708" s="0"/>
      <c r="GC708" s="0"/>
      <c r="GD708" s="0"/>
      <c r="GE708" s="0"/>
      <c r="GF708" s="0"/>
      <c r="GG708" s="0"/>
      <c r="GH708" s="0"/>
      <c r="GI708" s="0"/>
      <c r="GJ708" s="0"/>
      <c r="GK708" s="0"/>
      <c r="GL708" s="0"/>
      <c r="GM708" s="0"/>
      <c r="GN708" s="0"/>
      <c r="GO708" s="0"/>
      <c r="GP708" s="0"/>
      <c r="GQ708" s="0"/>
      <c r="GR708" s="0"/>
      <c r="GS708" s="0"/>
      <c r="GT708" s="0"/>
      <c r="GU708" s="0"/>
      <c r="GV708" s="0"/>
      <c r="GW708" s="0"/>
      <c r="GX708" s="0"/>
      <c r="GY708" s="0"/>
      <c r="GZ708" s="0"/>
      <c r="HA708" s="0"/>
      <c r="HB708" s="0"/>
      <c r="HC708" s="0"/>
      <c r="HD708" s="0"/>
      <c r="HE708" s="0"/>
      <c r="HF708" s="0"/>
      <c r="HG708" s="0"/>
      <c r="HH708" s="0"/>
      <c r="HI708" s="0"/>
      <c r="HJ708" s="0"/>
      <c r="HK708" s="0"/>
      <c r="HL708" s="0"/>
      <c r="HM708" s="0"/>
      <c r="HN708" s="0"/>
      <c r="HO708" s="0"/>
      <c r="HP708" s="0"/>
      <c r="HQ708" s="0"/>
      <c r="HR708" s="0"/>
      <c r="HS708" s="0"/>
      <c r="HT708" s="0"/>
      <c r="HU708" s="0"/>
      <c r="HV708" s="0"/>
      <c r="HW708" s="0"/>
      <c r="HX708" s="0"/>
      <c r="HY708" s="0"/>
      <c r="HZ708" s="0"/>
      <c r="IA708" s="0"/>
      <c r="IB708" s="0"/>
      <c r="IC708" s="0"/>
      <c r="ID708" s="0"/>
      <c r="IE708" s="0"/>
      <c r="IF708" s="0"/>
      <c r="IG708" s="0"/>
      <c r="IH708" s="0"/>
      <c r="II708" s="0"/>
      <c r="IJ708" s="0"/>
      <c r="IK708" s="0"/>
      <c r="IL708" s="0"/>
      <c r="IM708" s="0"/>
      <c r="IN708" s="0"/>
      <c r="IO708" s="0"/>
      <c r="IP708" s="0"/>
      <c r="IQ708" s="0"/>
      <c r="IR708" s="0"/>
      <c r="IS708" s="0"/>
      <c r="IT708" s="0"/>
      <c r="IU708" s="0"/>
      <c r="IV708" s="0"/>
    </row>
    <row r="709" customFormat="false" ht="20.1" hidden="false" customHeight="true" outlineLevel="0" collapsed="false">
      <c r="A709" s="1163"/>
      <c r="B709" s="1163"/>
      <c r="C709" s="1163"/>
      <c r="D709" s="1163"/>
      <c r="E709" s="1163"/>
      <c r="F709" s="55"/>
      <c r="G709" s="55"/>
      <c r="H709" s="55"/>
      <c r="I709" s="55"/>
      <c r="J709" s="969"/>
      <c r="K709" s="903"/>
      <c r="L709" s="877"/>
      <c r="N709" s="0"/>
      <c r="O709" s="0"/>
      <c r="P709" s="1153"/>
      <c r="Q709" s="55"/>
      <c r="R709" s="55"/>
      <c r="S709" s="55"/>
      <c r="T709" s="0"/>
      <c r="U709" s="0"/>
      <c r="V709" s="0"/>
      <c r="W709" s="0"/>
      <c r="X709" s="0"/>
      <c r="Y709" s="0"/>
      <c r="Z709" s="0"/>
      <c r="AA709" s="0"/>
      <c r="AB709" s="0"/>
      <c r="AC709" s="0"/>
      <c r="AD709" s="0"/>
      <c r="AE709" s="0"/>
      <c r="AF709" s="0"/>
      <c r="AG709" s="0"/>
      <c r="AH709" s="0"/>
      <c r="AI709" s="0"/>
      <c r="AJ709" s="0"/>
      <c r="AK709" s="0"/>
      <c r="AL709" s="0"/>
      <c r="AM709" s="0"/>
      <c r="AN709" s="0"/>
      <c r="AO709" s="0"/>
      <c r="AP709" s="0"/>
      <c r="AQ709" s="0"/>
      <c r="AR709" s="0"/>
      <c r="AS709" s="0"/>
      <c r="AT709" s="0"/>
      <c r="AU709" s="0"/>
      <c r="AV709" s="0"/>
      <c r="BR709" s="0"/>
      <c r="BS709" s="0"/>
      <c r="BT709" s="0"/>
      <c r="BU709" s="0"/>
      <c r="BV709" s="0"/>
      <c r="BW709" s="0"/>
      <c r="BX709" s="0"/>
      <c r="BY709" s="0"/>
      <c r="BZ709" s="0"/>
      <c r="CA709" s="0"/>
      <c r="CB709" s="0"/>
      <c r="CC709" s="0"/>
      <c r="CD709" s="0"/>
      <c r="CE709" s="0"/>
      <c r="CF709" s="0"/>
      <c r="CG709" s="0"/>
      <c r="CH709" s="0"/>
      <c r="CI709" s="0"/>
      <c r="CJ709" s="0"/>
      <c r="CK709" s="0"/>
      <c r="CL709" s="0"/>
      <c r="CM709" s="0"/>
      <c r="CN709" s="0"/>
      <c r="CO709" s="0"/>
      <c r="CP709" s="0"/>
      <c r="CQ709" s="0"/>
      <c r="CR709" s="0"/>
      <c r="CS709" s="0"/>
      <c r="CT709" s="0"/>
      <c r="CU709" s="0"/>
      <c r="CV709" s="0"/>
      <c r="CW709" s="0"/>
      <c r="CX709" s="0"/>
      <c r="CY709" s="0"/>
      <c r="CZ709" s="0"/>
      <c r="DA709" s="0"/>
      <c r="DB709" s="0"/>
      <c r="DC709" s="0"/>
      <c r="DD709" s="0"/>
      <c r="DE709" s="0"/>
      <c r="DF709" s="0"/>
      <c r="DG709" s="0"/>
      <c r="DH709" s="0"/>
      <c r="DI709" s="0"/>
      <c r="DJ709" s="0"/>
      <c r="DK709" s="0"/>
      <c r="DL709" s="0"/>
      <c r="DM709" s="0"/>
      <c r="DN709" s="0"/>
      <c r="DO709" s="0"/>
      <c r="DP709" s="0"/>
      <c r="DQ709" s="0"/>
      <c r="DR709" s="0"/>
      <c r="DS709" s="0"/>
      <c r="DT709" s="0"/>
      <c r="DU709" s="0"/>
      <c r="DV709" s="0"/>
      <c r="DW709" s="0"/>
      <c r="DX709" s="0"/>
      <c r="DY709" s="0"/>
      <c r="DZ709" s="0"/>
      <c r="EA709" s="0"/>
      <c r="EB709" s="0"/>
      <c r="EC709" s="0"/>
      <c r="ED709" s="0"/>
      <c r="EE709" s="0"/>
      <c r="EF709" s="0"/>
      <c r="EG709" s="0"/>
      <c r="EH709" s="0"/>
      <c r="EI709" s="0"/>
      <c r="EJ709" s="0"/>
      <c r="EK709" s="0"/>
      <c r="EL709" s="0"/>
      <c r="EM709" s="0"/>
      <c r="EN709" s="0"/>
      <c r="EO709" s="0"/>
      <c r="EP709" s="0"/>
      <c r="EQ709" s="0"/>
      <c r="ER709" s="0"/>
      <c r="ES709" s="0"/>
      <c r="ET709" s="0"/>
      <c r="EU709" s="0"/>
      <c r="EV709" s="0"/>
      <c r="EW709" s="0"/>
      <c r="EX709" s="0"/>
      <c r="EY709" s="0"/>
      <c r="EZ709" s="0"/>
      <c r="FA709" s="0"/>
      <c r="FB709" s="0"/>
      <c r="FC709" s="0"/>
      <c r="FD709" s="0"/>
      <c r="FE709" s="0"/>
      <c r="FF709" s="0"/>
      <c r="FG709" s="0"/>
      <c r="FH709" s="0"/>
      <c r="FI709" s="0"/>
      <c r="FJ709" s="0"/>
      <c r="FK709" s="0"/>
      <c r="FL709" s="0"/>
      <c r="FM709" s="0"/>
      <c r="FN709" s="0"/>
      <c r="FO709" s="0"/>
      <c r="FP709" s="0"/>
      <c r="FQ709" s="0"/>
      <c r="FR709" s="0"/>
      <c r="FS709" s="0"/>
      <c r="FT709" s="0"/>
      <c r="FU709" s="0"/>
      <c r="FV709" s="0"/>
      <c r="FW709" s="0"/>
      <c r="FX709" s="0"/>
      <c r="FY709" s="0"/>
      <c r="FZ709" s="0"/>
      <c r="GA709" s="0"/>
      <c r="GB709" s="0"/>
      <c r="GC709" s="0"/>
      <c r="GD709" s="0"/>
      <c r="GE709" s="0"/>
      <c r="GF709" s="0"/>
      <c r="GG709" s="0"/>
      <c r="GH709" s="0"/>
      <c r="GI709" s="0"/>
      <c r="GJ709" s="0"/>
      <c r="GK709" s="0"/>
      <c r="GL709" s="0"/>
      <c r="GM709" s="0"/>
      <c r="GN709" s="0"/>
      <c r="GO709" s="0"/>
      <c r="GP709" s="0"/>
      <c r="GQ709" s="0"/>
      <c r="GR709" s="0"/>
      <c r="GS709" s="0"/>
      <c r="GT709" s="0"/>
      <c r="GU709" s="0"/>
      <c r="GV709" s="0"/>
      <c r="GW709" s="0"/>
      <c r="GX709" s="0"/>
      <c r="GY709" s="0"/>
      <c r="GZ709" s="0"/>
      <c r="HA709" s="0"/>
      <c r="HB709" s="0"/>
      <c r="HC709" s="0"/>
      <c r="HD709" s="0"/>
      <c r="HE709" s="0"/>
      <c r="HF709" s="0"/>
      <c r="HG709" s="0"/>
      <c r="HH709" s="0"/>
      <c r="HI709" s="0"/>
      <c r="HJ709" s="0"/>
      <c r="HK709" s="0"/>
      <c r="HL709" s="0"/>
      <c r="HM709" s="0"/>
      <c r="HN709" s="0"/>
      <c r="HO709" s="0"/>
      <c r="HP709" s="0"/>
      <c r="HQ709" s="0"/>
      <c r="HR709" s="0"/>
      <c r="HS709" s="0"/>
      <c r="HT709" s="0"/>
      <c r="HU709" s="0"/>
      <c r="HV709" s="0"/>
      <c r="HW709" s="0"/>
      <c r="HX709" s="0"/>
      <c r="HY709" s="0"/>
      <c r="HZ709" s="0"/>
      <c r="IA709" s="0"/>
      <c r="IB709" s="0"/>
      <c r="IC709" s="0"/>
      <c r="ID709" s="0"/>
      <c r="IE709" s="0"/>
      <c r="IF709" s="0"/>
      <c r="IG709" s="0"/>
      <c r="IH709" s="0"/>
      <c r="II709" s="0"/>
      <c r="IJ709" s="0"/>
      <c r="IK709" s="0"/>
      <c r="IL709" s="0"/>
      <c r="IM709" s="0"/>
      <c r="IN709" s="0"/>
      <c r="IO709" s="0"/>
      <c r="IP709" s="0"/>
      <c r="IQ709" s="0"/>
      <c r="IR709" s="0"/>
      <c r="IS709" s="0"/>
      <c r="IT709" s="0"/>
      <c r="IU709" s="0"/>
      <c r="IV709" s="0"/>
    </row>
    <row r="710" customFormat="false" ht="20.1" hidden="false" customHeight="true" outlineLevel="0" collapsed="false">
      <c r="A710" s="0"/>
      <c r="B710" s="0"/>
      <c r="C710" s="0"/>
      <c r="D710" s="0"/>
      <c r="E710" s="0"/>
      <c r="F710" s="0"/>
      <c r="G710" s="0"/>
      <c r="H710" s="0"/>
      <c r="I710" s="0"/>
      <c r="J710" s="11"/>
      <c r="K710" s="0"/>
      <c r="L710" s="0"/>
      <c r="M710" s="0"/>
      <c r="N710" s="0"/>
      <c r="O710" s="0"/>
      <c r="P710" s="1153"/>
      <c r="Q710" s="55"/>
      <c r="R710" s="55"/>
      <c r="S710" s="55"/>
      <c r="T710" s="0"/>
      <c r="U710" s="0"/>
      <c r="V710" s="0"/>
      <c r="W710" s="0"/>
      <c r="X710" s="0"/>
      <c r="Y710" s="0"/>
      <c r="Z710" s="0"/>
      <c r="AA710" s="0"/>
      <c r="AB710" s="0"/>
      <c r="AC710" s="0"/>
      <c r="AD710" s="0"/>
      <c r="AE710" s="0"/>
      <c r="AF710" s="0"/>
      <c r="AG710" s="0"/>
      <c r="AH710" s="0"/>
      <c r="AI710" s="0"/>
      <c r="AJ710" s="0"/>
      <c r="AK710" s="0"/>
      <c r="AL710" s="0"/>
      <c r="AM710" s="0"/>
      <c r="AN710" s="0"/>
      <c r="AO710" s="0"/>
      <c r="AP710" s="0"/>
      <c r="AQ710" s="0"/>
      <c r="AR710" s="0"/>
      <c r="AS710" s="0"/>
      <c r="AT710" s="0"/>
      <c r="AU710" s="0"/>
      <c r="AV710" s="0"/>
      <c r="BR710" s="0"/>
      <c r="BS710" s="0"/>
      <c r="BT710" s="0"/>
      <c r="BU710" s="0"/>
      <c r="BV710" s="0"/>
      <c r="BW710" s="0"/>
      <c r="BX710" s="0"/>
      <c r="BY710" s="0"/>
      <c r="BZ710" s="0"/>
      <c r="CA710" s="0"/>
      <c r="CB710" s="0"/>
      <c r="CC710" s="0"/>
      <c r="CD710" s="0"/>
      <c r="CE710" s="0"/>
      <c r="CF710" s="0"/>
      <c r="CG710" s="0"/>
      <c r="CH710" s="0"/>
      <c r="CI710" s="0"/>
      <c r="CJ710" s="0"/>
      <c r="CK710" s="0"/>
      <c r="CL710" s="0"/>
      <c r="CM710" s="0"/>
      <c r="CN710" s="0"/>
      <c r="CO710" s="0"/>
      <c r="CP710" s="0"/>
      <c r="CQ710" s="0"/>
      <c r="CR710" s="0"/>
      <c r="CS710" s="0"/>
      <c r="CT710" s="0"/>
      <c r="CU710" s="0"/>
      <c r="CV710" s="0"/>
      <c r="CW710" s="0"/>
      <c r="CX710" s="0"/>
      <c r="CY710" s="0"/>
      <c r="CZ710" s="0"/>
      <c r="DA710" s="0"/>
      <c r="DB710" s="0"/>
      <c r="DC710" s="0"/>
      <c r="DD710" s="0"/>
      <c r="DE710" s="0"/>
      <c r="DF710" s="0"/>
      <c r="DG710" s="0"/>
      <c r="DH710" s="0"/>
      <c r="DI710" s="0"/>
      <c r="DJ710" s="0"/>
      <c r="DK710" s="0"/>
      <c r="DL710" s="0"/>
      <c r="DM710" s="0"/>
      <c r="DN710" s="0"/>
      <c r="DO710" s="0"/>
      <c r="DP710" s="0"/>
      <c r="DQ710" s="0"/>
      <c r="DR710" s="0"/>
      <c r="DS710" s="0"/>
      <c r="DT710" s="0"/>
      <c r="DU710" s="0"/>
      <c r="DV710" s="0"/>
      <c r="DW710" s="0"/>
      <c r="DX710" s="0"/>
      <c r="DY710" s="0"/>
      <c r="DZ710" s="0"/>
      <c r="EA710" s="0"/>
      <c r="EB710" s="0"/>
      <c r="EC710" s="0"/>
      <c r="ED710" s="0"/>
      <c r="EE710" s="0"/>
      <c r="EF710" s="0"/>
      <c r="EG710" s="0"/>
      <c r="EH710" s="0"/>
      <c r="EI710" s="0"/>
      <c r="EJ710" s="0"/>
      <c r="EK710" s="0"/>
      <c r="EL710" s="0"/>
      <c r="EM710" s="0"/>
      <c r="EN710" s="0"/>
      <c r="EO710" s="0"/>
      <c r="EP710" s="0"/>
      <c r="EQ710" s="0"/>
      <c r="ER710" s="0"/>
      <c r="ES710" s="0"/>
      <c r="ET710" s="0"/>
      <c r="EU710" s="0"/>
      <c r="EV710" s="0"/>
      <c r="EW710" s="0"/>
      <c r="EX710" s="0"/>
      <c r="EY710" s="0"/>
      <c r="EZ710" s="0"/>
      <c r="FA710" s="0"/>
      <c r="FB710" s="0"/>
      <c r="FC710" s="0"/>
      <c r="FD710" s="0"/>
      <c r="FE710" s="0"/>
      <c r="FF710" s="0"/>
      <c r="FG710" s="0"/>
      <c r="FH710" s="0"/>
      <c r="FI710" s="0"/>
      <c r="FJ710" s="0"/>
      <c r="FK710" s="0"/>
      <c r="FL710" s="0"/>
      <c r="FM710" s="0"/>
      <c r="FN710" s="0"/>
      <c r="FO710" s="0"/>
      <c r="FP710" s="0"/>
      <c r="FQ710" s="0"/>
      <c r="FR710" s="0"/>
      <c r="FS710" s="0"/>
      <c r="FT710" s="0"/>
      <c r="FU710" s="0"/>
      <c r="FV710" s="0"/>
      <c r="FW710" s="0"/>
      <c r="FX710" s="0"/>
      <c r="FY710" s="0"/>
      <c r="FZ710" s="0"/>
      <c r="GA710" s="0"/>
      <c r="GB710" s="0"/>
      <c r="GC710" s="0"/>
      <c r="GD710" s="0"/>
      <c r="GE710" s="0"/>
      <c r="GF710" s="0"/>
      <c r="GG710" s="0"/>
      <c r="GH710" s="0"/>
      <c r="GI710" s="0"/>
      <c r="GJ710" s="0"/>
      <c r="GK710" s="0"/>
      <c r="GL710" s="0"/>
      <c r="GM710" s="0"/>
      <c r="GN710" s="0"/>
      <c r="GO710" s="0"/>
      <c r="GP710" s="0"/>
      <c r="GQ710" s="0"/>
      <c r="GR710" s="0"/>
      <c r="GS710" s="0"/>
      <c r="GT710" s="0"/>
      <c r="GU710" s="0"/>
      <c r="GV710" s="0"/>
      <c r="GW710" s="0"/>
      <c r="GX710" s="0"/>
      <c r="GY710" s="0"/>
      <c r="GZ710" s="0"/>
      <c r="HA710" s="0"/>
      <c r="HB710" s="0"/>
      <c r="HC710" s="0"/>
      <c r="HD710" s="0"/>
      <c r="HE710" s="0"/>
      <c r="HF710" s="0"/>
      <c r="HG710" s="0"/>
      <c r="HH710" s="0"/>
      <c r="HI710" s="0"/>
      <c r="HJ710" s="0"/>
      <c r="HK710" s="0"/>
      <c r="HL710" s="0"/>
      <c r="HM710" s="0"/>
      <c r="HN710" s="0"/>
      <c r="HO710" s="0"/>
      <c r="HP710" s="0"/>
      <c r="HQ710" s="0"/>
      <c r="HR710" s="0"/>
      <c r="HS710" s="0"/>
      <c r="HT710" s="0"/>
      <c r="HU710" s="0"/>
      <c r="HV710" s="0"/>
      <c r="HW710" s="0"/>
      <c r="HX710" s="0"/>
      <c r="HY710" s="0"/>
      <c r="HZ710" s="0"/>
      <c r="IA710" s="0"/>
      <c r="IB710" s="0"/>
      <c r="IC710" s="0"/>
      <c r="ID710" s="0"/>
      <c r="IE710" s="0"/>
      <c r="IF710" s="0"/>
      <c r="IG710" s="0"/>
      <c r="IH710" s="0"/>
      <c r="II710" s="0"/>
      <c r="IJ710" s="0"/>
      <c r="IK710" s="0"/>
      <c r="IL710" s="0"/>
      <c r="IM710" s="0"/>
      <c r="IN710" s="0"/>
      <c r="IO710" s="0"/>
      <c r="IP710" s="0"/>
      <c r="IQ710" s="0"/>
      <c r="IR710" s="0"/>
      <c r="IS710" s="0"/>
      <c r="IT710" s="0"/>
      <c r="IU710" s="0"/>
      <c r="IV710" s="0"/>
    </row>
    <row r="711" customFormat="false" ht="20.1" hidden="false" customHeight="true" outlineLevel="0" collapsed="false">
      <c r="A711" s="869" t="s">
        <v>1486</v>
      </c>
      <c r="B711" s="869"/>
      <c r="C711" s="869"/>
      <c r="D711" s="869"/>
      <c r="E711" s="869"/>
      <c r="F711" s="869"/>
      <c r="G711" s="869"/>
      <c r="H711" s="53"/>
      <c r="I711" s="53"/>
      <c r="J711" s="53"/>
      <c r="K711" s="870"/>
      <c r="L711" s="871" t="s">
        <v>1487</v>
      </c>
      <c r="M711" s="0"/>
      <c r="N711" s="0"/>
      <c r="O711" s="0"/>
      <c r="P711" s="1153"/>
      <c r="Q711" s="55"/>
      <c r="R711" s="55"/>
      <c r="S711" s="55"/>
      <c r="T711" s="0"/>
      <c r="U711" s="0"/>
      <c r="V711" s="0"/>
      <c r="W711" s="0"/>
      <c r="X711" s="0"/>
      <c r="Y711" s="0"/>
      <c r="Z711" s="0"/>
      <c r="AA711" s="0"/>
      <c r="AB711" s="0"/>
      <c r="AC711" s="0"/>
      <c r="AD711" s="0"/>
      <c r="AE711" s="0"/>
      <c r="AF711" s="0"/>
      <c r="AG711" s="0"/>
      <c r="AH711" s="0"/>
      <c r="AI711" s="0"/>
      <c r="AJ711" s="0"/>
      <c r="AK711" s="0"/>
      <c r="AL711" s="0"/>
      <c r="AM711" s="0"/>
      <c r="AN711" s="0"/>
      <c r="AO711" s="0"/>
      <c r="AP711" s="0"/>
      <c r="AQ711" s="0"/>
      <c r="AR711" s="0"/>
      <c r="AS711" s="0"/>
      <c r="AT711" s="0"/>
      <c r="AU711" s="0"/>
      <c r="AV711" s="0"/>
      <c r="BR711" s="0"/>
      <c r="BS711" s="0"/>
      <c r="BT711" s="0"/>
      <c r="BU711" s="0"/>
      <c r="BV711" s="0"/>
      <c r="BW711" s="0"/>
      <c r="BX711" s="0"/>
      <c r="BY711" s="0"/>
      <c r="BZ711" s="0"/>
      <c r="CA711" s="0"/>
      <c r="CB711" s="0"/>
      <c r="CC711" s="0"/>
      <c r="CD711" s="0"/>
      <c r="CE711" s="0"/>
      <c r="CF711" s="0"/>
      <c r="CG711" s="0"/>
      <c r="CH711" s="0"/>
      <c r="CI711" s="0"/>
      <c r="CJ711" s="0"/>
      <c r="CK711" s="0"/>
      <c r="CL711" s="0"/>
      <c r="CM711" s="0"/>
      <c r="CN711" s="0"/>
      <c r="CO711" s="0"/>
      <c r="CP711" s="0"/>
      <c r="CQ711" s="0"/>
      <c r="CR711" s="0"/>
      <c r="CS711" s="0"/>
      <c r="CT711" s="0"/>
      <c r="CU711" s="0"/>
      <c r="CV711" s="0"/>
      <c r="CW711" s="0"/>
      <c r="CX711" s="0"/>
      <c r="CY711" s="0"/>
      <c r="CZ711" s="0"/>
      <c r="DA711" s="0"/>
      <c r="DB711" s="0"/>
      <c r="DC711" s="0"/>
      <c r="DD711" s="0"/>
      <c r="DE711" s="0"/>
      <c r="DF711" s="0"/>
      <c r="DG711" s="0"/>
      <c r="DH711" s="0"/>
      <c r="DI711" s="0"/>
      <c r="DJ711" s="0"/>
      <c r="DK711" s="0"/>
      <c r="DL711" s="0"/>
      <c r="DM711" s="0"/>
      <c r="DN711" s="0"/>
      <c r="DO711" s="0"/>
      <c r="DP711" s="0"/>
      <c r="DQ711" s="0"/>
      <c r="DR711" s="0"/>
      <c r="DS711" s="0"/>
      <c r="DT711" s="0"/>
      <c r="DU711" s="0"/>
      <c r="DV711" s="0"/>
      <c r="DW711" s="0"/>
      <c r="DX711" s="0"/>
      <c r="DY711" s="0"/>
      <c r="DZ711" s="0"/>
      <c r="EA711" s="0"/>
      <c r="EB711" s="0"/>
      <c r="EC711" s="0"/>
      <c r="ED711" s="0"/>
      <c r="EE711" s="0"/>
      <c r="EF711" s="0"/>
      <c r="EG711" s="0"/>
      <c r="EH711" s="0"/>
      <c r="EI711" s="0"/>
      <c r="EJ711" s="0"/>
      <c r="EK711" s="0"/>
      <c r="EL711" s="0"/>
      <c r="EM711" s="0"/>
      <c r="EN711" s="0"/>
      <c r="EO711" s="0"/>
      <c r="EP711" s="0"/>
      <c r="EQ711" s="0"/>
      <c r="ER711" s="0"/>
      <c r="ES711" s="0"/>
      <c r="ET711" s="0"/>
      <c r="EU711" s="0"/>
      <c r="EV711" s="0"/>
      <c r="EW711" s="0"/>
      <c r="EX711" s="0"/>
      <c r="EY711" s="0"/>
      <c r="EZ711" s="0"/>
      <c r="FA711" s="0"/>
      <c r="FB711" s="0"/>
      <c r="FC711" s="0"/>
      <c r="FD711" s="0"/>
      <c r="FE711" s="0"/>
      <c r="FF711" s="0"/>
      <c r="FG711" s="0"/>
      <c r="FH711" s="0"/>
      <c r="FI711" s="0"/>
      <c r="FJ711" s="0"/>
      <c r="FK711" s="0"/>
      <c r="FL711" s="0"/>
      <c r="FM711" s="0"/>
      <c r="FN711" s="0"/>
      <c r="FO711" s="0"/>
      <c r="FP711" s="0"/>
      <c r="FQ711" s="0"/>
      <c r="FR711" s="0"/>
      <c r="FS711" s="0"/>
      <c r="FT711" s="0"/>
      <c r="FU711" s="0"/>
      <c r="FV711" s="0"/>
      <c r="FW711" s="0"/>
      <c r="FX711" s="0"/>
      <c r="FY711" s="0"/>
      <c r="FZ711" s="0"/>
      <c r="GA711" s="0"/>
      <c r="GB711" s="0"/>
      <c r="GC711" s="0"/>
      <c r="GD711" s="0"/>
      <c r="GE711" s="0"/>
      <c r="GF711" s="0"/>
      <c r="GG711" s="0"/>
      <c r="GH711" s="0"/>
      <c r="GI711" s="0"/>
      <c r="GJ711" s="0"/>
      <c r="GK711" s="0"/>
      <c r="GL711" s="0"/>
      <c r="GM711" s="0"/>
      <c r="GN711" s="0"/>
      <c r="GO711" s="0"/>
      <c r="GP711" s="0"/>
      <c r="GQ711" s="0"/>
      <c r="GR711" s="0"/>
      <c r="GS711" s="0"/>
      <c r="GT711" s="0"/>
      <c r="GU711" s="0"/>
      <c r="GV711" s="0"/>
      <c r="GW711" s="0"/>
      <c r="GX711" s="0"/>
      <c r="GY711" s="0"/>
      <c r="GZ711" s="0"/>
      <c r="HA711" s="0"/>
      <c r="HB711" s="0"/>
      <c r="HC711" s="0"/>
      <c r="HD711" s="0"/>
      <c r="HE711" s="0"/>
      <c r="HF711" s="0"/>
      <c r="HG711" s="0"/>
      <c r="HH711" s="0"/>
      <c r="HI711" s="0"/>
      <c r="HJ711" s="0"/>
      <c r="HK711" s="0"/>
      <c r="HL711" s="0"/>
      <c r="HM711" s="0"/>
      <c r="HN711" s="0"/>
      <c r="HO711" s="0"/>
      <c r="HP711" s="0"/>
      <c r="HQ711" s="0"/>
      <c r="HR711" s="0"/>
      <c r="HS711" s="0"/>
      <c r="HT711" s="0"/>
      <c r="HU711" s="0"/>
      <c r="HV711" s="0"/>
      <c r="HW711" s="0"/>
      <c r="HX711" s="0"/>
      <c r="HY711" s="0"/>
      <c r="HZ711" s="0"/>
      <c r="IA711" s="0"/>
      <c r="IB711" s="0"/>
      <c r="IC711" s="0"/>
      <c r="ID711" s="0"/>
      <c r="IE711" s="0"/>
      <c r="IF711" s="0"/>
      <c r="IG711" s="0"/>
      <c r="IH711" s="0"/>
      <c r="II711" s="0"/>
      <c r="IJ711" s="0"/>
      <c r="IK711" s="0"/>
      <c r="IL711" s="0"/>
      <c r="IM711" s="0"/>
      <c r="IN711" s="0"/>
      <c r="IO711" s="0"/>
      <c r="IP711" s="0"/>
      <c r="IQ711" s="0"/>
      <c r="IR711" s="0"/>
      <c r="IS711" s="0"/>
      <c r="IT711" s="0"/>
      <c r="IU711" s="0"/>
      <c r="IV711" s="0"/>
    </row>
    <row r="712" customFormat="false" ht="20.1" hidden="false" customHeight="true" outlineLevel="0" collapsed="false">
      <c r="A712" s="1005"/>
      <c r="B712" s="1005"/>
      <c r="C712" s="1005"/>
      <c r="D712" s="1005"/>
      <c r="E712" s="1005"/>
      <c r="F712" s="1005"/>
      <c r="G712" s="422"/>
      <c r="H712" s="422"/>
      <c r="I712" s="422"/>
      <c r="J712" s="1001"/>
      <c r="K712" s="903"/>
      <c r="L712" s="877"/>
      <c r="M712" s="0"/>
      <c r="N712" s="0"/>
      <c r="O712" s="0"/>
      <c r="P712" s="1153"/>
      <c r="Q712" s="55"/>
      <c r="R712" s="55"/>
      <c r="S712" s="55"/>
      <c r="T712" s="0"/>
      <c r="U712" s="0"/>
      <c r="V712" s="0"/>
      <c r="W712" s="0"/>
      <c r="X712" s="0"/>
      <c r="Y712" s="0"/>
      <c r="Z712" s="0"/>
      <c r="AA712" s="0"/>
      <c r="AB712" s="0"/>
      <c r="AC712" s="0"/>
      <c r="AD712" s="0"/>
      <c r="AE712" s="0"/>
      <c r="AF712" s="0"/>
      <c r="AG712" s="0"/>
      <c r="AH712" s="0"/>
      <c r="AI712" s="0"/>
      <c r="AJ712" s="0"/>
      <c r="AK712" s="0"/>
      <c r="AL712" s="0"/>
      <c r="AM712" s="0"/>
      <c r="AN712" s="0"/>
      <c r="AO712" s="0"/>
      <c r="AP712" s="0"/>
      <c r="AQ712" s="0"/>
      <c r="AR712" s="0"/>
      <c r="AS712" s="0"/>
      <c r="AT712" s="0"/>
      <c r="AU712" s="0"/>
      <c r="AV712" s="0"/>
      <c r="BR712" s="0"/>
      <c r="BS712" s="0"/>
      <c r="BT712" s="0"/>
      <c r="BU712" s="0"/>
      <c r="BV712" s="0"/>
      <c r="BW712" s="0"/>
      <c r="BX712" s="0"/>
      <c r="BY712" s="0"/>
      <c r="BZ712" s="0"/>
      <c r="CA712" s="0"/>
      <c r="CB712" s="0"/>
      <c r="CC712" s="0"/>
      <c r="CD712" s="0"/>
      <c r="CE712" s="0"/>
      <c r="CF712" s="0"/>
      <c r="CG712" s="0"/>
      <c r="CH712" s="0"/>
      <c r="CI712" s="0"/>
      <c r="CJ712" s="0"/>
      <c r="CK712" s="0"/>
      <c r="CL712" s="0"/>
      <c r="CM712" s="0"/>
      <c r="CN712" s="0"/>
      <c r="CO712" s="0"/>
      <c r="CP712" s="0"/>
      <c r="CQ712" s="0"/>
      <c r="CR712" s="0"/>
      <c r="CS712" s="0"/>
      <c r="CT712" s="0"/>
      <c r="CU712" s="0"/>
      <c r="CV712" s="0"/>
      <c r="CW712" s="0"/>
      <c r="CX712" s="0"/>
      <c r="CY712" s="0"/>
      <c r="CZ712" s="0"/>
      <c r="DA712" s="0"/>
      <c r="DB712" s="0"/>
      <c r="DC712" s="0"/>
      <c r="DD712" s="0"/>
      <c r="DE712" s="0"/>
      <c r="DF712" s="0"/>
      <c r="DG712" s="0"/>
      <c r="DH712" s="0"/>
      <c r="DI712" s="0"/>
      <c r="DJ712" s="0"/>
      <c r="DK712" s="0"/>
      <c r="DL712" s="0"/>
      <c r="DM712" s="0"/>
      <c r="DN712" s="0"/>
      <c r="DO712" s="0"/>
      <c r="DP712" s="0"/>
      <c r="DQ712" s="0"/>
      <c r="DR712" s="0"/>
      <c r="DS712" s="0"/>
      <c r="DT712" s="0"/>
      <c r="DU712" s="0"/>
      <c r="DV712" s="0"/>
      <c r="DW712" s="0"/>
      <c r="DX712" s="0"/>
      <c r="DY712" s="0"/>
      <c r="DZ712" s="0"/>
      <c r="EA712" s="0"/>
      <c r="EB712" s="0"/>
      <c r="EC712" s="0"/>
      <c r="ED712" s="0"/>
      <c r="EE712" s="0"/>
      <c r="EF712" s="0"/>
      <c r="EG712" s="0"/>
      <c r="EH712" s="0"/>
      <c r="EI712" s="0"/>
      <c r="EJ712" s="0"/>
      <c r="EK712" s="0"/>
      <c r="EL712" s="0"/>
      <c r="EM712" s="0"/>
      <c r="EN712" s="0"/>
      <c r="EO712" s="0"/>
      <c r="EP712" s="0"/>
      <c r="EQ712" s="0"/>
      <c r="ER712" s="0"/>
      <c r="ES712" s="0"/>
      <c r="ET712" s="0"/>
      <c r="EU712" s="0"/>
      <c r="EV712" s="0"/>
      <c r="EW712" s="0"/>
      <c r="EX712" s="0"/>
      <c r="EY712" s="0"/>
      <c r="EZ712" s="0"/>
      <c r="FA712" s="0"/>
      <c r="FB712" s="0"/>
      <c r="FC712" s="0"/>
      <c r="FD712" s="0"/>
      <c r="FE712" s="0"/>
      <c r="FF712" s="0"/>
      <c r="FG712" s="0"/>
      <c r="FH712" s="0"/>
      <c r="FI712" s="0"/>
      <c r="FJ712" s="0"/>
      <c r="FK712" s="0"/>
      <c r="FL712" s="0"/>
      <c r="FM712" s="0"/>
      <c r="FN712" s="0"/>
      <c r="FO712" s="0"/>
      <c r="FP712" s="0"/>
      <c r="FQ712" s="0"/>
      <c r="FR712" s="0"/>
      <c r="FS712" s="0"/>
      <c r="FT712" s="0"/>
      <c r="FU712" s="0"/>
      <c r="FV712" s="0"/>
      <c r="FW712" s="0"/>
      <c r="FX712" s="0"/>
      <c r="FY712" s="0"/>
      <c r="FZ712" s="0"/>
      <c r="GA712" s="0"/>
      <c r="GB712" s="0"/>
      <c r="GC712" s="0"/>
      <c r="GD712" s="0"/>
      <c r="GE712" s="0"/>
      <c r="GF712" s="0"/>
      <c r="GG712" s="0"/>
      <c r="GH712" s="0"/>
      <c r="GI712" s="0"/>
      <c r="GJ712" s="0"/>
      <c r="GK712" s="0"/>
      <c r="GL712" s="0"/>
      <c r="GM712" s="0"/>
      <c r="GN712" s="0"/>
      <c r="GO712" s="0"/>
      <c r="GP712" s="0"/>
      <c r="GQ712" s="0"/>
      <c r="GR712" s="0"/>
      <c r="GS712" s="0"/>
      <c r="GT712" s="0"/>
      <c r="GU712" s="0"/>
      <c r="GV712" s="0"/>
      <c r="GW712" s="0"/>
      <c r="GX712" s="0"/>
      <c r="GY712" s="0"/>
      <c r="GZ712" s="0"/>
      <c r="HA712" s="0"/>
      <c r="HB712" s="0"/>
      <c r="HC712" s="0"/>
      <c r="HD712" s="0"/>
      <c r="HE712" s="0"/>
      <c r="HF712" s="0"/>
      <c r="HG712" s="0"/>
      <c r="HH712" s="0"/>
      <c r="HI712" s="0"/>
      <c r="HJ712" s="0"/>
      <c r="HK712" s="0"/>
      <c r="HL712" s="0"/>
      <c r="HM712" s="0"/>
      <c r="HN712" s="0"/>
      <c r="HO712" s="0"/>
      <c r="HP712" s="0"/>
      <c r="HQ712" s="0"/>
      <c r="HR712" s="0"/>
      <c r="HS712" s="0"/>
      <c r="HT712" s="0"/>
      <c r="HU712" s="0"/>
      <c r="HV712" s="0"/>
      <c r="HW712" s="0"/>
      <c r="HX712" s="0"/>
      <c r="HY712" s="0"/>
      <c r="HZ712" s="0"/>
      <c r="IA712" s="0"/>
      <c r="IB712" s="0"/>
      <c r="IC712" s="0"/>
      <c r="ID712" s="0"/>
      <c r="IE712" s="0"/>
      <c r="IF712" s="0"/>
      <c r="IG712" s="0"/>
      <c r="IH712" s="0"/>
      <c r="II712" s="0"/>
      <c r="IJ712" s="0"/>
      <c r="IK712" s="0"/>
      <c r="IL712" s="0"/>
      <c r="IM712" s="0"/>
      <c r="IN712" s="0"/>
      <c r="IO712" s="0"/>
      <c r="IP712" s="0"/>
      <c r="IQ712" s="0"/>
      <c r="IR712" s="0"/>
      <c r="IS712" s="0"/>
      <c r="IT712" s="0"/>
      <c r="IU712" s="0"/>
      <c r="IV712" s="0"/>
    </row>
    <row r="713" customFormat="false" ht="20.1" hidden="false" customHeight="true" outlineLevel="0" collapsed="false">
      <c r="A713" s="1164" t="s">
        <v>643</v>
      </c>
      <c r="B713" s="1164"/>
      <c r="C713" s="1164"/>
      <c r="D713" s="1164"/>
      <c r="E713" s="1164"/>
      <c r="F713" s="1014" t="s">
        <v>645</v>
      </c>
      <c r="G713" s="55"/>
      <c r="J713" s="927"/>
      <c r="K713" s="927"/>
      <c r="L713" s="877" t="s">
        <v>1348</v>
      </c>
      <c r="N713" s="0"/>
      <c r="O713" s="0"/>
      <c r="P713" s="1153"/>
      <c r="Q713" s="55"/>
      <c r="R713" s="55"/>
      <c r="S713" s="55"/>
      <c r="T713" s="0"/>
      <c r="U713" s="0"/>
      <c r="V713" s="0"/>
      <c r="W713" s="0"/>
      <c r="X713" s="0"/>
      <c r="Y713" s="0"/>
      <c r="Z713" s="0"/>
      <c r="AA713" s="0"/>
      <c r="AB713" s="0"/>
      <c r="AC713" s="0"/>
      <c r="AD713" s="0"/>
      <c r="AE713" s="0"/>
      <c r="AF713" s="0"/>
      <c r="AG713" s="0"/>
      <c r="AH713" s="0"/>
      <c r="AI713" s="0"/>
      <c r="AJ713" s="0"/>
      <c r="AK713" s="0"/>
      <c r="AL713" s="0"/>
      <c r="AM713" s="0"/>
      <c r="AN713" s="0"/>
      <c r="AO713" s="0"/>
      <c r="AP713" s="0"/>
      <c r="AQ713" s="0"/>
      <c r="AR713" s="0"/>
      <c r="AS713" s="0"/>
      <c r="AT713" s="0"/>
      <c r="AU713" s="0"/>
      <c r="AV713" s="0"/>
      <c r="BF713" s="12"/>
      <c r="BG713" s="903"/>
      <c r="BH713" s="877"/>
      <c r="BI713" s="0"/>
      <c r="BJ713" s="0"/>
      <c r="BK713" s="0"/>
      <c r="BL713" s="0"/>
      <c r="BM713" s="0"/>
      <c r="BN713" s="0"/>
      <c r="BO713" s="0"/>
      <c r="BP713" s="0"/>
      <c r="BQ713" s="0"/>
      <c r="BR713" s="0"/>
      <c r="BS713" s="0"/>
      <c r="BT713" s="0"/>
      <c r="BU713" s="0"/>
      <c r="BV713" s="0"/>
      <c r="BW713" s="0"/>
      <c r="BX713" s="0"/>
      <c r="BY713" s="0"/>
      <c r="BZ713" s="0"/>
      <c r="CA713" s="0"/>
      <c r="CB713" s="0"/>
      <c r="CC713" s="0"/>
      <c r="CD713" s="0"/>
      <c r="CE713" s="0"/>
      <c r="CF713" s="0"/>
      <c r="CG713" s="0"/>
      <c r="CH713" s="0"/>
      <c r="CI713" s="0"/>
      <c r="CJ713" s="0"/>
      <c r="CK713" s="0"/>
      <c r="CL713" s="0"/>
      <c r="CM713" s="0"/>
      <c r="CN713" s="0"/>
      <c r="CO713" s="0"/>
      <c r="CP713" s="0"/>
      <c r="CQ713" s="0"/>
      <c r="CR713" s="0"/>
      <c r="CS713" s="0"/>
      <c r="CT713" s="0"/>
      <c r="CU713" s="0"/>
      <c r="CV713" s="0"/>
      <c r="CW713" s="0"/>
      <c r="CX713" s="0"/>
      <c r="CY713" s="0"/>
      <c r="CZ713" s="0"/>
      <c r="DA713" s="0"/>
      <c r="DB713" s="0"/>
      <c r="DC713" s="0"/>
      <c r="DD713" s="0"/>
      <c r="DE713" s="0"/>
      <c r="DF713" s="0"/>
      <c r="DG713" s="0"/>
      <c r="DH713" s="0"/>
      <c r="DI713" s="0"/>
      <c r="DJ713" s="0"/>
      <c r="DK713" s="0"/>
      <c r="DL713" s="0"/>
      <c r="DM713" s="0"/>
      <c r="DN713" s="0"/>
      <c r="DO713" s="0"/>
      <c r="DP713" s="0"/>
      <c r="DQ713" s="0"/>
      <c r="DR713" s="0"/>
      <c r="DS713" s="0"/>
      <c r="DT713" s="0"/>
      <c r="DU713" s="0"/>
      <c r="DV713" s="0"/>
      <c r="DW713" s="0"/>
      <c r="DX713" s="0"/>
      <c r="DY713" s="0"/>
      <c r="DZ713" s="0"/>
      <c r="EA713" s="0"/>
      <c r="EB713" s="0"/>
      <c r="EC713" s="0"/>
      <c r="ED713" s="0"/>
      <c r="EE713" s="0"/>
      <c r="EF713" s="0"/>
      <c r="EG713" s="0"/>
      <c r="EH713" s="0"/>
      <c r="EI713" s="0"/>
      <c r="EJ713" s="0"/>
      <c r="EK713" s="0"/>
      <c r="EL713" s="0"/>
      <c r="EM713" s="0"/>
      <c r="EN713" s="0"/>
      <c r="EO713" s="0"/>
      <c r="EP713" s="0"/>
      <c r="EQ713" s="0"/>
      <c r="ER713" s="0"/>
      <c r="ES713" s="0"/>
      <c r="ET713" s="0"/>
      <c r="EU713" s="0"/>
      <c r="EV713" s="0"/>
      <c r="EW713" s="0"/>
      <c r="EX713" s="0"/>
      <c r="EY713" s="0"/>
      <c r="EZ713" s="0"/>
      <c r="FA713" s="0"/>
      <c r="FB713" s="0"/>
      <c r="FC713" s="0"/>
      <c r="FD713" s="0"/>
      <c r="FE713" s="0"/>
      <c r="FF713" s="0"/>
      <c r="FG713" s="0"/>
      <c r="FH713" s="0"/>
      <c r="FI713" s="0"/>
      <c r="FJ713" s="0"/>
      <c r="FK713" s="0"/>
      <c r="FL713" s="0"/>
      <c r="FM713" s="0"/>
      <c r="FN713" s="0"/>
      <c r="FO713" s="0"/>
      <c r="FP713" s="0"/>
      <c r="FQ713" s="0"/>
      <c r="FR713" s="0"/>
      <c r="FS713" s="0"/>
      <c r="FT713" s="0"/>
      <c r="FU713" s="0"/>
      <c r="FV713" s="0"/>
      <c r="FW713" s="0"/>
      <c r="FX713" s="0"/>
      <c r="FY713" s="0"/>
      <c r="FZ713" s="0"/>
      <c r="GA713" s="0"/>
      <c r="GB713" s="0"/>
      <c r="GC713" s="0"/>
      <c r="GD713" s="0"/>
      <c r="GE713" s="0"/>
      <c r="GF713" s="0"/>
      <c r="GG713" s="0"/>
      <c r="GH713" s="0"/>
      <c r="GI713" s="0"/>
      <c r="GJ713" s="0"/>
      <c r="GK713" s="0"/>
      <c r="GL713" s="0"/>
      <c r="GM713" s="0"/>
      <c r="GN713" s="0"/>
      <c r="GO713" s="0"/>
      <c r="GP713" s="0"/>
      <c r="GQ713" s="0"/>
      <c r="GR713" s="0"/>
      <c r="GS713" s="0"/>
      <c r="GT713" s="0"/>
      <c r="GU713" s="0"/>
      <c r="GV713" s="0"/>
      <c r="GW713" s="0"/>
      <c r="GX713" s="0"/>
      <c r="GY713" s="0"/>
      <c r="GZ713" s="0"/>
      <c r="HA713" s="0"/>
      <c r="HB713" s="0"/>
      <c r="HC713" s="0"/>
      <c r="HD713" s="0"/>
      <c r="HE713" s="0"/>
      <c r="HF713" s="0"/>
      <c r="HG713" s="0"/>
      <c r="HH713" s="0"/>
      <c r="HI713" s="0"/>
      <c r="HJ713" s="0"/>
      <c r="HK713" s="0"/>
      <c r="HL713" s="0"/>
      <c r="HM713" s="0"/>
      <c r="HN713" s="0"/>
      <c r="HO713" s="0"/>
      <c r="HP713" s="0"/>
      <c r="HQ713" s="0"/>
      <c r="HR713" s="0"/>
      <c r="HS713" s="0"/>
      <c r="HT713" s="0"/>
      <c r="HU713" s="0"/>
      <c r="HV713" s="0"/>
      <c r="HW713" s="0"/>
      <c r="HX713" s="0"/>
      <c r="HY713" s="0"/>
      <c r="HZ713" s="0"/>
      <c r="IA713" s="0"/>
      <c r="IB713" s="0"/>
      <c r="IC713" s="0"/>
      <c r="ID713" s="0"/>
      <c r="IE713" s="0"/>
      <c r="IF713" s="0"/>
      <c r="IG713" s="0"/>
      <c r="IH713" s="0"/>
      <c r="II713" s="0"/>
      <c r="IJ713" s="0"/>
      <c r="IK713" s="0"/>
      <c r="IL713" s="0"/>
      <c r="IM713" s="0"/>
      <c r="IN713" s="0"/>
      <c r="IO713" s="0"/>
      <c r="IP713" s="0"/>
      <c r="IQ713" s="0"/>
      <c r="IR713" s="0"/>
      <c r="IS713" s="0"/>
      <c r="IT713" s="0"/>
      <c r="IU713" s="0"/>
      <c r="IV713" s="0"/>
    </row>
    <row r="714" customFormat="false" ht="20.1" hidden="false" customHeight="true" outlineLevel="0" collapsed="false">
      <c r="A714" s="1165" t="s">
        <v>1488</v>
      </c>
      <c r="B714" s="1165"/>
      <c r="C714" s="1165"/>
      <c r="D714" s="1165"/>
      <c r="F714" s="1166" t="s">
        <v>645</v>
      </c>
      <c r="G714" s="1167" t="s">
        <v>646</v>
      </c>
      <c r="H714" s="1167"/>
      <c r="I714" s="1167"/>
      <c r="J714" s="1167"/>
      <c r="K714" s="1167"/>
      <c r="L714" s="1167"/>
      <c r="N714" s="0"/>
      <c r="O714" s="0"/>
      <c r="P714" s="1153"/>
      <c r="Q714" s="55"/>
      <c r="R714" s="55"/>
      <c r="S714" s="55"/>
      <c r="T714" s="0"/>
      <c r="U714" s="0"/>
      <c r="V714" s="0"/>
      <c r="W714" s="0"/>
      <c r="X714" s="0"/>
      <c r="Y714" s="0"/>
      <c r="Z714" s="0"/>
      <c r="AA714" s="0"/>
      <c r="AB714" s="0"/>
      <c r="AC714" s="0"/>
      <c r="AD714" s="0"/>
      <c r="AE714" s="0"/>
      <c r="AF714" s="0"/>
      <c r="AG714" s="0"/>
      <c r="AH714" s="0"/>
      <c r="AI714" s="0"/>
      <c r="AJ714" s="0"/>
      <c r="AK714" s="0"/>
      <c r="AL714" s="0"/>
      <c r="AM714" s="0"/>
      <c r="AN714" s="0"/>
      <c r="AO714" s="0"/>
      <c r="AP714" s="0"/>
      <c r="AQ714" s="0"/>
      <c r="AR714" s="0"/>
      <c r="AS714" s="0"/>
      <c r="AT714" s="0"/>
      <c r="AU714" s="0"/>
      <c r="AV714" s="0"/>
      <c r="AW714" s="0"/>
      <c r="AX714" s="0"/>
      <c r="AY714" s="0"/>
      <c r="AZ714" s="0"/>
      <c r="BA714" s="0"/>
      <c r="BB714" s="0"/>
      <c r="BC714" s="0"/>
      <c r="BD714" s="0"/>
      <c r="BE714" s="0"/>
      <c r="BF714" s="0"/>
      <c r="BG714" s="0"/>
      <c r="BH714" s="0"/>
      <c r="BI714" s="0"/>
      <c r="BJ714" s="0"/>
      <c r="BK714" s="0"/>
      <c r="BL714" s="0"/>
      <c r="BM714" s="0"/>
      <c r="BN714" s="0"/>
      <c r="BO714" s="0"/>
      <c r="BP714" s="0"/>
      <c r="BQ714" s="0"/>
      <c r="BR714" s="0"/>
      <c r="BS714" s="0"/>
      <c r="BT714" s="0"/>
      <c r="BU714" s="0"/>
      <c r="BV714" s="0"/>
      <c r="BW714" s="0"/>
      <c r="BX714" s="0"/>
      <c r="BY714" s="0"/>
      <c r="BZ714" s="0"/>
      <c r="CA714" s="0"/>
      <c r="CB714" s="0"/>
      <c r="CC714" s="0"/>
      <c r="CD714" s="0"/>
      <c r="CE714" s="0"/>
      <c r="CF714" s="0"/>
      <c r="CG714" s="0"/>
      <c r="CH714" s="0"/>
      <c r="CI714" s="0"/>
      <c r="CJ714" s="0"/>
      <c r="CK714" s="0"/>
      <c r="CL714" s="0"/>
      <c r="CM714" s="0"/>
      <c r="CN714" s="0"/>
      <c r="CO714" s="0"/>
      <c r="CP714" s="0"/>
      <c r="CQ714" s="0"/>
      <c r="CR714" s="0"/>
      <c r="CS714" s="0"/>
      <c r="CT714" s="0"/>
      <c r="CU714" s="0"/>
      <c r="CV714" s="0"/>
      <c r="CW714" s="0"/>
      <c r="CX714" s="0"/>
      <c r="CY714" s="0"/>
      <c r="CZ714" s="0"/>
      <c r="DA714" s="0"/>
      <c r="DB714" s="0"/>
      <c r="DC714" s="0"/>
      <c r="DD714" s="0"/>
      <c r="DE714" s="0"/>
      <c r="DF714" s="0"/>
      <c r="DG714" s="0"/>
      <c r="DH714" s="0"/>
      <c r="DI714" s="0"/>
      <c r="DJ714" s="0"/>
      <c r="DK714" s="0"/>
      <c r="DL714" s="0"/>
      <c r="DM714" s="0"/>
      <c r="DN714" s="0"/>
      <c r="DO714" s="0"/>
      <c r="DP714" s="0"/>
      <c r="DQ714" s="0"/>
      <c r="DR714" s="0"/>
      <c r="DS714" s="0"/>
      <c r="DT714" s="0"/>
      <c r="DU714" s="0"/>
      <c r="DV714" s="0"/>
      <c r="DW714" s="0"/>
      <c r="DX714" s="0"/>
      <c r="DY714" s="0"/>
      <c r="DZ714" s="0"/>
      <c r="EA714" s="0"/>
      <c r="EB714" s="0"/>
      <c r="EC714" s="0"/>
      <c r="ED714" s="0"/>
      <c r="EE714" s="0"/>
      <c r="EF714" s="0"/>
      <c r="EG714" s="0"/>
      <c r="EH714" s="0"/>
      <c r="EI714" s="0"/>
      <c r="EJ714" s="0"/>
      <c r="EK714" s="0"/>
      <c r="EL714" s="0"/>
      <c r="EM714" s="0"/>
      <c r="EN714" s="0"/>
      <c r="EO714" s="0"/>
      <c r="EP714" s="0"/>
      <c r="EQ714" s="0"/>
      <c r="ER714" s="0"/>
      <c r="ES714" s="0"/>
      <c r="ET714" s="0"/>
      <c r="EU714" s="0"/>
      <c r="EV714" s="0"/>
      <c r="EW714" s="0"/>
      <c r="EX714" s="0"/>
      <c r="EY714" s="0"/>
      <c r="EZ714" s="0"/>
      <c r="FA714" s="0"/>
      <c r="FB714" s="0"/>
      <c r="FC714" s="0"/>
      <c r="FD714" s="0"/>
      <c r="FE714" s="0"/>
      <c r="FF714" s="0"/>
      <c r="FG714" s="0"/>
      <c r="FH714" s="0"/>
      <c r="FI714" s="0"/>
      <c r="FJ714" s="0"/>
      <c r="FK714" s="0"/>
      <c r="FL714" s="0"/>
      <c r="FM714" s="0"/>
      <c r="FN714" s="0"/>
      <c r="FO714" s="0"/>
      <c r="FP714" s="0"/>
      <c r="FQ714" s="0"/>
      <c r="FR714" s="0"/>
      <c r="FS714" s="0"/>
      <c r="FT714" s="0"/>
      <c r="FU714" s="0"/>
      <c r="FV714" s="0"/>
      <c r="FW714" s="0"/>
      <c r="FX714" s="0"/>
      <c r="FY714" s="0"/>
      <c r="FZ714" s="0"/>
      <c r="GA714" s="0"/>
      <c r="GB714" s="0"/>
      <c r="GC714" s="0"/>
      <c r="GD714" s="0"/>
      <c r="GE714" s="0"/>
      <c r="GF714" s="0"/>
      <c r="GG714" s="0"/>
      <c r="GH714" s="0"/>
      <c r="GI714" s="0"/>
      <c r="GJ714" s="0"/>
      <c r="GK714" s="0"/>
      <c r="GL714" s="0"/>
      <c r="GM714" s="0"/>
      <c r="GN714" s="0"/>
      <c r="GO714" s="0"/>
      <c r="GP714" s="0"/>
      <c r="GQ714" s="0"/>
      <c r="GR714" s="0"/>
      <c r="GS714" s="0"/>
      <c r="GT714" s="0"/>
      <c r="GU714" s="0"/>
      <c r="GV714" s="0"/>
      <c r="GW714" s="0"/>
      <c r="GX714" s="0"/>
      <c r="GY714" s="0"/>
      <c r="GZ714" s="0"/>
      <c r="HA714" s="0"/>
      <c r="HB714" s="0"/>
      <c r="HC714" s="0"/>
      <c r="HD714" s="0"/>
      <c r="HE714" s="0"/>
      <c r="HF714" s="0"/>
      <c r="HG714" s="0"/>
      <c r="HH714" s="0"/>
      <c r="HI714" s="0"/>
      <c r="HJ714" s="0"/>
      <c r="HK714" s="0"/>
      <c r="HL714" s="0"/>
      <c r="HM714" s="0"/>
      <c r="HN714" s="0"/>
      <c r="HO714" s="0"/>
      <c r="HP714" s="0"/>
      <c r="HQ714" s="0"/>
      <c r="HR714" s="0"/>
      <c r="HS714" s="0"/>
      <c r="HT714" s="0"/>
      <c r="HU714" s="0"/>
      <c r="HV714" s="0"/>
      <c r="HW714" s="0"/>
      <c r="HX714" s="0"/>
      <c r="HY714" s="0"/>
      <c r="HZ714" s="0"/>
      <c r="IA714" s="0"/>
      <c r="IB714" s="0"/>
      <c r="IC714" s="0"/>
      <c r="ID714" s="0"/>
      <c r="IE714" s="0"/>
      <c r="IF714" s="0"/>
      <c r="IG714" s="0"/>
      <c r="IH714" s="0"/>
      <c r="II714" s="0"/>
      <c r="IJ714" s="0"/>
      <c r="IK714" s="0"/>
      <c r="IL714" s="0"/>
      <c r="IM714" s="0"/>
      <c r="IN714" s="0"/>
      <c r="IO714" s="0"/>
      <c r="IP714" s="0"/>
      <c r="IQ714" s="0"/>
      <c r="IR714" s="0"/>
      <c r="IS714" s="0"/>
      <c r="IT714" s="0"/>
      <c r="IU714" s="0"/>
      <c r="IV714" s="0"/>
    </row>
    <row r="715" customFormat="false" ht="20.1" hidden="false" customHeight="true" outlineLevel="0" collapsed="false">
      <c r="A715" s="18"/>
      <c r="B715" s="1168"/>
      <c r="C715" s="1168"/>
      <c r="D715" s="0"/>
      <c r="F715" s="1166" t="s">
        <v>647</v>
      </c>
      <c r="G715" s="1167" t="s">
        <v>1489</v>
      </c>
      <c r="H715" s="1167"/>
      <c r="I715" s="1167"/>
      <c r="J715" s="1167"/>
      <c r="K715" s="1167"/>
      <c r="L715" s="1167"/>
      <c r="N715" s="0"/>
      <c r="O715" s="0"/>
      <c r="P715" s="1153"/>
      <c r="Q715" s="55"/>
      <c r="R715" s="55"/>
      <c r="S715" s="55"/>
      <c r="T715" s="0"/>
      <c r="U715" s="0"/>
      <c r="V715" s="0"/>
      <c r="W715" s="0"/>
      <c r="X715" s="0"/>
      <c r="Y715" s="0"/>
      <c r="Z715" s="0"/>
      <c r="AA715" s="0"/>
      <c r="AB715" s="0"/>
      <c r="AC715" s="0"/>
      <c r="AD715" s="0"/>
      <c r="AE715" s="0"/>
      <c r="AF715" s="0"/>
      <c r="AG715" s="0"/>
      <c r="AH715" s="0"/>
      <c r="AI715" s="0"/>
      <c r="AJ715" s="0"/>
      <c r="AK715" s="0"/>
      <c r="AL715" s="0"/>
      <c r="AM715" s="0"/>
      <c r="AN715" s="0"/>
      <c r="AO715" s="0"/>
      <c r="AP715" s="0"/>
      <c r="AQ715" s="0"/>
      <c r="AR715" s="0"/>
      <c r="AS715" s="0"/>
      <c r="AT715" s="0"/>
      <c r="AU715" s="0"/>
      <c r="AV715" s="0"/>
      <c r="AW715" s="0"/>
      <c r="AX715" s="0"/>
      <c r="AY715" s="0"/>
      <c r="AZ715" s="0"/>
      <c r="BA715" s="0"/>
      <c r="BB715" s="0"/>
      <c r="BC715" s="0"/>
      <c r="BD715" s="0"/>
      <c r="BE715" s="0"/>
      <c r="BF715" s="0"/>
      <c r="BG715" s="0"/>
      <c r="BH715" s="0"/>
      <c r="BI715" s="0"/>
      <c r="BJ715" s="0"/>
      <c r="BK715" s="0"/>
      <c r="BL715" s="0"/>
      <c r="BM715" s="0"/>
      <c r="BN715" s="0"/>
      <c r="BO715" s="0"/>
      <c r="BP715" s="0"/>
      <c r="BQ715" s="0"/>
      <c r="BR715" s="0"/>
      <c r="BS715" s="0"/>
      <c r="BT715" s="0"/>
      <c r="BU715" s="0"/>
      <c r="BV715" s="0"/>
      <c r="BW715" s="0"/>
      <c r="BX715" s="0"/>
      <c r="BY715" s="0"/>
      <c r="BZ715" s="0"/>
      <c r="CA715" s="0"/>
      <c r="CB715" s="0"/>
      <c r="CC715" s="0"/>
      <c r="CD715" s="0"/>
      <c r="CE715" s="0"/>
      <c r="CF715" s="0"/>
      <c r="CG715" s="0"/>
      <c r="CH715" s="0"/>
      <c r="CI715" s="0"/>
      <c r="CJ715" s="0"/>
      <c r="CK715" s="0"/>
      <c r="CL715" s="0"/>
      <c r="CM715" s="0"/>
      <c r="CN715" s="0"/>
      <c r="CO715" s="0"/>
      <c r="CP715" s="0"/>
      <c r="CQ715" s="0"/>
      <c r="CR715" s="0"/>
      <c r="CS715" s="0"/>
      <c r="CT715" s="0"/>
      <c r="CU715" s="0"/>
      <c r="CV715" s="0"/>
      <c r="CW715" s="0"/>
      <c r="CX715" s="0"/>
      <c r="CY715" s="0"/>
      <c r="CZ715" s="0"/>
      <c r="DA715" s="0"/>
      <c r="DB715" s="0"/>
      <c r="DC715" s="0"/>
      <c r="DD715" s="0"/>
      <c r="DE715" s="0"/>
      <c r="DF715" s="0"/>
      <c r="DG715" s="0"/>
      <c r="DH715" s="0"/>
      <c r="DI715" s="0"/>
      <c r="DJ715" s="0"/>
      <c r="DK715" s="0"/>
      <c r="DL715" s="0"/>
      <c r="DM715" s="0"/>
      <c r="DN715" s="0"/>
      <c r="DO715" s="0"/>
      <c r="DP715" s="0"/>
      <c r="DQ715" s="0"/>
      <c r="DR715" s="0"/>
      <c r="DS715" s="0"/>
      <c r="DT715" s="0"/>
      <c r="DU715" s="0"/>
      <c r="DV715" s="0"/>
      <c r="DW715" s="0"/>
      <c r="DX715" s="0"/>
      <c r="DY715" s="0"/>
      <c r="DZ715" s="0"/>
      <c r="EA715" s="0"/>
      <c r="EB715" s="0"/>
      <c r="EC715" s="0"/>
      <c r="ED715" s="0"/>
      <c r="EE715" s="0"/>
      <c r="EF715" s="0"/>
      <c r="EG715" s="0"/>
      <c r="EH715" s="0"/>
      <c r="EI715" s="0"/>
      <c r="EJ715" s="0"/>
      <c r="EK715" s="0"/>
      <c r="EL715" s="0"/>
      <c r="EM715" s="0"/>
      <c r="EN715" s="0"/>
      <c r="EO715" s="0"/>
      <c r="EP715" s="0"/>
      <c r="EQ715" s="0"/>
      <c r="ER715" s="0"/>
      <c r="ES715" s="0"/>
      <c r="ET715" s="0"/>
      <c r="EU715" s="0"/>
      <c r="EV715" s="0"/>
      <c r="EW715" s="0"/>
      <c r="EX715" s="0"/>
      <c r="EY715" s="0"/>
      <c r="EZ715" s="0"/>
      <c r="FA715" s="0"/>
      <c r="FB715" s="0"/>
      <c r="FC715" s="0"/>
      <c r="FD715" s="0"/>
      <c r="FE715" s="0"/>
      <c r="FF715" s="0"/>
      <c r="FG715" s="0"/>
      <c r="FH715" s="0"/>
      <c r="FI715" s="0"/>
      <c r="FJ715" s="0"/>
      <c r="FK715" s="0"/>
      <c r="FL715" s="0"/>
      <c r="FM715" s="0"/>
      <c r="FN715" s="0"/>
      <c r="FO715" s="0"/>
      <c r="FP715" s="0"/>
      <c r="FQ715" s="0"/>
      <c r="FR715" s="0"/>
      <c r="FS715" s="0"/>
      <c r="FT715" s="0"/>
      <c r="FU715" s="0"/>
      <c r="FV715" s="0"/>
      <c r="FW715" s="0"/>
      <c r="FX715" s="0"/>
      <c r="FY715" s="0"/>
      <c r="FZ715" s="0"/>
      <c r="GA715" s="0"/>
      <c r="GB715" s="0"/>
      <c r="GC715" s="0"/>
      <c r="GD715" s="0"/>
      <c r="GE715" s="0"/>
      <c r="GF715" s="0"/>
      <c r="GG715" s="0"/>
      <c r="GH715" s="0"/>
      <c r="GI715" s="0"/>
      <c r="GJ715" s="0"/>
      <c r="GK715" s="0"/>
      <c r="GL715" s="0"/>
      <c r="GM715" s="0"/>
      <c r="GN715" s="0"/>
      <c r="GO715" s="0"/>
      <c r="GP715" s="0"/>
      <c r="GQ715" s="0"/>
      <c r="GR715" s="0"/>
      <c r="GS715" s="0"/>
      <c r="GT715" s="0"/>
      <c r="GU715" s="0"/>
      <c r="GV715" s="0"/>
      <c r="GW715" s="0"/>
      <c r="GX715" s="0"/>
      <c r="GY715" s="0"/>
      <c r="GZ715" s="0"/>
      <c r="HA715" s="0"/>
      <c r="HB715" s="0"/>
      <c r="HC715" s="0"/>
      <c r="HD715" s="0"/>
      <c r="HE715" s="0"/>
      <c r="HF715" s="0"/>
      <c r="HG715" s="0"/>
      <c r="HH715" s="0"/>
      <c r="HI715" s="0"/>
      <c r="HJ715" s="0"/>
      <c r="HK715" s="0"/>
      <c r="HL715" s="0"/>
      <c r="HM715" s="0"/>
      <c r="HN715" s="0"/>
      <c r="HO715" s="0"/>
      <c r="HP715" s="0"/>
      <c r="HQ715" s="0"/>
      <c r="HR715" s="0"/>
      <c r="HS715" s="0"/>
      <c r="HT715" s="0"/>
      <c r="HU715" s="0"/>
      <c r="HV715" s="0"/>
      <c r="HW715" s="0"/>
      <c r="HX715" s="0"/>
      <c r="HY715" s="0"/>
      <c r="HZ715" s="0"/>
      <c r="IA715" s="0"/>
      <c r="IB715" s="0"/>
      <c r="IC715" s="0"/>
      <c r="ID715" s="0"/>
      <c r="IE715" s="0"/>
      <c r="IF715" s="0"/>
      <c r="IG715" s="0"/>
      <c r="IH715" s="0"/>
      <c r="II715" s="0"/>
      <c r="IJ715" s="0"/>
      <c r="IK715" s="0"/>
      <c r="IL715" s="0"/>
      <c r="IM715" s="0"/>
      <c r="IN715" s="0"/>
      <c r="IO715" s="0"/>
      <c r="IP715" s="0"/>
      <c r="IQ715" s="0"/>
      <c r="IR715" s="0"/>
      <c r="IS715" s="0"/>
      <c r="IT715" s="0"/>
      <c r="IU715" s="0"/>
      <c r="IV715" s="0"/>
    </row>
    <row r="716" customFormat="false" ht="20.1" hidden="false" customHeight="true" outlineLevel="0" collapsed="false">
      <c r="A716" s="18"/>
      <c r="B716" s="1168"/>
      <c r="C716" s="1168"/>
      <c r="D716" s="0"/>
      <c r="F716" s="1166" t="s">
        <v>649</v>
      </c>
      <c r="G716" s="1167" t="s">
        <v>650</v>
      </c>
      <c r="H716" s="1167"/>
      <c r="I716" s="1167"/>
      <c r="J716" s="1167"/>
      <c r="K716" s="1167"/>
      <c r="L716" s="1167"/>
      <c r="N716" s="0"/>
      <c r="O716" s="0"/>
      <c r="P716" s="1153"/>
      <c r="Q716" s="55"/>
      <c r="R716" s="55"/>
      <c r="S716" s="55"/>
      <c r="T716" s="0"/>
      <c r="U716" s="0"/>
      <c r="V716" s="0"/>
      <c r="W716" s="0"/>
      <c r="X716" s="0"/>
      <c r="Y716" s="0"/>
      <c r="Z716" s="0"/>
      <c r="AA716" s="0"/>
      <c r="AB716" s="0"/>
      <c r="AC716" s="0"/>
      <c r="AD716" s="0"/>
      <c r="AE716" s="0"/>
      <c r="AF716" s="0"/>
      <c r="AG716" s="0"/>
      <c r="AH716" s="0"/>
      <c r="AI716" s="0"/>
      <c r="AJ716" s="0"/>
      <c r="AK716" s="0"/>
      <c r="AL716" s="0"/>
      <c r="AM716" s="0"/>
      <c r="AN716" s="0"/>
      <c r="AO716" s="0"/>
      <c r="AP716" s="0"/>
      <c r="AQ716" s="0"/>
      <c r="AR716" s="0"/>
      <c r="AS716" s="0"/>
      <c r="AT716" s="0"/>
      <c r="AU716" s="0"/>
      <c r="AV716" s="0"/>
      <c r="AW716" s="0"/>
      <c r="AX716" s="0"/>
      <c r="AY716" s="0"/>
      <c r="AZ716" s="0"/>
      <c r="BA716" s="0"/>
      <c r="BB716" s="0"/>
      <c r="BC716" s="0"/>
      <c r="BD716" s="0"/>
      <c r="BE716" s="0"/>
      <c r="BF716" s="0"/>
      <c r="BG716" s="0"/>
      <c r="BH716" s="0"/>
      <c r="BI716" s="0"/>
      <c r="BJ716" s="0"/>
      <c r="BK716" s="0"/>
      <c r="BL716" s="0"/>
      <c r="BM716" s="0"/>
      <c r="BN716" s="0"/>
      <c r="BO716" s="0"/>
      <c r="BP716" s="0"/>
      <c r="BQ716" s="0"/>
      <c r="BR716" s="0"/>
      <c r="BS716" s="0"/>
      <c r="BT716" s="0"/>
      <c r="BU716" s="0"/>
      <c r="BV716" s="0"/>
      <c r="BW716" s="0"/>
      <c r="BX716" s="0"/>
      <c r="BY716" s="0"/>
      <c r="BZ716" s="0"/>
      <c r="CA716" s="0"/>
      <c r="CB716" s="0"/>
      <c r="CC716" s="0"/>
      <c r="CD716" s="0"/>
      <c r="CE716" s="0"/>
      <c r="CF716" s="0"/>
      <c r="CG716" s="0"/>
      <c r="CH716" s="0"/>
      <c r="CI716" s="0"/>
      <c r="CJ716" s="0"/>
      <c r="CK716" s="0"/>
      <c r="CL716" s="0"/>
      <c r="CM716" s="0"/>
      <c r="CN716" s="0"/>
      <c r="CO716" s="0"/>
      <c r="CP716" s="0"/>
      <c r="CQ716" s="0"/>
      <c r="CR716" s="0"/>
      <c r="CS716" s="0"/>
      <c r="CT716" s="0"/>
      <c r="CU716" s="0"/>
      <c r="CV716" s="0"/>
      <c r="CW716" s="0"/>
      <c r="CX716" s="0"/>
      <c r="CY716" s="0"/>
      <c r="CZ716" s="0"/>
      <c r="DA716" s="0"/>
      <c r="DB716" s="0"/>
      <c r="DC716" s="0"/>
      <c r="DD716" s="0"/>
      <c r="DE716" s="0"/>
      <c r="DF716" s="0"/>
      <c r="DG716" s="0"/>
      <c r="DH716" s="0"/>
      <c r="DI716" s="0"/>
      <c r="DJ716" s="0"/>
      <c r="DK716" s="0"/>
      <c r="DL716" s="0"/>
      <c r="DM716" s="0"/>
      <c r="DN716" s="0"/>
      <c r="DO716" s="0"/>
      <c r="DP716" s="0"/>
      <c r="DQ716" s="0"/>
      <c r="DR716" s="0"/>
      <c r="DS716" s="0"/>
      <c r="DT716" s="0"/>
      <c r="DU716" s="0"/>
      <c r="DV716" s="0"/>
      <c r="DW716" s="0"/>
      <c r="DX716" s="0"/>
      <c r="DY716" s="0"/>
      <c r="DZ716" s="0"/>
      <c r="EA716" s="0"/>
      <c r="EB716" s="0"/>
      <c r="EC716" s="0"/>
      <c r="ED716" s="0"/>
      <c r="EE716" s="0"/>
      <c r="EF716" s="0"/>
      <c r="EG716" s="0"/>
      <c r="EH716" s="0"/>
      <c r="EI716" s="0"/>
      <c r="EJ716" s="0"/>
      <c r="EK716" s="0"/>
      <c r="EL716" s="0"/>
      <c r="EM716" s="0"/>
      <c r="EN716" s="0"/>
      <c r="EO716" s="0"/>
      <c r="EP716" s="0"/>
      <c r="EQ716" s="0"/>
      <c r="ER716" s="0"/>
      <c r="ES716" s="0"/>
      <c r="ET716" s="0"/>
      <c r="EU716" s="0"/>
      <c r="EV716" s="0"/>
      <c r="EW716" s="0"/>
      <c r="EX716" s="0"/>
      <c r="EY716" s="0"/>
      <c r="EZ716" s="0"/>
      <c r="FA716" s="0"/>
      <c r="FB716" s="0"/>
      <c r="FC716" s="0"/>
      <c r="FD716" s="0"/>
      <c r="FE716" s="0"/>
      <c r="FF716" s="0"/>
      <c r="FG716" s="0"/>
      <c r="FH716" s="0"/>
      <c r="FI716" s="0"/>
      <c r="FJ716" s="0"/>
      <c r="FK716" s="0"/>
      <c r="FL716" s="0"/>
      <c r="FM716" s="0"/>
      <c r="FN716" s="0"/>
      <c r="FO716" s="0"/>
      <c r="FP716" s="0"/>
      <c r="FQ716" s="0"/>
      <c r="FR716" s="0"/>
      <c r="FS716" s="0"/>
      <c r="FT716" s="0"/>
      <c r="FU716" s="0"/>
      <c r="FV716" s="0"/>
      <c r="FW716" s="0"/>
      <c r="FX716" s="0"/>
      <c r="FY716" s="0"/>
      <c r="FZ716" s="0"/>
      <c r="GA716" s="0"/>
      <c r="GB716" s="0"/>
      <c r="GC716" s="0"/>
      <c r="GD716" s="0"/>
      <c r="GE716" s="0"/>
      <c r="GF716" s="0"/>
      <c r="GG716" s="0"/>
      <c r="GH716" s="0"/>
      <c r="GI716" s="0"/>
      <c r="GJ716" s="0"/>
      <c r="GK716" s="0"/>
      <c r="GL716" s="0"/>
      <c r="GM716" s="0"/>
      <c r="GN716" s="0"/>
      <c r="GO716" s="0"/>
      <c r="GP716" s="0"/>
      <c r="GQ716" s="0"/>
      <c r="GR716" s="0"/>
      <c r="GS716" s="0"/>
      <c r="GT716" s="0"/>
      <c r="GU716" s="0"/>
      <c r="GV716" s="0"/>
      <c r="GW716" s="0"/>
      <c r="GX716" s="0"/>
      <c r="GY716" s="0"/>
      <c r="GZ716" s="0"/>
      <c r="HA716" s="0"/>
      <c r="HB716" s="0"/>
      <c r="HC716" s="0"/>
      <c r="HD716" s="0"/>
      <c r="HE716" s="0"/>
      <c r="HF716" s="0"/>
      <c r="HG716" s="0"/>
      <c r="HH716" s="0"/>
      <c r="HI716" s="0"/>
      <c r="HJ716" s="0"/>
      <c r="HK716" s="0"/>
      <c r="HL716" s="0"/>
      <c r="HM716" s="0"/>
      <c r="HN716" s="0"/>
      <c r="HO716" s="0"/>
      <c r="HP716" s="0"/>
      <c r="HQ716" s="0"/>
      <c r="HR716" s="0"/>
      <c r="HS716" s="0"/>
      <c r="HT716" s="0"/>
      <c r="HU716" s="0"/>
      <c r="HV716" s="0"/>
      <c r="HW716" s="0"/>
      <c r="HX716" s="0"/>
      <c r="HY716" s="0"/>
      <c r="HZ716" s="0"/>
      <c r="IA716" s="0"/>
      <c r="IB716" s="0"/>
      <c r="IC716" s="0"/>
      <c r="ID716" s="0"/>
      <c r="IE716" s="0"/>
      <c r="IF716" s="0"/>
      <c r="IG716" s="0"/>
      <c r="IH716" s="0"/>
      <c r="II716" s="0"/>
      <c r="IJ716" s="0"/>
      <c r="IK716" s="0"/>
      <c r="IL716" s="0"/>
      <c r="IM716" s="0"/>
      <c r="IN716" s="0"/>
      <c r="IO716" s="0"/>
      <c r="IP716" s="0"/>
      <c r="IQ716" s="0"/>
      <c r="IR716" s="0"/>
      <c r="IS716" s="0"/>
      <c r="IT716" s="0"/>
      <c r="IU716" s="0"/>
      <c r="IV716" s="0"/>
    </row>
    <row r="717" customFormat="false" ht="20.1" hidden="false" customHeight="true" outlineLevel="0" collapsed="false">
      <c r="A717" s="18"/>
      <c r="B717" s="422"/>
      <c r="C717" s="0"/>
      <c r="D717" s="969"/>
      <c r="F717" s="1166" t="s">
        <v>651</v>
      </c>
      <c r="G717" s="1167" t="s">
        <v>652</v>
      </c>
      <c r="H717" s="1167"/>
      <c r="I717" s="1167"/>
      <c r="J717" s="1167"/>
      <c r="K717" s="1167"/>
      <c r="L717" s="1167"/>
      <c r="N717" s="0"/>
      <c r="O717" s="0"/>
      <c r="P717" s="1153"/>
      <c r="Q717" s="55"/>
      <c r="R717" s="55"/>
      <c r="S717" s="55"/>
      <c r="T717" s="0"/>
      <c r="U717" s="0"/>
      <c r="V717" s="0"/>
      <c r="W717" s="0"/>
      <c r="X717" s="0"/>
      <c r="Y717" s="0"/>
      <c r="Z717" s="0"/>
      <c r="AA717" s="0"/>
      <c r="AB717" s="0"/>
      <c r="AC717" s="0"/>
      <c r="AD717" s="0"/>
      <c r="AE717" s="0"/>
      <c r="AF717" s="0"/>
      <c r="AG717" s="0"/>
      <c r="AH717" s="0"/>
      <c r="AI717" s="0"/>
      <c r="AJ717" s="0"/>
      <c r="AK717" s="0"/>
      <c r="AL717" s="0"/>
      <c r="AM717" s="0"/>
      <c r="AN717" s="0"/>
      <c r="AO717" s="0"/>
      <c r="AP717" s="0"/>
      <c r="AQ717" s="0"/>
      <c r="AR717" s="0"/>
      <c r="AS717" s="0"/>
      <c r="AT717" s="0"/>
      <c r="BS717" s="0"/>
      <c r="BT717" s="0"/>
      <c r="BU717" s="0"/>
      <c r="BV717" s="0"/>
      <c r="BW717" s="0"/>
      <c r="BX717" s="0"/>
      <c r="BY717" s="0"/>
      <c r="BZ717" s="0"/>
      <c r="CA717" s="0"/>
      <c r="CB717" s="0"/>
      <c r="CC717" s="0"/>
      <c r="CD717" s="0"/>
      <c r="CE717" s="0"/>
      <c r="CF717" s="0"/>
      <c r="CG717" s="0"/>
      <c r="CH717" s="0"/>
      <c r="CI717" s="0"/>
      <c r="CJ717" s="0"/>
      <c r="CK717" s="0"/>
      <c r="CL717" s="0"/>
      <c r="CM717" s="0"/>
      <c r="CN717" s="0"/>
      <c r="CO717" s="0"/>
      <c r="CP717" s="0"/>
      <c r="CQ717" s="0"/>
      <c r="CR717" s="0"/>
      <c r="CS717" s="0"/>
      <c r="CT717" s="0"/>
      <c r="CU717" s="0"/>
      <c r="CV717" s="0"/>
      <c r="CW717" s="0"/>
      <c r="CX717" s="0"/>
      <c r="CY717" s="0"/>
      <c r="CZ717" s="0"/>
      <c r="DA717" s="0"/>
      <c r="DB717" s="0"/>
      <c r="DC717" s="0"/>
      <c r="DD717" s="0"/>
      <c r="DE717" s="0"/>
      <c r="DF717" s="0"/>
      <c r="DG717" s="0"/>
      <c r="DH717" s="0"/>
      <c r="DI717" s="0"/>
      <c r="DJ717" s="0"/>
      <c r="DK717" s="0"/>
      <c r="DL717" s="0"/>
      <c r="DM717" s="0"/>
      <c r="DN717" s="0"/>
      <c r="DO717" s="0"/>
      <c r="DP717" s="0"/>
      <c r="DQ717" s="0"/>
      <c r="DR717" s="0"/>
      <c r="DS717" s="0"/>
      <c r="DT717" s="0"/>
      <c r="DU717" s="0"/>
      <c r="DV717" s="0"/>
      <c r="DW717" s="0"/>
      <c r="DX717" s="0"/>
      <c r="DY717" s="0"/>
      <c r="DZ717" s="0"/>
      <c r="EA717" s="0"/>
      <c r="EB717" s="0"/>
      <c r="EC717" s="0"/>
      <c r="ED717" s="0"/>
      <c r="EE717" s="0"/>
      <c r="EF717" s="0"/>
      <c r="EG717" s="0"/>
      <c r="EH717" s="0"/>
      <c r="EI717" s="0"/>
      <c r="EJ717" s="0"/>
      <c r="EK717" s="0"/>
      <c r="EL717" s="0"/>
      <c r="EM717" s="0"/>
      <c r="EN717" s="0"/>
      <c r="EO717" s="0"/>
      <c r="EP717" s="0"/>
      <c r="EQ717" s="0"/>
      <c r="ER717" s="0"/>
      <c r="ES717" s="0"/>
      <c r="ET717" s="0"/>
      <c r="EU717" s="0"/>
      <c r="EV717" s="0"/>
      <c r="EW717" s="0"/>
      <c r="EX717" s="0"/>
      <c r="EY717" s="0"/>
      <c r="EZ717" s="0"/>
      <c r="FA717" s="0"/>
      <c r="FB717" s="0"/>
      <c r="FC717" s="0"/>
      <c r="FD717" s="0"/>
      <c r="FE717" s="0"/>
      <c r="FF717" s="0"/>
      <c r="FG717" s="0"/>
      <c r="FH717" s="0"/>
      <c r="FI717" s="0"/>
      <c r="FJ717" s="0"/>
      <c r="FK717" s="0"/>
      <c r="FL717" s="0"/>
      <c r="FM717" s="0"/>
      <c r="FN717" s="0"/>
      <c r="FO717" s="0"/>
      <c r="FP717" s="0"/>
      <c r="FQ717" s="0"/>
      <c r="FR717" s="0"/>
      <c r="FS717" s="0"/>
      <c r="FT717" s="0"/>
      <c r="FU717" s="0"/>
      <c r="FV717" s="0"/>
      <c r="FW717" s="0"/>
      <c r="FX717" s="0"/>
      <c r="FY717" s="0"/>
      <c r="FZ717" s="0"/>
      <c r="GA717" s="0"/>
      <c r="GB717" s="0"/>
      <c r="GC717" s="0"/>
      <c r="GD717" s="0"/>
      <c r="GE717" s="0"/>
      <c r="GF717" s="0"/>
      <c r="GG717" s="0"/>
      <c r="GH717" s="0"/>
      <c r="GI717" s="0"/>
      <c r="GJ717" s="0"/>
      <c r="GK717" s="0"/>
      <c r="GL717" s="0"/>
      <c r="GM717" s="0"/>
      <c r="GN717" s="0"/>
      <c r="GO717" s="0"/>
      <c r="GP717" s="0"/>
      <c r="GQ717" s="0"/>
      <c r="GR717" s="0"/>
      <c r="GS717" s="0"/>
      <c r="GT717" s="0"/>
      <c r="GU717" s="0"/>
      <c r="GV717" s="0"/>
      <c r="GW717" s="0"/>
      <c r="GX717" s="0"/>
      <c r="GY717" s="0"/>
      <c r="GZ717" s="0"/>
      <c r="HA717" s="0"/>
      <c r="HB717" s="0"/>
      <c r="HC717" s="0"/>
      <c r="HD717" s="0"/>
      <c r="HE717" s="0"/>
      <c r="HF717" s="0"/>
      <c r="HG717" s="0"/>
      <c r="HH717" s="0"/>
      <c r="HI717" s="0"/>
      <c r="HJ717" s="0"/>
      <c r="HK717" s="0"/>
      <c r="HL717" s="0"/>
      <c r="HM717" s="0"/>
      <c r="HN717" s="0"/>
      <c r="HO717" s="0"/>
      <c r="HP717" s="0"/>
      <c r="HQ717" s="0"/>
      <c r="HR717" s="0"/>
      <c r="HS717" s="0"/>
      <c r="HT717" s="0"/>
      <c r="HU717" s="0"/>
      <c r="HV717" s="0"/>
      <c r="HW717" s="0"/>
      <c r="HX717" s="0"/>
      <c r="HY717" s="0"/>
      <c r="HZ717" s="0"/>
      <c r="IA717" s="0"/>
      <c r="IB717" s="0"/>
      <c r="IC717" s="0"/>
      <c r="ID717" s="0"/>
      <c r="IE717" s="0"/>
      <c r="IF717" s="0"/>
      <c r="IG717" s="0"/>
      <c r="IH717" s="0"/>
      <c r="II717" s="0"/>
      <c r="IJ717" s="0"/>
      <c r="IK717" s="0"/>
      <c r="IL717" s="0"/>
      <c r="IM717" s="0"/>
      <c r="IN717" s="0"/>
      <c r="IO717" s="0"/>
      <c r="IP717" s="0"/>
      <c r="IQ717" s="0"/>
      <c r="IR717" s="0"/>
      <c r="IS717" s="0"/>
      <c r="IT717" s="0"/>
      <c r="IU717" s="0"/>
      <c r="IV717" s="0"/>
    </row>
    <row r="718" customFormat="false" ht="20.1" hidden="false" customHeight="true" outlineLevel="0" collapsed="false">
      <c r="J718" s="11"/>
      <c r="K718" s="55"/>
      <c r="L718" s="55"/>
      <c r="N718" s="0"/>
      <c r="O718" s="0"/>
      <c r="P718" s="1153"/>
      <c r="Q718" s="55"/>
      <c r="R718" s="55"/>
      <c r="S718" s="55"/>
      <c r="T718" s="0"/>
      <c r="U718" s="0"/>
      <c r="V718" s="0"/>
      <c r="W718" s="0"/>
      <c r="X718" s="0"/>
      <c r="Y718" s="0"/>
      <c r="Z718" s="0"/>
      <c r="AA718" s="0"/>
      <c r="AB718" s="0"/>
      <c r="AC718" s="0"/>
      <c r="AD718" s="0"/>
      <c r="AE718" s="0"/>
      <c r="AF718" s="0"/>
      <c r="AG718" s="0"/>
      <c r="AH718" s="0"/>
      <c r="AI718" s="0"/>
      <c r="AJ718" s="0"/>
      <c r="AK718" s="0"/>
      <c r="AL718" s="0"/>
      <c r="AM718" s="0"/>
      <c r="AN718" s="0"/>
      <c r="AO718" s="0"/>
      <c r="AP718" s="0"/>
      <c r="AQ718" s="0"/>
      <c r="AR718" s="0"/>
      <c r="AS718" s="0"/>
      <c r="AT718" s="0"/>
      <c r="BS718" s="0"/>
      <c r="BT718" s="0"/>
      <c r="BU718" s="0"/>
      <c r="BV718" s="0"/>
      <c r="BW718" s="0"/>
      <c r="BX718" s="0"/>
      <c r="BY718" s="0"/>
      <c r="BZ718" s="0"/>
      <c r="CA718" s="0"/>
      <c r="CB718" s="0"/>
      <c r="CC718" s="0"/>
      <c r="CD718" s="0"/>
      <c r="CE718" s="0"/>
      <c r="CF718" s="0"/>
      <c r="CG718" s="0"/>
      <c r="CH718" s="0"/>
      <c r="CI718" s="0"/>
      <c r="CJ718" s="0"/>
      <c r="CK718" s="0"/>
      <c r="CL718" s="0"/>
      <c r="CM718" s="0"/>
      <c r="CN718" s="0"/>
      <c r="CO718" s="0"/>
      <c r="CP718" s="0"/>
      <c r="CQ718" s="0"/>
      <c r="CR718" s="0"/>
      <c r="CS718" s="0"/>
      <c r="CT718" s="0"/>
      <c r="CU718" s="0"/>
      <c r="CV718" s="0"/>
      <c r="CW718" s="0"/>
      <c r="CX718" s="0"/>
      <c r="CY718" s="0"/>
      <c r="CZ718" s="0"/>
      <c r="DA718" s="0"/>
      <c r="DB718" s="0"/>
      <c r="DC718" s="0"/>
      <c r="DD718" s="0"/>
      <c r="DE718" s="0"/>
      <c r="DF718" s="0"/>
      <c r="DG718" s="0"/>
      <c r="DH718" s="0"/>
      <c r="DI718" s="0"/>
      <c r="DJ718" s="0"/>
      <c r="DK718" s="0"/>
      <c r="DL718" s="0"/>
      <c r="DM718" s="0"/>
      <c r="DN718" s="0"/>
      <c r="DO718" s="0"/>
      <c r="DP718" s="0"/>
      <c r="DQ718" s="0"/>
      <c r="DR718" s="0"/>
      <c r="DS718" s="0"/>
      <c r="DT718" s="0"/>
      <c r="DU718" s="0"/>
      <c r="DV718" s="0"/>
      <c r="DW718" s="0"/>
      <c r="DX718" s="0"/>
      <c r="DY718" s="0"/>
      <c r="DZ718" s="0"/>
      <c r="EA718" s="0"/>
      <c r="EB718" s="0"/>
      <c r="EC718" s="0"/>
      <c r="ED718" s="0"/>
      <c r="EE718" s="0"/>
      <c r="EF718" s="0"/>
      <c r="EG718" s="0"/>
      <c r="EH718" s="0"/>
      <c r="EI718" s="0"/>
      <c r="EJ718" s="0"/>
      <c r="EK718" s="0"/>
      <c r="EL718" s="0"/>
      <c r="EM718" s="0"/>
      <c r="EN718" s="0"/>
      <c r="EO718" s="0"/>
      <c r="EP718" s="0"/>
      <c r="EQ718" s="0"/>
      <c r="ER718" s="0"/>
      <c r="ES718" s="0"/>
      <c r="ET718" s="0"/>
      <c r="EU718" s="0"/>
      <c r="EV718" s="0"/>
      <c r="EW718" s="0"/>
      <c r="EX718" s="0"/>
      <c r="EY718" s="0"/>
      <c r="EZ718" s="0"/>
      <c r="FA718" s="0"/>
      <c r="FB718" s="0"/>
      <c r="FC718" s="0"/>
      <c r="FD718" s="0"/>
      <c r="FE718" s="0"/>
      <c r="FF718" s="0"/>
      <c r="FG718" s="0"/>
      <c r="FH718" s="0"/>
      <c r="FI718" s="0"/>
      <c r="FJ718" s="0"/>
      <c r="FK718" s="0"/>
      <c r="FL718" s="0"/>
      <c r="FM718" s="0"/>
      <c r="FN718" s="0"/>
      <c r="FO718" s="0"/>
      <c r="FP718" s="0"/>
      <c r="FQ718" s="0"/>
      <c r="FR718" s="0"/>
      <c r="FS718" s="0"/>
      <c r="FT718" s="0"/>
      <c r="FU718" s="0"/>
      <c r="FV718" s="0"/>
      <c r="FW718" s="0"/>
      <c r="FX718" s="0"/>
      <c r="FY718" s="0"/>
      <c r="FZ718" s="0"/>
      <c r="GA718" s="0"/>
      <c r="GB718" s="0"/>
      <c r="GC718" s="0"/>
      <c r="GD718" s="0"/>
      <c r="GE718" s="0"/>
      <c r="GF718" s="0"/>
      <c r="GG718" s="0"/>
      <c r="GH718" s="0"/>
      <c r="GI718" s="0"/>
      <c r="GJ718" s="0"/>
      <c r="GK718" s="0"/>
      <c r="GL718" s="0"/>
      <c r="GM718" s="0"/>
      <c r="GN718" s="0"/>
      <c r="GO718" s="0"/>
      <c r="GP718" s="0"/>
      <c r="GQ718" s="0"/>
      <c r="GR718" s="0"/>
      <c r="GS718" s="0"/>
      <c r="GT718" s="0"/>
      <c r="GU718" s="0"/>
      <c r="GV718" s="0"/>
      <c r="GW718" s="0"/>
      <c r="GX718" s="0"/>
      <c r="GY718" s="0"/>
      <c r="GZ718" s="0"/>
      <c r="HA718" s="0"/>
      <c r="HB718" s="0"/>
      <c r="HC718" s="0"/>
      <c r="HD718" s="0"/>
      <c r="HE718" s="0"/>
      <c r="HF718" s="0"/>
      <c r="HG718" s="0"/>
      <c r="HH718" s="0"/>
      <c r="HI718" s="0"/>
      <c r="HJ718" s="0"/>
      <c r="HK718" s="0"/>
      <c r="HL718" s="0"/>
      <c r="HM718" s="0"/>
      <c r="HN718" s="0"/>
      <c r="HO718" s="0"/>
      <c r="HP718" s="0"/>
      <c r="HQ718" s="0"/>
      <c r="HR718" s="0"/>
      <c r="HS718" s="0"/>
      <c r="HT718" s="0"/>
      <c r="HU718" s="0"/>
      <c r="HV718" s="0"/>
      <c r="HW718" s="0"/>
      <c r="HX718" s="0"/>
      <c r="HY718" s="0"/>
      <c r="HZ718" s="0"/>
      <c r="IA718" s="0"/>
      <c r="IB718" s="0"/>
      <c r="IC718" s="0"/>
      <c r="ID718" s="0"/>
      <c r="IE718" s="0"/>
      <c r="IF718" s="0"/>
      <c r="IG718" s="0"/>
      <c r="IH718" s="0"/>
      <c r="II718" s="0"/>
      <c r="IJ718" s="0"/>
      <c r="IK718" s="0"/>
      <c r="IL718" s="0"/>
      <c r="IM718" s="0"/>
      <c r="IN718" s="0"/>
      <c r="IO718" s="0"/>
      <c r="IP718" s="0"/>
      <c r="IQ718" s="0"/>
      <c r="IR718" s="0"/>
      <c r="IS718" s="0"/>
      <c r="IT718" s="0"/>
      <c r="IU718" s="0"/>
      <c r="IV718" s="0"/>
    </row>
    <row r="719" customFormat="false" ht="34.5" hidden="false" customHeight="true" outlineLevel="0" collapsed="false">
      <c r="J719" s="11"/>
      <c r="N719" s="0"/>
      <c r="O719" s="0"/>
      <c r="P719" s="1153"/>
      <c r="Q719" s="55"/>
      <c r="R719" s="55"/>
      <c r="S719" s="55"/>
      <c r="T719" s="0"/>
      <c r="U719" s="0"/>
      <c r="V719" s="0"/>
      <c r="W719" s="0"/>
      <c r="X719" s="0"/>
      <c r="Y719" s="0"/>
      <c r="Z719" s="0"/>
      <c r="AA719" s="0"/>
      <c r="AB719" s="0"/>
      <c r="AC719" s="0"/>
      <c r="AD719" s="0"/>
      <c r="AE719" s="0"/>
      <c r="AF719" s="0"/>
      <c r="AG719" s="0"/>
      <c r="AH719" s="0"/>
      <c r="AI719" s="0"/>
      <c r="AJ719" s="0"/>
      <c r="AK719" s="0"/>
      <c r="AL719" s="0"/>
      <c r="AM719" s="0"/>
      <c r="AN719" s="0"/>
      <c r="AO719" s="0"/>
      <c r="AP719" s="0"/>
      <c r="AQ719" s="0"/>
      <c r="AR719" s="0"/>
      <c r="AS719" s="0"/>
      <c r="AT719" s="0"/>
      <c r="BS719" s="0"/>
      <c r="BT719" s="0"/>
      <c r="BU719" s="0"/>
      <c r="BV719" s="0"/>
      <c r="BW719" s="0"/>
      <c r="BX719" s="0"/>
      <c r="BY719" s="0"/>
      <c r="BZ719" s="0"/>
      <c r="CA719" s="0"/>
      <c r="CB719" s="0"/>
      <c r="CC719" s="0"/>
      <c r="CD719" s="0"/>
      <c r="CE719" s="0"/>
      <c r="CF719" s="0"/>
      <c r="CG719" s="0"/>
      <c r="CH719" s="0"/>
      <c r="CI719" s="0"/>
      <c r="CJ719" s="0"/>
      <c r="CK719" s="0"/>
      <c r="CL719" s="0"/>
      <c r="CM719" s="0"/>
      <c r="CN719" s="0"/>
      <c r="CO719" s="0"/>
      <c r="CP719" s="0"/>
      <c r="CQ719" s="0"/>
      <c r="CR719" s="0"/>
      <c r="CS719" s="0"/>
      <c r="CT719" s="0"/>
      <c r="CU719" s="0"/>
      <c r="CV719" s="0"/>
      <c r="CW719" s="0"/>
      <c r="CX719" s="0"/>
      <c r="CY719" s="0"/>
      <c r="CZ719" s="0"/>
      <c r="DA719" s="0"/>
      <c r="DB719" s="0"/>
      <c r="DC719" s="0"/>
      <c r="DD719" s="0"/>
      <c r="DE719" s="0"/>
      <c r="DF719" s="0"/>
      <c r="DG719" s="0"/>
      <c r="DH719" s="0"/>
      <c r="DI719" s="0"/>
      <c r="DJ719" s="0"/>
      <c r="DK719" s="0"/>
      <c r="DL719" s="0"/>
      <c r="DM719" s="0"/>
      <c r="DN719" s="0"/>
      <c r="DO719" s="0"/>
      <c r="DP719" s="0"/>
      <c r="DQ719" s="0"/>
      <c r="DR719" s="0"/>
      <c r="DS719" s="0"/>
      <c r="DT719" s="0"/>
      <c r="DU719" s="0"/>
      <c r="DV719" s="0"/>
      <c r="DW719" s="0"/>
      <c r="DX719" s="0"/>
      <c r="DY719" s="0"/>
      <c r="DZ719" s="0"/>
      <c r="EA719" s="0"/>
      <c r="EB719" s="0"/>
      <c r="EC719" s="0"/>
      <c r="ED719" s="0"/>
      <c r="EE719" s="0"/>
      <c r="EF719" s="0"/>
      <c r="EG719" s="0"/>
      <c r="EH719" s="0"/>
      <c r="EI719" s="0"/>
      <c r="EJ719" s="0"/>
      <c r="EK719" s="0"/>
      <c r="EL719" s="0"/>
      <c r="EM719" s="0"/>
      <c r="EN719" s="0"/>
      <c r="EO719" s="0"/>
      <c r="EP719" s="0"/>
      <c r="EQ719" s="0"/>
      <c r="ER719" s="0"/>
      <c r="ES719" s="0"/>
      <c r="ET719" s="0"/>
      <c r="EU719" s="0"/>
      <c r="EV719" s="0"/>
      <c r="EW719" s="0"/>
      <c r="EX719" s="0"/>
      <c r="EY719" s="0"/>
      <c r="EZ719" s="0"/>
      <c r="FA719" s="0"/>
      <c r="FB719" s="0"/>
      <c r="FC719" s="0"/>
      <c r="FD719" s="0"/>
      <c r="FE719" s="0"/>
      <c r="FF719" s="0"/>
      <c r="FG719" s="0"/>
      <c r="FH719" s="0"/>
      <c r="FI719" s="0"/>
      <c r="FJ719" s="0"/>
      <c r="FK719" s="0"/>
      <c r="FL719" s="0"/>
      <c r="FM719" s="0"/>
      <c r="FN719" s="0"/>
      <c r="FO719" s="0"/>
      <c r="FP719" s="0"/>
      <c r="FQ719" s="0"/>
      <c r="FR719" s="0"/>
      <c r="FS719" s="0"/>
      <c r="FT719" s="0"/>
      <c r="FU719" s="0"/>
      <c r="FV719" s="0"/>
      <c r="FW719" s="0"/>
      <c r="FX719" s="0"/>
      <c r="FY719" s="0"/>
      <c r="FZ719" s="0"/>
      <c r="GA719" s="0"/>
      <c r="GB719" s="0"/>
      <c r="GC719" s="0"/>
      <c r="GD719" s="0"/>
      <c r="GE719" s="0"/>
      <c r="GF719" s="0"/>
      <c r="GG719" s="0"/>
      <c r="GH719" s="0"/>
      <c r="GI719" s="0"/>
      <c r="GJ719" s="0"/>
      <c r="GK719" s="0"/>
      <c r="GL719" s="0"/>
      <c r="GM719" s="0"/>
      <c r="GN719" s="0"/>
      <c r="GO719" s="0"/>
      <c r="GP719" s="0"/>
      <c r="GQ719" s="0"/>
      <c r="GR719" s="0"/>
      <c r="GS719" s="0"/>
      <c r="GT719" s="0"/>
      <c r="GU719" s="0"/>
      <c r="GV719" s="0"/>
      <c r="GW719" s="0"/>
      <c r="GX719" s="0"/>
      <c r="GY719" s="0"/>
      <c r="GZ719" s="0"/>
      <c r="HA719" s="0"/>
      <c r="HB719" s="0"/>
      <c r="HC719" s="0"/>
      <c r="HD719" s="0"/>
      <c r="HE719" s="0"/>
      <c r="HF719" s="0"/>
      <c r="HG719" s="0"/>
      <c r="HH719" s="0"/>
      <c r="HI719" s="0"/>
      <c r="HJ719" s="0"/>
      <c r="HK719" s="0"/>
      <c r="HL719" s="0"/>
      <c r="HM719" s="0"/>
      <c r="HN719" s="0"/>
      <c r="HO719" s="0"/>
      <c r="HP719" s="0"/>
      <c r="HQ719" s="0"/>
      <c r="HR719" s="0"/>
      <c r="HS719" s="0"/>
      <c r="HT719" s="0"/>
      <c r="HU719" s="0"/>
      <c r="HV719" s="0"/>
      <c r="HW719" s="0"/>
      <c r="HX719" s="0"/>
      <c r="HY719" s="0"/>
      <c r="HZ719" s="0"/>
      <c r="IA719" s="0"/>
      <c r="IB719" s="0"/>
      <c r="IC719" s="0"/>
      <c r="ID719" s="0"/>
      <c r="IE719" s="0"/>
      <c r="IF719" s="0"/>
      <c r="IG719" s="0"/>
      <c r="IH719" s="0"/>
      <c r="II719" s="0"/>
      <c r="IJ719" s="0"/>
      <c r="IK719" s="0"/>
      <c r="IL719" s="0"/>
      <c r="IM719" s="0"/>
      <c r="IN719" s="0"/>
      <c r="IO719" s="0"/>
      <c r="IP719" s="0"/>
      <c r="IQ719" s="0"/>
      <c r="IR719" s="0"/>
      <c r="IS719" s="0"/>
      <c r="IT719" s="0"/>
      <c r="IU719" s="0"/>
      <c r="IV719" s="0"/>
    </row>
    <row r="720" customFormat="false" ht="20.1" hidden="false" customHeight="true" outlineLevel="0" collapsed="false">
      <c r="A720" s="1164" t="s">
        <v>653</v>
      </c>
      <c r="B720" s="1164"/>
      <c r="C720" s="1164"/>
      <c r="D720" s="1164"/>
      <c r="E720" s="1164"/>
      <c r="F720" s="1014" t="s">
        <v>645</v>
      </c>
      <c r="J720" s="11"/>
      <c r="L720" s="877" t="s">
        <v>1348</v>
      </c>
      <c r="N720" s="0"/>
      <c r="O720" s="0"/>
      <c r="P720" s="1153"/>
      <c r="Q720" s="55"/>
      <c r="R720" s="55"/>
      <c r="S720" s="55"/>
      <c r="T720" s="0"/>
      <c r="U720" s="0"/>
      <c r="V720" s="0"/>
      <c r="W720" s="0"/>
      <c r="X720" s="0"/>
      <c r="Y720" s="0"/>
      <c r="Z720" s="0"/>
      <c r="AA720" s="0"/>
      <c r="AB720" s="0"/>
      <c r="AC720" s="0"/>
      <c r="AD720" s="0"/>
      <c r="AE720" s="0"/>
      <c r="AF720" s="0"/>
      <c r="AG720" s="0"/>
      <c r="AH720" s="0"/>
      <c r="AI720" s="0"/>
      <c r="AJ720" s="0"/>
      <c r="AK720" s="0"/>
      <c r="AL720" s="0"/>
      <c r="AM720" s="0"/>
      <c r="AN720" s="0"/>
      <c r="AO720" s="0"/>
      <c r="AP720" s="0"/>
      <c r="AQ720" s="0"/>
      <c r="AR720" s="0"/>
      <c r="AS720" s="0"/>
      <c r="AT720" s="0"/>
      <c r="BS720" s="0"/>
      <c r="BT720" s="0"/>
      <c r="BU720" s="0"/>
      <c r="BV720" s="0"/>
      <c r="BW720" s="0"/>
      <c r="BX720" s="0"/>
      <c r="BY720" s="0"/>
      <c r="BZ720" s="0"/>
      <c r="CA720" s="0"/>
      <c r="CB720" s="0"/>
      <c r="CC720" s="0"/>
      <c r="CD720" s="0"/>
      <c r="CE720" s="0"/>
      <c r="CF720" s="0"/>
      <c r="CG720" s="0"/>
      <c r="CH720" s="0"/>
      <c r="CI720" s="0"/>
      <c r="CJ720" s="0"/>
      <c r="CK720" s="0"/>
      <c r="CL720" s="0"/>
      <c r="CM720" s="0"/>
      <c r="CN720" s="0"/>
      <c r="CO720" s="0"/>
      <c r="CP720" s="0"/>
      <c r="CQ720" s="0"/>
      <c r="CR720" s="0"/>
      <c r="CS720" s="0"/>
      <c r="CT720" s="0"/>
      <c r="CU720" s="0"/>
      <c r="CV720" s="0"/>
      <c r="CW720" s="0"/>
      <c r="CX720" s="0"/>
      <c r="CY720" s="0"/>
      <c r="CZ720" s="0"/>
      <c r="DA720" s="0"/>
      <c r="DB720" s="0"/>
      <c r="DC720" s="0"/>
      <c r="DD720" s="0"/>
      <c r="DE720" s="0"/>
      <c r="DF720" s="0"/>
      <c r="DG720" s="0"/>
      <c r="DH720" s="0"/>
      <c r="DI720" s="0"/>
      <c r="DJ720" s="0"/>
      <c r="DK720" s="0"/>
      <c r="DL720" s="0"/>
      <c r="DM720" s="0"/>
      <c r="DN720" s="0"/>
      <c r="DO720" s="0"/>
      <c r="DP720" s="0"/>
      <c r="DQ720" s="0"/>
      <c r="DR720" s="0"/>
      <c r="DS720" s="0"/>
      <c r="DT720" s="0"/>
      <c r="DU720" s="0"/>
      <c r="DV720" s="0"/>
      <c r="DW720" s="0"/>
      <c r="DX720" s="0"/>
      <c r="DY720" s="0"/>
      <c r="DZ720" s="0"/>
      <c r="EA720" s="0"/>
      <c r="EB720" s="0"/>
      <c r="EC720" s="0"/>
      <c r="ED720" s="0"/>
      <c r="EE720" s="0"/>
      <c r="EF720" s="0"/>
      <c r="EG720" s="0"/>
      <c r="EH720" s="0"/>
      <c r="EI720" s="0"/>
      <c r="EJ720" s="0"/>
      <c r="EK720" s="0"/>
      <c r="EL720" s="0"/>
      <c r="EM720" s="0"/>
      <c r="EN720" s="0"/>
      <c r="EO720" s="0"/>
      <c r="EP720" s="0"/>
      <c r="EQ720" s="0"/>
      <c r="ER720" s="0"/>
      <c r="ES720" s="0"/>
      <c r="ET720" s="0"/>
      <c r="EU720" s="0"/>
      <c r="EV720" s="0"/>
      <c r="EW720" s="0"/>
      <c r="EX720" s="0"/>
      <c r="EY720" s="0"/>
      <c r="EZ720" s="0"/>
      <c r="FA720" s="0"/>
      <c r="FB720" s="0"/>
      <c r="FC720" s="0"/>
      <c r="FD720" s="0"/>
      <c r="FE720" s="0"/>
      <c r="FF720" s="0"/>
      <c r="FG720" s="0"/>
      <c r="FH720" s="0"/>
      <c r="FI720" s="0"/>
      <c r="FJ720" s="0"/>
      <c r="FK720" s="0"/>
      <c r="FL720" s="0"/>
      <c r="FM720" s="0"/>
      <c r="FN720" s="0"/>
      <c r="FO720" s="0"/>
      <c r="FP720" s="0"/>
      <c r="FQ720" s="0"/>
      <c r="FR720" s="0"/>
      <c r="FS720" s="0"/>
      <c r="FT720" s="0"/>
      <c r="FU720" s="0"/>
      <c r="FV720" s="0"/>
      <c r="FW720" s="0"/>
      <c r="FX720" s="0"/>
      <c r="FY720" s="0"/>
      <c r="FZ720" s="0"/>
      <c r="GA720" s="0"/>
      <c r="GB720" s="0"/>
      <c r="GC720" s="0"/>
      <c r="GD720" s="0"/>
      <c r="GE720" s="0"/>
      <c r="GF720" s="0"/>
      <c r="GG720" s="0"/>
      <c r="GH720" s="0"/>
      <c r="GI720" s="0"/>
      <c r="GJ720" s="0"/>
      <c r="GK720" s="0"/>
      <c r="GL720" s="0"/>
      <c r="GM720" s="0"/>
      <c r="GN720" s="0"/>
      <c r="GO720" s="0"/>
      <c r="GP720" s="0"/>
      <c r="GQ720" s="0"/>
      <c r="GR720" s="0"/>
      <c r="GS720" s="0"/>
      <c r="GT720" s="0"/>
      <c r="GU720" s="0"/>
      <c r="GV720" s="0"/>
      <c r="GW720" s="0"/>
      <c r="GX720" s="0"/>
      <c r="GY720" s="0"/>
      <c r="GZ720" s="0"/>
      <c r="HA720" s="0"/>
      <c r="HB720" s="0"/>
      <c r="HC720" s="0"/>
      <c r="HD720" s="0"/>
      <c r="HE720" s="0"/>
      <c r="HF720" s="0"/>
      <c r="HG720" s="0"/>
      <c r="HH720" s="0"/>
      <c r="HI720" s="0"/>
      <c r="HJ720" s="0"/>
      <c r="HK720" s="0"/>
      <c r="HL720" s="0"/>
      <c r="HM720" s="0"/>
      <c r="HN720" s="0"/>
      <c r="HO720" s="0"/>
      <c r="HP720" s="0"/>
      <c r="HQ720" s="0"/>
      <c r="HR720" s="0"/>
      <c r="HS720" s="0"/>
      <c r="HT720" s="0"/>
      <c r="HU720" s="0"/>
      <c r="HV720" s="0"/>
      <c r="HW720" s="0"/>
      <c r="HX720" s="0"/>
      <c r="HY720" s="0"/>
      <c r="HZ720" s="0"/>
      <c r="IA720" s="0"/>
      <c r="IB720" s="0"/>
      <c r="IC720" s="0"/>
      <c r="ID720" s="0"/>
      <c r="IE720" s="0"/>
      <c r="IF720" s="0"/>
      <c r="IG720" s="0"/>
      <c r="IH720" s="0"/>
      <c r="II720" s="0"/>
      <c r="IJ720" s="0"/>
      <c r="IK720" s="0"/>
      <c r="IL720" s="0"/>
      <c r="IM720" s="0"/>
      <c r="IN720" s="0"/>
      <c r="IO720" s="0"/>
      <c r="IP720" s="0"/>
      <c r="IQ720" s="0"/>
      <c r="IR720" s="0"/>
      <c r="IS720" s="0"/>
      <c r="IT720" s="0"/>
      <c r="IU720" s="0"/>
      <c r="IV720" s="0"/>
    </row>
    <row r="721" customFormat="false" ht="20.1" hidden="false" customHeight="true" outlineLevel="0" collapsed="false">
      <c r="A721" s="1167" t="s">
        <v>1490</v>
      </c>
      <c r="B721" s="1167"/>
      <c r="C721" s="1167"/>
      <c r="D721" s="1167"/>
      <c r="F721" s="1166" t="s">
        <v>645</v>
      </c>
      <c r="G721" s="1167" t="s">
        <v>1491</v>
      </c>
      <c r="H721" s="1167"/>
      <c r="I721" s="1167"/>
      <c r="J721" s="1167"/>
      <c r="K721" s="1167"/>
      <c r="L721" s="1167"/>
      <c r="N721" s="0"/>
      <c r="O721" s="0"/>
      <c r="P721" s="1153"/>
      <c r="Q721" s="55"/>
      <c r="R721" s="55"/>
      <c r="S721" s="55"/>
      <c r="T721" s="0"/>
      <c r="U721" s="0"/>
      <c r="V721" s="0"/>
      <c r="W721" s="0"/>
      <c r="X721" s="0"/>
      <c r="Y721" s="0"/>
      <c r="Z721" s="0"/>
      <c r="AA721" s="0"/>
      <c r="AB721" s="0"/>
      <c r="AC721" s="0"/>
      <c r="AD721" s="0"/>
      <c r="AE721" s="0"/>
      <c r="AF721" s="0"/>
      <c r="AG721" s="0"/>
      <c r="AH721" s="0"/>
      <c r="AI721" s="0"/>
      <c r="AJ721" s="0"/>
      <c r="AK721" s="0"/>
      <c r="AL721" s="0"/>
      <c r="AM721" s="0"/>
      <c r="AN721" s="0"/>
      <c r="AO721" s="0"/>
      <c r="AP721" s="0"/>
      <c r="AQ721" s="0"/>
      <c r="AR721" s="0"/>
      <c r="AS721" s="0"/>
      <c r="AT721" s="0"/>
      <c r="BS721" s="0"/>
      <c r="BT721" s="0"/>
      <c r="BU721" s="0"/>
      <c r="BV721" s="0"/>
      <c r="BW721" s="0"/>
      <c r="BX721" s="0"/>
      <c r="BY721" s="0"/>
      <c r="BZ721" s="0"/>
      <c r="CA721" s="0"/>
      <c r="CB721" s="0"/>
      <c r="CC721" s="0"/>
      <c r="CD721" s="0"/>
      <c r="CE721" s="0"/>
      <c r="CF721" s="0"/>
      <c r="CG721" s="0"/>
      <c r="CH721" s="0"/>
      <c r="CI721" s="0"/>
      <c r="CJ721" s="0"/>
      <c r="CK721" s="0"/>
      <c r="CL721" s="0"/>
      <c r="CM721" s="0"/>
      <c r="CN721" s="0"/>
      <c r="CO721" s="0"/>
      <c r="CP721" s="0"/>
      <c r="CQ721" s="0"/>
      <c r="CR721" s="0"/>
      <c r="CS721" s="0"/>
      <c r="CT721" s="0"/>
      <c r="CU721" s="0"/>
      <c r="CV721" s="0"/>
      <c r="CW721" s="0"/>
      <c r="CX721" s="0"/>
      <c r="CY721" s="0"/>
      <c r="CZ721" s="0"/>
      <c r="DA721" s="0"/>
      <c r="DB721" s="0"/>
      <c r="DC721" s="0"/>
      <c r="DD721" s="0"/>
      <c r="DE721" s="0"/>
      <c r="DF721" s="0"/>
      <c r="DG721" s="0"/>
      <c r="DH721" s="0"/>
      <c r="DI721" s="0"/>
      <c r="DJ721" s="0"/>
      <c r="DK721" s="0"/>
      <c r="DL721" s="0"/>
      <c r="DM721" s="0"/>
      <c r="DN721" s="0"/>
      <c r="DO721" s="0"/>
      <c r="DP721" s="0"/>
      <c r="DQ721" s="0"/>
      <c r="DR721" s="0"/>
      <c r="DS721" s="0"/>
      <c r="DT721" s="0"/>
      <c r="DU721" s="0"/>
      <c r="DV721" s="0"/>
      <c r="DW721" s="0"/>
      <c r="DX721" s="0"/>
      <c r="DY721" s="0"/>
      <c r="DZ721" s="0"/>
      <c r="EA721" s="0"/>
      <c r="EB721" s="0"/>
      <c r="EC721" s="0"/>
      <c r="ED721" s="0"/>
      <c r="EE721" s="0"/>
      <c r="EF721" s="0"/>
      <c r="EG721" s="0"/>
      <c r="EH721" s="0"/>
      <c r="EI721" s="0"/>
      <c r="EJ721" s="0"/>
      <c r="EK721" s="0"/>
      <c r="EL721" s="0"/>
      <c r="EM721" s="0"/>
      <c r="EN721" s="0"/>
      <c r="EO721" s="0"/>
      <c r="EP721" s="0"/>
      <c r="EQ721" s="0"/>
      <c r="ER721" s="0"/>
      <c r="ES721" s="0"/>
      <c r="ET721" s="0"/>
      <c r="EU721" s="0"/>
      <c r="EV721" s="0"/>
      <c r="EW721" s="0"/>
      <c r="EX721" s="0"/>
      <c r="EY721" s="0"/>
      <c r="EZ721" s="0"/>
      <c r="FA721" s="0"/>
      <c r="FB721" s="0"/>
      <c r="FC721" s="0"/>
      <c r="FD721" s="0"/>
      <c r="FE721" s="0"/>
      <c r="FF721" s="0"/>
      <c r="FG721" s="0"/>
      <c r="FH721" s="0"/>
      <c r="FI721" s="0"/>
      <c r="FJ721" s="0"/>
      <c r="FK721" s="0"/>
      <c r="FL721" s="0"/>
      <c r="FM721" s="0"/>
      <c r="FN721" s="0"/>
      <c r="FO721" s="0"/>
      <c r="FP721" s="0"/>
      <c r="FQ721" s="0"/>
      <c r="FR721" s="0"/>
      <c r="FS721" s="0"/>
      <c r="FT721" s="0"/>
      <c r="FU721" s="0"/>
      <c r="FV721" s="0"/>
      <c r="FW721" s="0"/>
      <c r="FX721" s="0"/>
      <c r="FY721" s="0"/>
      <c r="FZ721" s="0"/>
      <c r="GA721" s="0"/>
      <c r="GB721" s="0"/>
      <c r="GC721" s="0"/>
      <c r="GD721" s="0"/>
      <c r="GE721" s="0"/>
      <c r="GF721" s="0"/>
      <c r="GG721" s="0"/>
      <c r="GH721" s="0"/>
      <c r="GI721" s="0"/>
      <c r="GJ721" s="0"/>
      <c r="GK721" s="0"/>
      <c r="GL721" s="0"/>
      <c r="GM721" s="0"/>
      <c r="GN721" s="0"/>
      <c r="GO721" s="0"/>
      <c r="GP721" s="0"/>
      <c r="GQ721" s="0"/>
      <c r="GR721" s="0"/>
      <c r="GS721" s="0"/>
      <c r="GT721" s="0"/>
      <c r="GU721" s="0"/>
      <c r="GV721" s="0"/>
      <c r="GW721" s="0"/>
      <c r="GX721" s="0"/>
      <c r="GY721" s="0"/>
      <c r="GZ721" s="0"/>
      <c r="HA721" s="0"/>
      <c r="HB721" s="0"/>
      <c r="HC721" s="0"/>
      <c r="HD721" s="0"/>
      <c r="HE721" s="0"/>
      <c r="HF721" s="0"/>
      <c r="HG721" s="0"/>
      <c r="HH721" s="0"/>
      <c r="HI721" s="0"/>
      <c r="HJ721" s="0"/>
      <c r="HK721" s="0"/>
      <c r="HL721" s="0"/>
      <c r="HM721" s="0"/>
      <c r="HN721" s="0"/>
      <c r="HO721" s="0"/>
      <c r="HP721" s="0"/>
      <c r="HQ721" s="0"/>
      <c r="HR721" s="0"/>
      <c r="HS721" s="0"/>
      <c r="HT721" s="0"/>
      <c r="HU721" s="0"/>
      <c r="HV721" s="0"/>
      <c r="HW721" s="0"/>
      <c r="HX721" s="0"/>
      <c r="HY721" s="0"/>
      <c r="HZ721" s="0"/>
      <c r="IA721" s="0"/>
      <c r="IB721" s="0"/>
      <c r="IC721" s="0"/>
      <c r="ID721" s="0"/>
      <c r="IE721" s="0"/>
      <c r="IF721" s="0"/>
      <c r="IG721" s="0"/>
      <c r="IH721" s="0"/>
      <c r="II721" s="0"/>
      <c r="IJ721" s="0"/>
      <c r="IK721" s="0"/>
      <c r="IL721" s="0"/>
      <c r="IM721" s="0"/>
      <c r="IN721" s="0"/>
      <c r="IO721" s="0"/>
      <c r="IP721" s="0"/>
      <c r="IQ721" s="0"/>
      <c r="IR721" s="0"/>
      <c r="IS721" s="0"/>
      <c r="IT721" s="0"/>
      <c r="IU721" s="0"/>
      <c r="IV721" s="0"/>
    </row>
    <row r="722" customFormat="false" ht="20.1" hidden="false" customHeight="true" outlineLevel="0" collapsed="false">
      <c r="F722" s="1166" t="s">
        <v>647</v>
      </c>
      <c r="G722" s="1167" t="s">
        <v>1492</v>
      </c>
      <c r="H722" s="1167"/>
      <c r="I722" s="1167"/>
      <c r="J722" s="1167"/>
      <c r="K722" s="1167"/>
      <c r="L722" s="1167"/>
      <c r="N722" s="0"/>
      <c r="O722" s="0"/>
      <c r="P722" s="1153"/>
      <c r="Q722" s="55"/>
      <c r="R722" s="55"/>
      <c r="S722" s="55"/>
      <c r="T722" s="0"/>
      <c r="U722" s="0"/>
      <c r="V722" s="0"/>
      <c r="W722" s="0"/>
      <c r="X722" s="0"/>
      <c r="Y722" s="0"/>
      <c r="Z722" s="0"/>
      <c r="AA722" s="0"/>
      <c r="AB722" s="0"/>
      <c r="AC722" s="0"/>
      <c r="AD722" s="0"/>
      <c r="AE722" s="0"/>
      <c r="AF722" s="0"/>
      <c r="AG722" s="0"/>
      <c r="AH722" s="0"/>
      <c r="AI722" s="0"/>
      <c r="AJ722" s="0"/>
      <c r="AK722" s="0"/>
      <c r="AL722" s="0"/>
      <c r="AM722" s="0"/>
      <c r="AN722" s="0"/>
      <c r="AO722" s="0"/>
      <c r="AP722" s="0"/>
      <c r="AQ722" s="0"/>
      <c r="AR722" s="0"/>
      <c r="AS722" s="0"/>
      <c r="AT722" s="0"/>
      <c r="BS722" s="0"/>
      <c r="BT722" s="0"/>
      <c r="BU722" s="0"/>
      <c r="BV722" s="0"/>
      <c r="BW722" s="0"/>
      <c r="BX722" s="0"/>
      <c r="BY722" s="0"/>
      <c r="BZ722" s="0"/>
      <c r="CA722" s="0"/>
      <c r="CB722" s="0"/>
      <c r="CC722" s="0"/>
      <c r="CD722" s="0"/>
      <c r="CE722" s="0"/>
      <c r="CF722" s="0"/>
      <c r="CG722" s="0"/>
      <c r="CH722" s="0"/>
      <c r="CI722" s="0"/>
      <c r="CJ722" s="0"/>
      <c r="CK722" s="0"/>
      <c r="CL722" s="0"/>
      <c r="CM722" s="0"/>
      <c r="CN722" s="0"/>
      <c r="CO722" s="0"/>
      <c r="CP722" s="0"/>
      <c r="CQ722" s="0"/>
      <c r="CR722" s="0"/>
      <c r="CS722" s="0"/>
      <c r="CT722" s="0"/>
      <c r="CU722" s="0"/>
      <c r="CV722" s="0"/>
      <c r="CW722" s="0"/>
      <c r="CX722" s="0"/>
      <c r="CY722" s="0"/>
      <c r="CZ722" s="0"/>
      <c r="DA722" s="0"/>
      <c r="DB722" s="0"/>
      <c r="DC722" s="0"/>
      <c r="DD722" s="0"/>
      <c r="DE722" s="0"/>
      <c r="DF722" s="0"/>
      <c r="DG722" s="0"/>
      <c r="DH722" s="0"/>
      <c r="DI722" s="0"/>
      <c r="DJ722" s="0"/>
      <c r="DK722" s="0"/>
      <c r="DL722" s="0"/>
      <c r="DM722" s="0"/>
      <c r="DN722" s="0"/>
      <c r="DO722" s="0"/>
      <c r="DP722" s="0"/>
      <c r="DQ722" s="0"/>
      <c r="DR722" s="0"/>
      <c r="DS722" s="0"/>
      <c r="DT722" s="0"/>
      <c r="DU722" s="0"/>
      <c r="DV722" s="0"/>
      <c r="DW722" s="0"/>
      <c r="DX722" s="0"/>
      <c r="DY722" s="0"/>
      <c r="DZ722" s="0"/>
      <c r="EA722" s="0"/>
      <c r="EB722" s="0"/>
      <c r="EC722" s="0"/>
      <c r="ED722" s="0"/>
      <c r="EE722" s="0"/>
      <c r="EF722" s="0"/>
      <c r="EG722" s="0"/>
      <c r="EH722" s="0"/>
      <c r="EI722" s="0"/>
      <c r="EJ722" s="0"/>
      <c r="EK722" s="0"/>
      <c r="EL722" s="0"/>
      <c r="EM722" s="0"/>
      <c r="EN722" s="0"/>
      <c r="EO722" s="0"/>
      <c r="EP722" s="0"/>
      <c r="EQ722" s="0"/>
      <c r="ER722" s="0"/>
      <c r="ES722" s="0"/>
      <c r="ET722" s="0"/>
      <c r="EU722" s="0"/>
      <c r="EV722" s="0"/>
      <c r="EW722" s="0"/>
      <c r="EX722" s="0"/>
      <c r="EY722" s="0"/>
      <c r="EZ722" s="0"/>
      <c r="FA722" s="0"/>
      <c r="FB722" s="0"/>
      <c r="FC722" s="0"/>
      <c r="FD722" s="0"/>
      <c r="FE722" s="0"/>
      <c r="FF722" s="0"/>
      <c r="FG722" s="0"/>
      <c r="FH722" s="0"/>
      <c r="FI722" s="0"/>
      <c r="FJ722" s="0"/>
      <c r="FK722" s="0"/>
      <c r="FL722" s="0"/>
      <c r="FM722" s="0"/>
      <c r="FN722" s="0"/>
      <c r="FO722" s="0"/>
      <c r="FP722" s="0"/>
      <c r="FQ722" s="0"/>
      <c r="FR722" s="0"/>
      <c r="FS722" s="0"/>
      <c r="FT722" s="0"/>
      <c r="FU722" s="0"/>
      <c r="FV722" s="0"/>
      <c r="FW722" s="0"/>
      <c r="FX722" s="0"/>
      <c r="FY722" s="0"/>
      <c r="FZ722" s="0"/>
      <c r="GA722" s="0"/>
      <c r="GB722" s="0"/>
      <c r="GC722" s="0"/>
      <c r="GD722" s="0"/>
      <c r="GE722" s="0"/>
      <c r="GF722" s="0"/>
      <c r="GG722" s="0"/>
      <c r="GH722" s="0"/>
      <c r="GI722" s="0"/>
      <c r="GJ722" s="0"/>
      <c r="GK722" s="0"/>
      <c r="GL722" s="0"/>
      <c r="GM722" s="0"/>
      <c r="GN722" s="0"/>
      <c r="GO722" s="0"/>
      <c r="GP722" s="0"/>
      <c r="GQ722" s="0"/>
      <c r="GR722" s="0"/>
      <c r="GS722" s="0"/>
      <c r="GT722" s="0"/>
      <c r="GU722" s="0"/>
      <c r="GV722" s="0"/>
      <c r="GW722" s="0"/>
      <c r="GX722" s="0"/>
      <c r="GY722" s="0"/>
      <c r="GZ722" s="0"/>
      <c r="HA722" s="0"/>
      <c r="HB722" s="0"/>
      <c r="HC722" s="0"/>
      <c r="HD722" s="0"/>
      <c r="HE722" s="0"/>
      <c r="HF722" s="0"/>
      <c r="HG722" s="0"/>
      <c r="HH722" s="0"/>
      <c r="HI722" s="0"/>
      <c r="HJ722" s="0"/>
      <c r="HK722" s="0"/>
      <c r="HL722" s="0"/>
      <c r="HM722" s="0"/>
      <c r="HN722" s="0"/>
      <c r="HO722" s="0"/>
      <c r="HP722" s="0"/>
      <c r="HQ722" s="0"/>
      <c r="HR722" s="0"/>
      <c r="HS722" s="0"/>
      <c r="HT722" s="0"/>
      <c r="HU722" s="0"/>
      <c r="HV722" s="0"/>
      <c r="HW722" s="0"/>
      <c r="HX722" s="0"/>
      <c r="HY722" s="0"/>
      <c r="HZ722" s="0"/>
      <c r="IA722" s="0"/>
      <c r="IB722" s="0"/>
      <c r="IC722" s="0"/>
      <c r="ID722" s="0"/>
      <c r="IE722" s="0"/>
      <c r="IF722" s="0"/>
      <c r="IG722" s="0"/>
      <c r="IH722" s="0"/>
      <c r="II722" s="0"/>
      <c r="IJ722" s="0"/>
      <c r="IK722" s="0"/>
      <c r="IL722" s="0"/>
      <c r="IM722" s="0"/>
      <c r="IN722" s="0"/>
      <c r="IO722" s="0"/>
      <c r="IP722" s="0"/>
      <c r="IQ722" s="0"/>
      <c r="IR722" s="0"/>
      <c r="IS722" s="0"/>
      <c r="IT722" s="0"/>
      <c r="IU722" s="0"/>
      <c r="IV722" s="0"/>
    </row>
    <row r="723" customFormat="false" ht="20.1" hidden="false" customHeight="true" outlineLevel="0" collapsed="false">
      <c r="F723" s="1166" t="s">
        <v>649</v>
      </c>
      <c r="G723" s="1167" t="s">
        <v>657</v>
      </c>
      <c r="H723" s="1167"/>
      <c r="I723" s="1167"/>
      <c r="J723" s="1167"/>
      <c r="K723" s="1167"/>
      <c r="L723" s="1167"/>
      <c r="N723" s="0"/>
      <c r="O723" s="0"/>
      <c r="P723" s="1153"/>
      <c r="Q723" s="55"/>
      <c r="R723" s="55"/>
      <c r="S723" s="55"/>
      <c r="T723" s="0"/>
      <c r="U723" s="0"/>
      <c r="V723" s="0"/>
      <c r="W723" s="0"/>
      <c r="X723" s="0"/>
      <c r="Y723" s="0"/>
      <c r="Z723" s="0"/>
      <c r="AA723" s="0"/>
      <c r="AB723" s="0"/>
      <c r="AC723" s="0"/>
      <c r="AD723" s="0"/>
      <c r="AE723" s="0"/>
      <c r="AF723" s="0"/>
      <c r="AG723" s="0"/>
      <c r="AH723" s="0"/>
      <c r="AI723" s="0"/>
      <c r="AJ723" s="0"/>
      <c r="AK723" s="0"/>
      <c r="AL723" s="0"/>
      <c r="AM723" s="0"/>
      <c r="AN723" s="0"/>
      <c r="AO723" s="0"/>
      <c r="AP723" s="0"/>
      <c r="AQ723" s="0"/>
      <c r="AR723" s="0"/>
      <c r="AS723" s="0"/>
      <c r="AT723" s="0"/>
      <c r="BS723" s="0"/>
      <c r="BT723" s="0"/>
      <c r="BU723" s="0"/>
      <c r="BV723" s="0"/>
      <c r="BW723" s="0"/>
      <c r="BX723" s="0"/>
      <c r="BY723" s="0"/>
      <c r="BZ723" s="0"/>
      <c r="CA723" s="0"/>
      <c r="CB723" s="0"/>
      <c r="CC723" s="0"/>
      <c r="CD723" s="0"/>
      <c r="CE723" s="0"/>
      <c r="CF723" s="0"/>
      <c r="CG723" s="0"/>
      <c r="CH723" s="0"/>
      <c r="CI723" s="0"/>
      <c r="CJ723" s="0"/>
      <c r="CK723" s="0"/>
      <c r="CL723" s="0"/>
      <c r="CM723" s="0"/>
      <c r="CN723" s="0"/>
      <c r="CO723" s="0"/>
      <c r="CP723" s="0"/>
      <c r="CQ723" s="0"/>
      <c r="CR723" s="0"/>
      <c r="CS723" s="0"/>
      <c r="CT723" s="0"/>
      <c r="CU723" s="0"/>
      <c r="CV723" s="0"/>
      <c r="CW723" s="0"/>
      <c r="CX723" s="0"/>
      <c r="CY723" s="0"/>
      <c r="CZ723" s="0"/>
      <c r="DA723" s="0"/>
      <c r="DB723" s="0"/>
      <c r="DC723" s="0"/>
      <c r="DD723" s="0"/>
      <c r="DE723" s="0"/>
      <c r="DF723" s="0"/>
      <c r="DG723" s="0"/>
      <c r="DH723" s="0"/>
      <c r="DI723" s="0"/>
      <c r="DJ723" s="0"/>
      <c r="DK723" s="0"/>
      <c r="DL723" s="0"/>
      <c r="DM723" s="0"/>
      <c r="DN723" s="0"/>
      <c r="DO723" s="0"/>
      <c r="DP723" s="0"/>
      <c r="DQ723" s="0"/>
      <c r="DR723" s="0"/>
      <c r="DS723" s="0"/>
      <c r="DT723" s="0"/>
      <c r="DU723" s="0"/>
      <c r="DV723" s="0"/>
      <c r="DW723" s="0"/>
      <c r="DX723" s="0"/>
      <c r="DY723" s="0"/>
      <c r="DZ723" s="0"/>
      <c r="EA723" s="0"/>
      <c r="EB723" s="0"/>
      <c r="EC723" s="0"/>
      <c r="ED723" s="0"/>
      <c r="EE723" s="0"/>
      <c r="EF723" s="0"/>
      <c r="EG723" s="0"/>
      <c r="EH723" s="0"/>
      <c r="EI723" s="0"/>
      <c r="EJ723" s="0"/>
      <c r="EK723" s="0"/>
      <c r="EL723" s="0"/>
      <c r="EM723" s="0"/>
      <c r="EN723" s="0"/>
      <c r="EO723" s="0"/>
      <c r="EP723" s="0"/>
      <c r="EQ723" s="0"/>
      <c r="ER723" s="0"/>
      <c r="ES723" s="0"/>
      <c r="ET723" s="0"/>
      <c r="EU723" s="0"/>
      <c r="EV723" s="0"/>
      <c r="EW723" s="0"/>
      <c r="EX723" s="0"/>
      <c r="EY723" s="0"/>
      <c r="EZ723" s="0"/>
      <c r="FA723" s="0"/>
      <c r="FB723" s="0"/>
      <c r="FC723" s="0"/>
      <c r="FD723" s="0"/>
      <c r="FE723" s="0"/>
      <c r="FF723" s="0"/>
      <c r="FG723" s="0"/>
      <c r="FH723" s="0"/>
      <c r="FI723" s="0"/>
      <c r="FJ723" s="0"/>
      <c r="FK723" s="0"/>
      <c r="FL723" s="0"/>
      <c r="FM723" s="0"/>
      <c r="FN723" s="0"/>
      <c r="FO723" s="0"/>
      <c r="FP723" s="0"/>
      <c r="FQ723" s="0"/>
      <c r="FR723" s="0"/>
      <c r="FS723" s="0"/>
      <c r="FT723" s="0"/>
      <c r="FU723" s="0"/>
      <c r="FV723" s="0"/>
      <c r="FW723" s="0"/>
      <c r="FX723" s="0"/>
      <c r="FY723" s="0"/>
      <c r="FZ723" s="0"/>
      <c r="GA723" s="0"/>
      <c r="GB723" s="0"/>
      <c r="GC723" s="0"/>
      <c r="GD723" s="0"/>
      <c r="GE723" s="0"/>
      <c r="GF723" s="0"/>
      <c r="GG723" s="0"/>
      <c r="GH723" s="0"/>
      <c r="GI723" s="0"/>
      <c r="GJ723" s="0"/>
      <c r="GK723" s="0"/>
      <c r="GL723" s="0"/>
      <c r="GM723" s="0"/>
      <c r="GN723" s="0"/>
      <c r="GO723" s="0"/>
      <c r="GP723" s="0"/>
      <c r="GQ723" s="0"/>
      <c r="GR723" s="0"/>
      <c r="GS723" s="0"/>
      <c r="GT723" s="0"/>
      <c r="GU723" s="0"/>
      <c r="GV723" s="0"/>
      <c r="GW723" s="0"/>
      <c r="GX723" s="0"/>
      <c r="GY723" s="0"/>
      <c r="GZ723" s="0"/>
      <c r="HA723" s="0"/>
      <c r="HB723" s="0"/>
      <c r="HC723" s="0"/>
      <c r="HD723" s="0"/>
      <c r="HE723" s="0"/>
      <c r="HF723" s="0"/>
      <c r="HG723" s="0"/>
      <c r="HH723" s="0"/>
      <c r="HI723" s="0"/>
      <c r="HJ723" s="0"/>
      <c r="HK723" s="0"/>
      <c r="HL723" s="0"/>
      <c r="HM723" s="0"/>
      <c r="HN723" s="0"/>
      <c r="HO723" s="0"/>
      <c r="HP723" s="0"/>
      <c r="HQ723" s="0"/>
      <c r="HR723" s="0"/>
      <c r="HS723" s="0"/>
      <c r="HT723" s="0"/>
      <c r="HU723" s="0"/>
      <c r="HV723" s="0"/>
      <c r="HW723" s="0"/>
      <c r="HX723" s="0"/>
      <c r="HY723" s="0"/>
      <c r="HZ723" s="0"/>
      <c r="IA723" s="0"/>
      <c r="IB723" s="0"/>
      <c r="IC723" s="0"/>
      <c r="ID723" s="0"/>
      <c r="IE723" s="0"/>
      <c r="IF723" s="0"/>
      <c r="IG723" s="0"/>
      <c r="IH723" s="0"/>
      <c r="II723" s="0"/>
      <c r="IJ723" s="0"/>
      <c r="IK723" s="0"/>
      <c r="IL723" s="0"/>
      <c r="IM723" s="0"/>
      <c r="IN723" s="0"/>
      <c r="IO723" s="0"/>
      <c r="IP723" s="0"/>
      <c r="IQ723" s="0"/>
      <c r="IR723" s="0"/>
      <c r="IS723" s="0"/>
      <c r="IT723" s="0"/>
      <c r="IU723" s="0"/>
      <c r="IV723" s="0"/>
    </row>
    <row r="724" customFormat="false" ht="20.1" hidden="false" customHeight="true" outlineLevel="0" collapsed="false">
      <c r="F724" s="1166" t="s">
        <v>651</v>
      </c>
      <c r="G724" s="1167" t="s">
        <v>1493</v>
      </c>
      <c r="H724" s="1167"/>
      <c r="I724" s="1167"/>
      <c r="J724" s="1167"/>
      <c r="K724" s="1167"/>
      <c r="L724" s="1167"/>
      <c r="N724" s="0"/>
      <c r="O724" s="0"/>
      <c r="P724" s="0"/>
      <c r="Q724" s="55"/>
      <c r="R724" s="55"/>
      <c r="S724" s="55"/>
      <c r="T724" s="0"/>
      <c r="U724" s="0"/>
      <c r="V724" s="0"/>
      <c r="W724" s="0"/>
      <c r="X724" s="0"/>
      <c r="Y724" s="0"/>
      <c r="Z724" s="0"/>
      <c r="AA724" s="0"/>
      <c r="AB724" s="0"/>
      <c r="AC724" s="0"/>
      <c r="AD724" s="0"/>
      <c r="AE724" s="0"/>
      <c r="AF724" s="0"/>
      <c r="AG724" s="0"/>
      <c r="AH724" s="0"/>
      <c r="AI724" s="0"/>
      <c r="AJ724" s="0"/>
      <c r="AK724" s="0"/>
      <c r="AL724" s="0"/>
      <c r="AM724" s="0"/>
      <c r="AN724" s="0"/>
      <c r="AO724" s="0"/>
      <c r="AP724" s="0"/>
      <c r="AQ724" s="0"/>
      <c r="AR724" s="0"/>
      <c r="AS724" s="0"/>
      <c r="AT724" s="0"/>
      <c r="BS724" s="0"/>
      <c r="BT724" s="0"/>
      <c r="BU724" s="0"/>
      <c r="BV724" s="0"/>
      <c r="BW724" s="0"/>
      <c r="BX724" s="0"/>
      <c r="BY724" s="0"/>
      <c r="BZ724" s="0"/>
      <c r="CA724" s="0"/>
      <c r="CB724" s="0"/>
      <c r="CC724" s="0"/>
      <c r="CD724" s="0"/>
      <c r="CE724" s="0"/>
      <c r="CF724" s="0"/>
      <c r="CG724" s="0"/>
      <c r="CH724" s="0"/>
      <c r="CI724" s="0"/>
      <c r="CJ724" s="0"/>
      <c r="CK724" s="0"/>
      <c r="CL724" s="0"/>
      <c r="CM724" s="0"/>
      <c r="CN724" s="0"/>
      <c r="CO724" s="0"/>
      <c r="CP724" s="0"/>
      <c r="CQ724" s="0"/>
      <c r="CR724" s="0"/>
      <c r="CS724" s="0"/>
      <c r="CT724" s="0"/>
      <c r="CU724" s="0"/>
      <c r="CV724" s="0"/>
      <c r="CW724" s="0"/>
      <c r="CX724" s="0"/>
      <c r="CY724" s="0"/>
      <c r="CZ724" s="0"/>
      <c r="DA724" s="0"/>
      <c r="DB724" s="0"/>
      <c r="DC724" s="0"/>
      <c r="DD724" s="0"/>
      <c r="DE724" s="0"/>
      <c r="DF724" s="0"/>
      <c r="DG724" s="0"/>
      <c r="DH724" s="0"/>
      <c r="DI724" s="0"/>
      <c r="DJ724" s="0"/>
      <c r="DK724" s="0"/>
      <c r="DL724" s="0"/>
      <c r="DM724" s="0"/>
      <c r="DN724" s="0"/>
      <c r="DO724" s="0"/>
      <c r="DP724" s="0"/>
      <c r="DQ724" s="0"/>
      <c r="DR724" s="0"/>
      <c r="DS724" s="0"/>
      <c r="DT724" s="0"/>
      <c r="DU724" s="0"/>
      <c r="DV724" s="0"/>
      <c r="DW724" s="0"/>
      <c r="DX724" s="0"/>
      <c r="DY724" s="0"/>
      <c r="DZ724" s="0"/>
      <c r="EA724" s="0"/>
      <c r="EB724" s="0"/>
      <c r="EC724" s="0"/>
      <c r="ED724" s="0"/>
      <c r="EE724" s="0"/>
      <c r="EF724" s="0"/>
      <c r="EG724" s="0"/>
      <c r="EH724" s="0"/>
      <c r="EI724" s="0"/>
      <c r="EJ724" s="0"/>
      <c r="EK724" s="0"/>
      <c r="EL724" s="0"/>
      <c r="EM724" s="0"/>
      <c r="EN724" s="0"/>
      <c r="EO724" s="0"/>
      <c r="EP724" s="0"/>
      <c r="EQ724" s="0"/>
      <c r="ER724" s="0"/>
      <c r="ES724" s="0"/>
      <c r="ET724" s="0"/>
      <c r="EU724" s="0"/>
      <c r="EV724" s="0"/>
      <c r="EW724" s="0"/>
      <c r="EX724" s="0"/>
      <c r="EY724" s="0"/>
      <c r="EZ724" s="0"/>
      <c r="FA724" s="0"/>
      <c r="FB724" s="0"/>
      <c r="FC724" s="0"/>
      <c r="FD724" s="0"/>
      <c r="FE724" s="0"/>
      <c r="FF724" s="0"/>
      <c r="FG724" s="0"/>
      <c r="FH724" s="0"/>
      <c r="FI724" s="0"/>
      <c r="FJ724" s="0"/>
      <c r="FK724" s="0"/>
      <c r="FL724" s="0"/>
      <c r="FM724" s="0"/>
      <c r="FN724" s="0"/>
      <c r="FO724" s="0"/>
      <c r="FP724" s="0"/>
      <c r="FQ724" s="0"/>
      <c r="FR724" s="0"/>
      <c r="FS724" s="0"/>
      <c r="FT724" s="0"/>
      <c r="FU724" s="0"/>
      <c r="FV724" s="0"/>
      <c r="FW724" s="0"/>
      <c r="FX724" s="0"/>
      <c r="FY724" s="0"/>
      <c r="FZ724" s="0"/>
      <c r="GA724" s="0"/>
      <c r="GB724" s="0"/>
      <c r="GC724" s="0"/>
      <c r="GD724" s="0"/>
      <c r="GE724" s="0"/>
      <c r="GF724" s="0"/>
      <c r="GG724" s="0"/>
      <c r="GH724" s="0"/>
      <c r="GI724" s="0"/>
      <c r="GJ724" s="0"/>
      <c r="GK724" s="0"/>
      <c r="GL724" s="0"/>
      <c r="GM724" s="0"/>
      <c r="GN724" s="0"/>
      <c r="GO724" s="0"/>
      <c r="GP724" s="0"/>
      <c r="GQ724" s="0"/>
      <c r="GR724" s="0"/>
      <c r="GS724" s="0"/>
      <c r="GT724" s="0"/>
      <c r="GU724" s="0"/>
      <c r="GV724" s="0"/>
      <c r="GW724" s="0"/>
      <c r="GX724" s="0"/>
      <c r="GY724" s="0"/>
      <c r="GZ724" s="0"/>
      <c r="HA724" s="0"/>
      <c r="HB724" s="0"/>
      <c r="HC724" s="0"/>
      <c r="HD724" s="0"/>
      <c r="HE724" s="0"/>
      <c r="HF724" s="0"/>
      <c r="HG724" s="0"/>
      <c r="HH724" s="0"/>
      <c r="HI724" s="0"/>
      <c r="HJ724" s="0"/>
      <c r="HK724" s="0"/>
      <c r="HL724" s="0"/>
      <c r="HM724" s="0"/>
      <c r="HN724" s="0"/>
      <c r="HO724" s="0"/>
      <c r="HP724" s="0"/>
      <c r="HQ724" s="0"/>
      <c r="HR724" s="0"/>
      <c r="HS724" s="0"/>
      <c r="HT724" s="0"/>
      <c r="HU724" s="0"/>
      <c r="HV724" s="0"/>
      <c r="HW724" s="0"/>
      <c r="HX724" s="0"/>
      <c r="HY724" s="0"/>
      <c r="HZ724" s="0"/>
      <c r="IA724" s="0"/>
      <c r="IB724" s="0"/>
      <c r="IC724" s="0"/>
      <c r="ID724" s="0"/>
      <c r="IE724" s="0"/>
      <c r="IF724" s="0"/>
      <c r="IG724" s="0"/>
      <c r="IH724" s="0"/>
      <c r="II724" s="0"/>
      <c r="IJ724" s="0"/>
      <c r="IK724" s="0"/>
      <c r="IL724" s="0"/>
      <c r="IM724" s="0"/>
      <c r="IN724" s="0"/>
      <c r="IO724" s="0"/>
      <c r="IP724" s="0"/>
      <c r="IQ724" s="0"/>
      <c r="IR724" s="0"/>
      <c r="IS724" s="0"/>
      <c r="IT724" s="0"/>
      <c r="IU724" s="0"/>
      <c r="IV724" s="0"/>
    </row>
    <row r="725" customFormat="false" ht="20.1" hidden="false" customHeight="true" outlineLevel="0" collapsed="false">
      <c r="J725" s="11"/>
      <c r="N725" s="0"/>
      <c r="O725" s="0"/>
      <c r="P725" s="0"/>
      <c r="Q725" s="55"/>
      <c r="R725" s="55"/>
      <c r="S725" s="55"/>
      <c r="T725" s="0"/>
      <c r="U725" s="0"/>
      <c r="V725" s="0"/>
      <c r="W725" s="0"/>
      <c r="X725" s="0"/>
      <c r="Y725" s="0"/>
      <c r="Z725" s="0"/>
      <c r="AA725" s="0"/>
      <c r="AB725" s="0"/>
      <c r="AC725" s="0"/>
      <c r="AD725" s="0"/>
      <c r="AE725" s="0"/>
      <c r="AF725" s="0"/>
      <c r="AG725" s="0"/>
      <c r="AH725" s="0"/>
      <c r="AI725" s="0"/>
      <c r="AJ725" s="0"/>
      <c r="AK725" s="0"/>
      <c r="AL725" s="0"/>
      <c r="AM725" s="0"/>
      <c r="AN725" s="0"/>
      <c r="AO725" s="0"/>
      <c r="AP725" s="0"/>
      <c r="AQ725" s="0"/>
      <c r="AR725" s="0"/>
      <c r="AS725" s="0"/>
      <c r="AT725" s="0"/>
      <c r="BS725" s="0"/>
      <c r="BT725" s="0"/>
      <c r="BU725" s="0"/>
      <c r="BV725" s="0"/>
      <c r="BW725" s="0"/>
      <c r="BX725" s="0"/>
      <c r="BY725" s="0"/>
      <c r="BZ725" s="0"/>
      <c r="CA725" s="0"/>
      <c r="CB725" s="0"/>
      <c r="CC725" s="0"/>
      <c r="CD725" s="0"/>
      <c r="CE725" s="0"/>
      <c r="CF725" s="0"/>
      <c r="CG725" s="0"/>
      <c r="CH725" s="0"/>
      <c r="CI725" s="0"/>
      <c r="CJ725" s="0"/>
      <c r="CK725" s="0"/>
      <c r="CL725" s="0"/>
      <c r="CM725" s="0"/>
      <c r="CN725" s="0"/>
      <c r="CO725" s="0"/>
      <c r="CP725" s="0"/>
      <c r="CQ725" s="0"/>
      <c r="CR725" s="0"/>
      <c r="CS725" s="0"/>
      <c r="CT725" s="0"/>
      <c r="CU725" s="0"/>
      <c r="CV725" s="0"/>
      <c r="CW725" s="0"/>
      <c r="CX725" s="0"/>
      <c r="CY725" s="0"/>
      <c r="CZ725" s="0"/>
      <c r="DA725" s="0"/>
      <c r="DB725" s="0"/>
      <c r="DC725" s="0"/>
      <c r="DD725" s="0"/>
      <c r="DE725" s="0"/>
      <c r="DF725" s="0"/>
      <c r="DG725" s="0"/>
      <c r="DH725" s="0"/>
      <c r="DI725" s="0"/>
      <c r="DJ725" s="0"/>
      <c r="DK725" s="0"/>
      <c r="DL725" s="0"/>
      <c r="DM725" s="0"/>
      <c r="DN725" s="0"/>
      <c r="DO725" s="0"/>
      <c r="DP725" s="0"/>
      <c r="DQ725" s="0"/>
      <c r="DR725" s="0"/>
      <c r="DS725" s="0"/>
      <c r="DT725" s="0"/>
      <c r="DU725" s="0"/>
      <c r="DV725" s="0"/>
      <c r="DW725" s="0"/>
      <c r="DX725" s="0"/>
      <c r="DY725" s="0"/>
      <c r="DZ725" s="0"/>
      <c r="EA725" s="0"/>
      <c r="EB725" s="0"/>
      <c r="EC725" s="0"/>
      <c r="ED725" s="0"/>
      <c r="EE725" s="0"/>
      <c r="EF725" s="0"/>
      <c r="EG725" s="0"/>
      <c r="EH725" s="0"/>
      <c r="EI725" s="0"/>
      <c r="EJ725" s="0"/>
      <c r="EK725" s="0"/>
      <c r="EL725" s="0"/>
      <c r="EM725" s="0"/>
      <c r="EN725" s="0"/>
      <c r="EO725" s="0"/>
      <c r="EP725" s="0"/>
      <c r="EQ725" s="0"/>
      <c r="ER725" s="0"/>
      <c r="ES725" s="0"/>
      <c r="ET725" s="0"/>
      <c r="EU725" s="0"/>
      <c r="EV725" s="0"/>
      <c r="EW725" s="0"/>
      <c r="EX725" s="0"/>
      <c r="EY725" s="0"/>
      <c r="EZ725" s="0"/>
      <c r="FA725" s="0"/>
      <c r="FB725" s="0"/>
      <c r="FC725" s="0"/>
      <c r="FD725" s="0"/>
      <c r="FE725" s="0"/>
      <c r="FF725" s="0"/>
      <c r="FG725" s="0"/>
      <c r="FH725" s="0"/>
      <c r="FI725" s="0"/>
      <c r="FJ725" s="0"/>
      <c r="FK725" s="0"/>
      <c r="FL725" s="0"/>
      <c r="FM725" s="0"/>
      <c r="FN725" s="0"/>
      <c r="FO725" s="0"/>
      <c r="FP725" s="0"/>
      <c r="FQ725" s="0"/>
      <c r="FR725" s="0"/>
      <c r="FS725" s="0"/>
      <c r="FT725" s="0"/>
      <c r="FU725" s="0"/>
      <c r="FV725" s="0"/>
      <c r="FW725" s="0"/>
      <c r="FX725" s="0"/>
      <c r="FY725" s="0"/>
      <c r="FZ725" s="0"/>
      <c r="GA725" s="0"/>
      <c r="GB725" s="0"/>
      <c r="GC725" s="0"/>
      <c r="GD725" s="0"/>
      <c r="GE725" s="0"/>
      <c r="GF725" s="0"/>
      <c r="GG725" s="0"/>
      <c r="GH725" s="0"/>
      <c r="GI725" s="0"/>
      <c r="GJ725" s="0"/>
      <c r="GK725" s="0"/>
      <c r="GL725" s="0"/>
      <c r="GM725" s="0"/>
      <c r="GN725" s="0"/>
      <c r="GO725" s="0"/>
      <c r="GP725" s="0"/>
      <c r="GQ725" s="0"/>
      <c r="GR725" s="0"/>
      <c r="GS725" s="0"/>
      <c r="GT725" s="0"/>
      <c r="GU725" s="0"/>
      <c r="GV725" s="0"/>
      <c r="GW725" s="0"/>
      <c r="GX725" s="0"/>
      <c r="GY725" s="0"/>
      <c r="GZ725" s="0"/>
      <c r="HA725" s="0"/>
      <c r="HB725" s="0"/>
      <c r="HC725" s="0"/>
      <c r="HD725" s="0"/>
      <c r="HE725" s="0"/>
      <c r="HF725" s="0"/>
      <c r="HG725" s="0"/>
      <c r="HH725" s="0"/>
      <c r="HI725" s="0"/>
      <c r="HJ725" s="0"/>
      <c r="HK725" s="0"/>
      <c r="HL725" s="0"/>
      <c r="HM725" s="0"/>
      <c r="HN725" s="0"/>
      <c r="HO725" s="0"/>
      <c r="HP725" s="0"/>
      <c r="HQ725" s="0"/>
      <c r="HR725" s="0"/>
      <c r="HS725" s="0"/>
      <c r="HT725" s="0"/>
      <c r="HU725" s="0"/>
      <c r="HV725" s="0"/>
      <c r="HW725" s="0"/>
      <c r="HX725" s="0"/>
      <c r="HY725" s="0"/>
      <c r="HZ725" s="0"/>
      <c r="IA725" s="0"/>
      <c r="IB725" s="0"/>
      <c r="IC725" s="0"/>
      <c r="ID725" s="0"/>
      <c r="IE725" s="0"/>
      <c r="IF725" s="0"/>
      <c r="IG725" s="0"/>
      <c r="IH725" s="0"/>
      <c r="II725" s="0"/>
      <c r="IJ725" s="0"/>
      <c r="IK725" s="0"/>
      <c r="IL725" s="0"/>
      <c r="IM725" s="0"/>
      <c r="IN725" s="0"/>
      <c r="IO725" s="0"/>
      <c r="IP725" s="0"/>
      <c r="IQ725" s="0"/>
      <c r="IR725" s="0"/>
      <c r="IS725" s="0"/>
      <c r="IT725" s="0"/>
      <c r="IU725" s="0"/>
      <c r="IV725" s="0"/>
    </row>
    <row r="726" customFormat="false" ht="20.1" hidden="false" customHeight="true" outlineLevel="0" collapsed="false">
      <c r="J726" s="11"/>
      <c r="K726" s="903"/>
      <c r="L726" s="877"/>
      <c r="N726" s="0"/>
      <c r="O726" s="0"/>
      <c r="P726" s="0"/>
      <c r="Q726" s="55"/>
      <c r="R726" s="55"/>
      <c r="S726" s="55"/>
      <c r="T726" s="0"/>
      <c r="U726" s="0"/>
      <c r="V726" s="0"/>
      <c r="W726" s="0"/>
      <c r="X726" s="0"/>
      <c r="Y726" s="0"/>
      <c r="Z726" s="0"/>
      <c r="AA726" s="0"/>
      <c r="AB726" s="0"/>
      <c r="AC726" s="0"/>
      <c r="AD726" s="0"/>
      <c r="AE726" s="0"/>
      <c r="AF726" s="0"/>
      <c r="AG726" s="0"/>
      <c r="AH726" s="0"/>
      <c r="AI726" s="0"/>
      <c r="AJ726" s="0"/>
      <c r="AK726" s="0"/>
      <c r="AL726" s="0"/>
      <c r="AM726" s="0"/>
      <c r="AN726" s="0"/>
      <c r="AO726" s="0"/>
      <c r="AP726" s="0"/>
      <c r="AQ726" s="0"/>
      <c r="AR726" s="0"/>
      <c r="AS726" s="0"/>
      <c r="AT726" s="0"/>
      <c r="BS726" s="0"/>
      <c r="BT726" s="0"/>
      <c r="BU726" s="0"/>
      <c r="BV726" s="0"/>
      <c r="BW726" s="0"/>
      <c r="BX726" s="0"/>
      <c r="BY726" s="0"/>
      <c r="BZ726" s="0"/>
      <c r="CA726" s="0"/>
      <c r="CB726" s="0"/>
      <c r="CC726" s="0"/>
      <c r="CD726" s="0"/>
      <c r="CE726" s="0"/>
      <c r="CF726" s="0"/>
      <c r="CG726" s="0"/>
      <c r="CH726" s="0"/>
      <c r="CI726" s="0"/>
      <c r="CJ726" s="0"/>
      <c r="CK726" s="0"/>
      <c r="CL726" s="0"/>
      <c r="CM726" s="0"/>
      <c r="CN726" s="0"/>
      <c r="CO726" s="0"/>
      <c r="CP726" s="0"/>
      <c r="CQ726" s="0"/>
      <c r="CR726" s="0"/>
      <c r="CS726" s="0"/>
      <c r="CT726" s="0"/>
      <c r="CU726" s="0"/>
      <c r="CV726" s="0"/>
      <c r="CW726" s="0"/>
      <c r="CX726" s="0"/>
      <c r="CY726" s="0"/>
      <c r="CZ726" s="0"/>
      <c r="DA726" s="0"/>
      <c r="DB726" s="0"/>
      <c r="DC726" s="0"/>
      <c r="DD726" s="0"/>
      <c r="DE726" s="0"/>
      <c r="DF726" s="0"/>
      <c r="DG726" s="0"/>
      <c r="DH726" s="0"/>
      <c r="DI726" s="0"/>
      <c r="DJ726" s="0"/>
      <c r="DK726" s="0"/>
      <c r="DL726" s="0"/>
      <c r="DM726" s="0"/>
      <c r="DN726" s="0"/>
      <c r="DO726" s="0"/>
      <c r="DP726" s="0"/>
      <c r="DQ726" s="0"/>
      <c r="DR726" s="0"/>
      <c r="DS726" s="0"/>
      <c r="DT726" s="0"/>
      <c r="DU726" s="0"/>
      <c r="DV726" s="0"/>
      <c r="DW726" s="0"/>
      <c r="DX726" s="0"/>
      <c r="DY726" s="0"/>
      <c r="DZ726" s="0"/>
      <c r="EA726" s="0"/>
      <c r="EB726" s="0"/>
      <c r="EC726" s="0"/>
      <c r="ED726" s="0"/>
      <c r="EE726" s="0"/>
      <c r="EF726" s="0"/>
      <c r="EG726" s="0"/>
      <c r="EH726" s="0"/>
      <c r="EI726" s="0"/>
      <c r="EJ726" s="0"/>
      <c r="EK726" s="0"/>
      <c r="EL726" s="0"/>
      <c r="EM726" s="0"/>
      <c r="EN726" s="0"/>
      <c r="EO726" s="0"/>
      <c r="EP726" s="0"/>
      <c r="EQ726" s="0"/>
      <c r="ER726" s="0"/>
      <c r="ES726" s="0"/>
      <c r="ET726" s="0"/>
      <c r="EU726" s="0"/>
      <c r="EV726" s="0"/>
      <c r="EW726" s="0"/>
      <c r="EX726" s="0"/>
      <c r="EY726" s="0"/>
      <c r="EZ726" s="0"/>
      <c r="FA726" s="0"/>
      <c r="FB726" s="0"/>
      <c r="FC726" s="0"/>
      <c r="FD726" s="0"/>
      <c r="FE726" s="0"/>
      <c r="FF726" s="0"/>
      <c r="FG726" s="0"/>
      <c r="FH726" s="0"/>
      <c r="FI726" s="0"/>
      <c r="FJ726" s="0"/>
      <c r="FK726" s="0"/>
      <c r="FL726" s="0"/>
      <c r="FM726" s="0"/>
      <c r="FN726" s="0"/>
      <c r="FO726" s="0"/>
      <c r="FP726" s="0"/>
      <c r="FQ726" s="0"/>
      <c r="FR726" s="0"/>
      <c r="FS726" s="0"/>
      <c r="FT726" s="0"/>
      <c r="FU726" s="0"/>
      <c r="FV726" s="0"/>
      <c r="FW726" s="0"/>
      <c r="FX726" s="0"/>
      <c r="FY726" s="0"/>
      <c r="FZ726" s="0"/>
      <c r="GA726" s="0"/>
      <c r="GB726" s="0"/>
      <c r="GC726" s="0"/>
      <c r="GD726" s="0"/>
      <c r="GE726" s="0"/>
      <c r="GF726" s="0"/>
      <c r="GG726" s="0"/>
      <c r="GH726" s="0"/>
      <c r="GI726" s="0"/>
      <c r="GJ726" s="0"/>
      <c r="GK726" s="0"/>
      <c r="GL726" s="0"/>
      <c r="GM726" s="0"/>
      <c r="GN726" s="0"/>
      <c r="GO726" s="0"/>
      <c r="GP726" s="0"/>
      <c r="GQ726" s="0"/>
      <c r="GR726" s="0"/>
      <c r="GS726" s="0"/>
      <c r="GT726" s="0"/>
      <c r="GU726" s="0"/>
      <c r="GV726" s="0"/>
      <c r="GW726" s="0"/>
      <c r="GX726" s="0"/>
      <c r="GY726" s="0"/>
      <c r="GZ726" s="0"/>
      <c r="HA726" s="0"/>
      <c r="HB726" s="0"/>
      <c r="HC726" s="0"/>
      <c r="HD726" s="0"/>
      <c r="HE726" s="0"/>
      <c r="HF726" s="0"/>
      <c r="HG726" s="0"/>
      <c r="HH726" s="0"/>
      <c r="HI726" s="0"/>
      <c r="HJ726" s="0"/>
      <c r="HK726" s="0"/>
      <c r="HL726" s="0"/>
      <c r="HM726" s="0"/>
      <c r="HN726" s="0"/>
      <c r="HO726" s="0"/>
      <c r="HP726" s="0"/>
      <c r="HQ726" s="0"/>
      <c r="HR726" s="0"/>
      <c r="HS726" s="0"/>
      <c r="HT726" s="0"/>
      <c r="HU726" s="0"/>
      <c r="HV726" s="0"/>
      <c r="HW726" s="0"/>
      <c r="HX726" s="0"/>
      <c r="HY726" s="0"/>
      <c r="HZ726" s="0"/>
      <c r="IA726" s="0"/>
      <c r="IB726" s="0"/>
      <c r="IC726" s="0"/>
      <c r="ID726" s="0"/>
      <c r="IE726" s="0"/>
      <c r="IF726" s="0"/>
      <c r="IG726" s="0"/>
      <c r="IH726" s="0"/>
      <c r="II726" s="0"/>
      <c r="IJ726" s="0"/>
      <c r="IK726" s="0"/>
      <c r="IL726" s="0"/>
      <c r="IM726" s="0"/>
      <c r="IN726" s="0"/>
      <c r="IO726" s="0"/>
      <c r="IP726" s="0"/>
      <c r="IQ726" s="0"/>
      <c r="IR726" s="0"/>
      <c r="IS726" s="0"/>
      <c r="IT726" s="0"/>
      <c r="IU726" s="0"/>
      <c r="IV726" s="0"/>
    </row>
    <row r="727" customFormat="false" ht="20.1" hidden="false" customHeight="true" outlineLevel="0" collapsed="false">
      <c r="A727" s="14" t="s">
        <v>1494</v>
      </c>
      <c r="B727" s="55"/>
      <c r="C727" s="55"/>
      <c r="D727" s="1016"/>
      <c r="E727" s="55"/>
      <c r="F727" s="55"/>
      <c r="G727" s="55"/>
      <c r="H727" s="55"/>
      <c r="I727" s="55"/>
      <c r="J727" s="55"/>
      <c r="K727" s="903"/>
      <c r="L727" s="877" t="s">
        <v>1087</v>
      </c>
      <c r="N727" s="0"/>
      <c r="O727" s="0"/>
      <c r="P727" s="0"/>
      <c r="Q727" s="55"/>
      <c r="R727" s="55"/>
      <c r="S727" s="55"/>
      <c r="T727" s="0"/>
      <c r="U727" s="0"/>
      <c r="V727" s="0"/>
      <c r="W727" s="0"/>
      <c r="X727" s="0"/>
      <c r="Y727" s="0"/>
      <c r="Z727" s="0"/>
      <c r="AA727" s="0"/>
      <c r="AB727" s="0"/>
      <c r="AC727" s="0"/>
      <c r="AD727" s="0"/>
      <c r="AE727" s="0"/>
      <c r="AF727" s="0"/>
      <c r="AG727" s="0"/>
      <c r="AH727" s="0"/>
      <c r="AI727" s="0"/>
      <c r="AJ727" s="0"/>
      <c r="AK727" s="0"/>
      <c r="AL727" s="0"/>
      <c r="AM727" s="0"/>
      <c r="AN727" s="0"/>
      <c r="AO727" s="0"/>
      <c r="AP727" s="0"/>
      <c r="AQ727" s="0"/>
      <c r="AR727" s="0"/>
      <c r="AS727" s="0"/>
      <c r="AT727" s="0"/>
      <c r="BS727" s="0"/>
      <c r="BT727" s="0"/>
      <c r="BU727" s="0"/>
      <c r="BV727" s="0"/>
      <c r="BW727" s="0"/>
      <c r="BX727" s="0"/>
      <c r="BY727" s="0"/>
      <c r="BZ727" s="0"/>
      <c r="CA727" s="0"/>
      <c r="CB727" s="0"/>
      <c r="CC727" s="0"/>
      <c r="CD727" s="0"/>
      <c r="CE727" s="0"/>
      <c r="CF727" s="0"/>
      <c r="CG727" s="0"/>
      <c r="CH727" s="0"/>
      <c r="CI727" s="0"/>
      <c r="CJ727" s="0"/>
      <c r="CK727" s="0"/>
      <c r="CL727" s="0"/>
      <c r="CM727" s="0"/>
      <c r="CN727" s="0"/>
      <c r="CO727" s="0"/>
      <c r="CP727" s="0"/>
      <c r="CQ727" s="0"/>
      <c r="CR727" s="0"/>
      <c r="CS727" s="0"/>
      <c r="CT727" s="0"/>
      <c r="CU727" s="0"/>
      <c r="CV727" s="0"/>
      <c r="CW727" s="0"/>
      <c r="CX727" s="0"/>
      <c r="CY727" s="0"/>
      <c r="CZ727" s="0"/>
      <c r="DA727" s="0"/>
      <c r="DB727" s="0"/>
      <c r="DC727" s="0"/>
      <c r="DD727" s="0"/>
      <c r="DE727" s="0"/>
      <c r="DF727" s="0"/>
      <c r="DG727" s="0"/>
      <c r="DH727" s="0"/>
      <c r="DI727" s="0"/>
      <c r="DJ727" s="0"/>
      <c r="DK727" s="0"/>
      <c r="DL727" s="0"/>
      <c r="DM727" s="0"/>
      <c r="DN727" s="0"/>
      <c r="DO727" s="0"/>
      <c r="DP727" s="0"/>
      <c r="DQ727" s="0"/>
      <c r="DR727" s="0"/>
      <c r="DS727" s="0"/>
      <c r="DT727" s="0"/>
      <c r="DU727" s="0"/>
      <c r="DV727" s="0"/>
      <c r="DW727" s="0"/>
      <c r="DX727" s="0"/>
      <c r="DY727" s="0"/>
      <c r="DZ727" s="0"/>
      <c r="EA727" s="0"/>
      <c r="EB727" s="0"/>
      <c r="EC727" s="0"/>
      <c r="ED727" s="0"/>
      <c r="EE727" s="0"/>
      <c r="EF727" s="0"/>
      <c r="EG727" s="0"/>
      <c r="EH727" s="0"/>
      <c r="EI727" s="0"/>
      <c r="EJ727" s="0"/>
      <c r="EK727" s="0"/>
      <c r="EL727" s="0"/>
      <c r="EM727" s="0"/>
      <c r="EN727" s="0"/>
      <c r="EO727" s="0"/>
      <c r="EP727" s="0"/>
      <c r="EQ727" s="0"/>
      <c r="ER727" s="0"/>
      <c r="ES727" s="0"/>
      <c r="ET727" s="0"/>
      <c r="EU727" s="0"/>
      <c r="EV727" s="0"/>
      <c r="EW727" s="0"/>
      <c r="EX727" s="0"/>
      <c r="EY727" s="0"/>
      <c r="EZ727" s="0"/>
      <c r="FA727" s="0"/>
      <c r="FB727" s="0"/>
      <c r="FC727" s="0"/>
      <c r="FD727" s="0"/>
      <c r="FE727" s="0"/>
      <c r="FF727" s="0"/>
      <c r="FG727" s="0"/>
      <c r="FH727" s="0"/>
      <c r="FI727" s="0"/>
      <c r="FJ727" s="0"/>
      <c r="FK727" s="0"/>
      <c r="FL727" s="0"/>
      <c r="FM727" s="0"/>
      <c r="FN727" s="0"/>
      <c r="FO727" s="0"/>
      <c r="FP727" s="0"/>
      <c r="FQ727" s="0"/>
      <c r="FR727" s="0"/>
      <c r="FS727" s="0"/>
      <c r="FT727" s="0"/>
      <c r="FU727" s="0"/>
      <c r="FV727" s="0"/>
      <c r="FW727" s="0"/>
      <c r="FX727" s="0"/>
      <c r="FY727" s="0"/>
      <c r="FZ727" s="0"/>
      <c r="GA727" s="0"/>
      <c r="GB727" s="0"/>
      <c r="GC727" s="0"/>
      <c r="GD727" s="0"/>
      <c r="GE727" s="0"/>
      <c r="GF727" s="0"/>
      <c r="GG727" s="0"/>
      <c r="GH727" s="0"/>
      <c r="GI727" s="0"/>
      <c r="GJ727" s="0"/>
      <c r="GK727" s="0"/>
      <c r="GL727" s="0"/>
      <c r="GM727" s="0"/>
      <c r="GN727" s="0"/>
      <c r="GO727" s="0"/>
      <c r="GP727" s="0"/>
      <c r="GQ727" s="0"/>
      <c r="GR727" s="0"/>
      <c r="GS727" s="0"/>
      <c r="GT727" s="0"/>
      <c r="GU727" s="0"/>
      <c r="GV727" s="0"/>
      <c r="GW727" s="0"/>
      <c r="GX727" s="0"/>
      <c r="GY727" s="0"/>
      <c r="GZ727" s="0"/>
      <c r="HA727" s="0"/>
      <c r="HB727" s="0"/>
      <c r="HC727" s="0"/>
      <c r="HD727" s="0"/>
      <c r="HE727" s="0"/>
      <c r="HF727" s="0"/>
      <c r="HG727" s="0"/>
      <c r="HH727" s="0"/>
      <c r="HI727" s="0"/>
      <c r="HJ727" s="0"/>
      <c r="HK727" s="0"/>
      <c r="HL727" s="0"/>
      <c r="HM727" s="0"/>
      <c r="HN727" s="0"/>
      <c r="HO727" s="0"/>
      <c r="HP727" s="0"/>
      <c r="HQ727" s="0"/>
      <c r="HR727" s="0"/>
      <c r="HS727" s="0"/>
      <c r="HT727" s="0"/>
      <c r="HU727" s="0"/>
      <c r="HV727" s="0"/>
      <c r="HW727" s="0"/>
      <c r="HX727" s="0"/>
      <c r="HY727" s="0"/>
      <c r="HZ727" s="0"/>
      <c r="IA727" s="0"/>
      <c r="IB727" s="0"/>
      <c r="IC727" s="0"/>
      <c r="ID727" s="0"/>
      <c r="IE727" s="0"/>
      <c r="IF727" s="0"/>
      <c r="IG727" s="0"/>
      <c r="IH727" s="0"/>
      <c r="II727" s="0"/>
      <c r="IJ727" s="0"/>
      <c r="IK727" s="0"/>
      <c r="IL727" s="0"/>
      <c r="IM727" s="0"/>
      <c r="IN727" s="0"/>
      <c r="IO727" s="0"/>
      <c r="IP727" s="0"/>
      <c r="IQ727" s="0"/>
      <c r="IR727" s="0"/>
      <c r="IS727" s="0"/>
      <c r="IT727" s="0"/>
      <c r="IU727" s="0"/>
      <c r="IV727" s="0"/>
    </row>
    <row r="728" customFormat="false" ht="20.1" hidden="false" customHeight="true" outlineLevel="0" collapsed="false">
      <c r="A728" s="446" t="s">
        <v>1495</v>
      </c>
      <c r="B728" s="446"/>
      <c r="D728" s="1016"/>
      <c r="E728" s="437" t="s">
        <v>1496</v>
      </c>
      <c r="F728" s="11" t="s">
        <v>1497</v>
      </c>
      <c r="G728" s="1169" t="n">
        <f aca="false">I98*0.42</f>
        <v>0</v>
      </c>
      <c r="H728" s="14" t="s">
        <v>1498</v>
      </c>
      <c r="I728" s="909" t="s">
        <v>1499</v>
      </c>
      <c r="J728" s="1170" t="str">
        <f aca="false">IF(D727="Non concerné","NC",IF(G728&gt;0,D728/G728,"NC"))</f>
        <v>NC</v>
      </c>
      <c r="K728" s="903"/>
      <c r="L728" s="877"/>
      <c r="N728" s="0"/>
      <c r="O728" s="0"/>
      <c r="P728" s="0"/>
      <c r="Q728" s="55"/>
      <c r="R728" s="55"/>
      <c r="S728" s="55"/>
      <c r="T728" s="0"/>
      <c r="U728" s="0"/>
      <c r="V728" s="0"/>
      <c r="W728" s="0"/>
      <c r="X728" s="0"/>
      <c r="Y728" s="0"/>
      <c r="Z728" s="0"/>
      <c r="AA728" s="0"/>
      <c r="AB728" s="0"/>
      <c r="AC728" s="0"/>
      <c r="AD728" s="0"/>
      <c r="AE728" s="0"/>
      <c r="AF728" s="0"/>
      <c r="AG728" s="0"/>
      <c r="AH728" s="0"/>
      <c r="AI728" s="0"/>
      <c r="AJ728" s="0"/>
      <c r="AK728" s="0"/>
      <c r="AL728" s="0"/>
      <c r="AM728" s="0"/>
      <c r="AN728" s="0"/>
      <c r="AO728" s="0"/>
      <c r="AP728" s="0"/>
      <c r="AQ728" s="0"/>
      <c r="AR728" s="0"/>
      <c r="AS728" s="0"/>
      <c r="AT728" s="0"/>
      <c r="BS728" s="0"/>
      <c r="BT728" s="0"/>
      <c r="BU728" s="0"/>
      <c r="BV728" s="0"/>
      <c r="BW728" s="0"/>
      <c r="BX728" s="0"/>
      <c r="BY728" s="0"/>
      <c r="BZ728" s="0"/>
      <c r="CA728" s="0"/>
      <c r="CB728" s="0"/>
      <c r="CC728" s="0"/>
      <c r="CD728" s="0"/>
      <c r="CE728" s="0"/>
      <c r="CF728" s="0"/>
      <c r="CG728" s="0"/>
      <c r="CH728" s="0"/>
      <c r="CI728" s="0"/>
      <c r="CJ728" s="0"/>
      <c r="CK728" s="0"/>
      <c r="CL728" s="0"/>
      <c r="CM728" s="0"/>
      <c r="CN728" s="0"/>
      <c r="CO728" s="0"/>
      <c r="CP728" s="0"/>
      <c r="CQ728" s="0"/>
      <c r="CR728" s="0"/>
      <c r="CS728" s="0"/>
      <c r="CT728" s="0"/>
      <c r="CU728" s="0"/>
      <c r="CV728" s="0"/>
      <c r="CW728" s="0"/>
      <c r="CX728" s="0"/>
      <c r="CY728" s="0"/>
      <c r="CZ728" s="0"/>
      <c r="DA728" s="0"/>
      <c r="DB728" s="0"/>
      <c r="DC728" s="0"/>
      <c r="DD728" s="0"/>
      <c r="DE728" s="0"/>
      <c r="DF728" s="0"/>
      <c r="DG728" s="0"/>
      <c r="DH728" s="0"/>
      <c r="DI728" s="0"/>
      <c r="DJ728" s="0"/>
      <c r="DK728" s="0"/>
      <c r="DL728" s="0"/>
      <c r="DM728" s="0"/>
      <c r="DN728" s="0"/>
      <c r="DO728" s="0"/>
      <c r="DP728" s="0"/>
      <c r="DQ728" s="0"/>
      <c r="DR728" s="0"/>
      <c r="DS728" s="0"/>
      <c r="DT728" s="0"/>
      <c r="DU728" s="0"/>
      <c r="DV728" s="0"/>
      <c r="DW728" s="0"/>
      <c r="DX728" s="0"/>
      <c r="DY728" s="0"/>
      <c r="DZ728" s="0"/>
      <c r="EA728" s="0"/>
      <c r="EB728" s="0"/>
      <c r="EC728" s="0"/>
      <c r="ED728" s="0"/>
      <c r="EE728" s="0"/>
      <c r="EF728" s="0"/>
      <c r="EG728" s="0"/>
      <c r="EH728" s="0"/>
      <c r="EI728" s="0"/>
      <c r="EJ728" s="0"/>
      <c r="EK728" s="0"/>
      <c r="EL728" s="0"/>
      <c r="EM728" s="0"/>
      <c r="EN728" s="0"/>
      <c r="EO728" s="0"/>
      <c r="EP728" s="0"/>
      <c r="EQ728" s="0"/>
      <c r="ER728" s="0"/>
      <c r="ES728" s="0"/>
      <c r="ET728" s="0"/>
      <c r="EU728" s="0"/>
      <c r="EV728" s="0"/>
      <c r="EW728" s="0"/>
      <c r="EX728" s="0"/>
      <c r="EY728" s="0"/>
      <c r="EZ728" s="0"/>
      <c r="FA728" s="0"/>
      <c r="FB728" s="0"/>
      <c r="FC728" s="0"/>
      <c r="FD728" s="0"/>
      <c r="FE728" s="0"/>
      <c r="FF728" s="0"/>
      <c r="FG728" s="0"/>
      <c r="FH728" s="0"/>
      <c r="FI728" s="0"/>
      <c r="FJ728" s="0"/>
      <c r="FK728" s="0"/>
      <c r="FL728" s="0"/>
      <c r="FM728" s="0"/>
      <c r="FN728" s="0"/>
      <c r="FO728" s="0"/>
      <c r="FP728" s="0"/>
      <c r="FQ728" s="0"/>
      <c r="FR728" s="0"/>
      <c r="FS728" s="0"/>
      <c r="FT728" s="0"/>
      <c r="FU728" s="0"/>
      <c r="FV728" s="0"/>
      <c r="FW728" s="0"/>
      <c r="FX728" s="0"/>
      <c r="FY728" s="0"/>
      <c r="FZ728" s="0"/>
      <c r="GA728" s="0"/>
      <c r="GB728" s="0"/>
      <c r="GC728" s="0"/>
      <c r="GD728" s="0"/>
      <c r="GE728" s="0"/>
      <c r="GF728" s="0"/>
      <c r="GG728" s="0"/>
      <c r="GH728" s="0"/>
      <c r="GI728" s="0"/>
      <c r="GJ728" s="0"/>
      <c r="GK728" s="0"/>
      <c r="GL728" s="0"/>
      <c r="GM728" s="0"/>
      <c r="GN728" s="0"/>
      <c r="GO728" s="0"/>
      <c r="GP728" s="0"/>
      <c r="GQ728" s="0"/>
      <c r="GR728" s="0"/>
      <c r="GS728" s="0"/>
      <c r="GT728" s="0"/>
      <c r="GU728" s="0"/>
      <c r="GV728" s="0"/>
      <c r="GW728" s="0"/>
      <c r="GX728" s="0"/>
      <c r="GY728" s="0"/>
      <c r="GZ728" s="0"/>
      <c r="HA728" s="0"/>
      <c r="HB728" s="0"/>
      <c r="HC728" s="0"/>
      <c r="HD728" s="0"/>
      <c r="HE728" s="0"/>
      <c r="HF728" s="0"/>
      <c r="HG728" s="0"/>
      <c r="HH728" s="0"/>
      <c r="HI728" s="0"/>
      <c r="HJ728" s="0"/>
      <c r="HK728" s="0"/>
      <c r="HL728" s="0"/>
      <c r="HM728" s="0"/>
      <c r="HN728" s="0"/>
      <c r="HO728" s="0"/>
      <c r="HP728" s="0"/>
      <c r="HQ728" s="0"/>
      <c r="HR728" s="0"/>
      <c r="HS728" s="0"/>
      <c r="HT728" s="0"/>
      <c r="HU728" s="0"/>
      <c r="HV728" s="0"/>
      <c r="HW728" s="0"/>
      <c r="HX728" s="0"/>
      <c r="HY728" s="0"/>
      <c r="HZ728" s="0"/>
      <c r="IA728" s="0"/>
      <c r="IB728" s="0"/>
      <c r="IC728" s="0"/>
      <c r="ID728" s="0"/>
      <c r="IE728" s="0"/>
      <c r="IF728" s="0"/>
      <c r="IG728" s="0"/>
      <c r="IH728" s="0"/>
      <c r="II728" s="0"/>
      <c r="IJ728" s="0"/>
      <c r="IK728" s="0"/>
      <c r="IL728" s="0"/>
      <c r="IM728" s="0"/>
      <c r="IN728" s="0"/>
      <c r="IO728" s="0"/>
      <c r="IP728" s="0"/>
      <c r="IQ728" s="0"/>
      <c r="IR728" s="0"/>
      <c r="IS728" s="0"/>
      <c r="IT728" s="0"/>
      <c r="IU728" s="0"/>
      <c r="IV728" s="0"/>
    </row>
    <row r="729" customFormat="false" ht="20.1" hidden="false" customHeight="true" outlineLevel="0" collapsed="false">
      <c r="A729" s="446"/>
      <c r="B729" s="446"/>
      <c r="I729" s="909"/>
      <c r="J729" s="1170"/>
      <c r="K729" s="903"/>
      <c r="L729" s="877"/>
      <c r="N729" s="0"/>
      <c r="O729" s="0"/>
      <c r="P729" s="0"/>
      <c r="Q729" s="55"/>
      <c r="R729" s="55"/>
      <c r="S729" s="55"/>
      <c r="T729" s="0"/>
      <c r="U729" s="0"/>
      <c r="V729" s="0"/>
      <c r="W729" s="0"/>
      <c r="X729" s="0"/>
      <c r="Y729" s="0"/>
      <c r="Z729" s="0"/>
      <c r="AA729" s="0"/>
      <c r="AB729" s="0"/>
      <c r="AC729" s="0"/>
      <c r="AD729" s="0"/>
      <c r="AE729" s="0"/>
      <c r="AF729" s="0"/>
      <c r="AG729" s="0"/>
      <c r="AH729" s="0"/>
      <c r="AI729" s="0"/>
      <c r="AJ729" s="0"/>
      <c r="AK729" s="0"/>
      <c r="AL729" s="0"/>
      <c r="AM729" s="0"/>
      <c r="AN729" s="0"/>
      <c r="AO729" s="0"/>
      <c r="AP729" s="0"/>
      <c r="AQ729" s="0"/>
      <c r="AR729" s="0"/>
      <c r="AS729" s="0"/>
      <c r="AT729" s="0"/>
      <c r="BS729" s="0"/>
      <c r="BT729" s="0"/>
      <c r="BU729" s="0"/>
      <c r="BV729" s="0"/>
      <c r="BW729" s="0"/>
      <c r="BX729" s="0"/>
      <c r="BY729" s="0"/>
      <c r="BZ729" s="0"/>
      <c r="CA729" s="0"/>
      <c r="CB729" s="0"/>
      <c r="CC729" s="0"/>
      <c r="CD729" s="0"/>
      <c r="CE729" s="0"/>
      <c r="CF729" s="0"/>
      <c r="CG729" s="0"/>
      <c r="CH729" s="0"/>
      <c r="CI729" s="0"/>
      <c r="CJ729" s="0"/>
      <c r="CK729" s="0"/>
      <c r="CL729" s="0"/>
      <c r="CM729" s="0"/>
      <c r="CN729" s="0"/>
      <c r="CO729" s="0"/>
      <c r="CP729" s="0"/>
      <c r="CQ729" s="0"/>
      <c r="CR729" s="0"/>
      <c r="CS729" s="0"/>
      <c r="CT729" s="0"/>
      <c r="CU729" s="0"/>
      <c r="CV729" s="0"/>
      <c r="CW729" s="0"/>
      <c r="CX729" s="0"/>
      <c r="CY729" s="0"/>
      <c r="CZ729" s="0"/>
      <c r="DA729" s="0"/>
      <c r="DB729" s="0"/>
      <c r="DC729" s="0"/>
      <c r="DD729" s="0"/>
      <c r="DE729" s="0"/>
      <c r="DF729" s="0"/>
      <c r="DG729" s="0"/>
      <c r="DH729" s="0"/>
      <c r="DI729" s="0"/>
      <c r="DJ729" s="0"/>
      <c r="DK729" s="0"/>
      <c r="DL729" s="0"/>
      <c r="DM729" s="0"/>
      <c r="DN729" s="0"/>
      <c r="DO729" s="0"/>
      <c r="DP729" s="0"/>
      <c r="DQ729" s="0"/>
      <c r="DR729" s="0"/>
      <c r="DS729" s="0"/>
      <c r="DT729" s="0"/>
      <c r="DU729" s="0"/>
      <c r="DV729" s="0"/>
      <c r="DW729" s="0"/>
      <c r="DX729" s="0"/>
      <c r="DY729" s="0"/>
      <c r="DZ729" s="0"/>
      <c r="EA729" s="0"/>
      <c r="EB729" s="0"/>
      <c r="EC729" s="0"/>
      <c r="ED729" s="0"/>
      <c r="EE729" s="0"/>
      <c r="EF729" s="0"/>
      <c r="EG729" s="0"/>
      <c r="EH729" s="0"/>
      <c r="EI729" s="0"/>
      <c r="EJ729" s="0"/>
      <c r="EK729" s="0"/>
      <c r="EL729" s="0"/>
      <c r="EM729" s="0"/>
      <c r="EN729" s="0"/>
      <c r="EO729" s="0"/>
      <c r="EP729" s="0"/>
      <c r="EQ729" s="0"/>
      <c r="ER729" s="0"/>
      <c r="ES729" s="0"/>
      <c r="ET729" s="0"/>
      <c r="EU729" s="0"/>
      <c r="EV729" s="0"/>
      <c r="EW729" s="0"/>
      <c r="EX729" s="0"/>
      <c r="EY729" s="0"/>
      <c r="EZ729" s="0"/>
      <c r="FA729" s="0"/>
      <c r="FB729" s="0"/>
      <c r="FC729" s="0"/>
      <c r="FD729" s="0"/>
      <c r="FE729" s="0"/>
      <c r="FF729" s="0"/>
      <c r="FG729" s="0"/>
      <c r="FH729" s="0"/>
      <c r="FI729" s="0"/>
      <c r="FJ729" s="0"/>
      <c r="FK729" s="0"/>
      <c r="FL729" s="0"/>
      <c r="FM729" s="0"/>
      <c r="FN729" s="0"/>
      <c r="FO729" s="0"/>
      <c r="FP729" s="0"/>
      <c r="FQ729" s="0"/>
      <c r="FR729" s="0"/>
      <c r="FS729" s="0"/>
      <c r="FT729" s="0"/>
      <c r="FU729" s="0"/>
      <c r="FV729" s="0"/>
      <c r="FW729" s="0"/>
      <c r="FX729" s="0"/>
      <c r="FY729" s="0"/>
      <c r="FZ729" s="0"/>
      <c r="GA729" s="0"/>
      <c r="GB729" s="0"/>
      <c r="GC729" s="0"/>
      <c r="GD729" s="0"/>
      <c r="GE729" s="0"/>
      <c r="GF729" s="0"/>
      <c r="GG729" s="0"/>
      <c r="GH729" s="0"/>
      <c r="GI729" s="0"/>
      <c r="GJ729" s="0"/>
      <c r="GK729" s="0"/>
      <c r="GL729" s="0"/>
      <c r="GM729" s="0"/>
      <c r="GN729" s="0"/>
      <c r="GO729" s="0"/>
      <c r="GP729" s="0"/>
      <c r="GQ729" s="0"/>
      <c r="GR729" s="0"/>
      <c r="GS729" s="0"/>
      <c r="GT729" s="0"/>
      <c r="GU729" s="0"/>
      <c r="GV729" s="0"/>
      <c r="GW729" s="0"/>
      <c r="GX729" s="0"/>
      <c r="GY729" s="0"/>
      <c r="GZ729" s="0"/>
      <c r="HA729" s="0"/>
      <c r="HB729" s="0"/>
      <c r="HC729" s="0"/>
      <c r="HD729" s="0"/>
      <c r="HE729" s="0"/>
      <c r="HF729" s="0"/>
      <c r="HG729" s="0"/>
      <c r="HH729" s="0"/>
      <c r="HI729" s="0"/>
      <c r="HJ729" s="0"/>
      <c r="HK729" s="0"/>
      <c r="HL729" s="0"/>
      <c r="HM729" s="0"/>
      <c r="HN729" s="0"/>
      <c r="HO729" s="0"/>
      <c r="HP729" s="0"/>
      <c r="HQ729" s="0"/>
      <c r="HR729" s="0"/>
      <c r="HS729" s="0"/>
      <c r="HT729" s="0"/>
      <c r="HU729" s="0"/>
      <c r="HV729" s="0"/>
      <c r="HW729" s="0"/>
      <c r="HX729" s="0"/>
      <c r="HY729" s="0"/>
      <c r="HZ729" s="0"/>
      <c r="IA729" s="0"/>
      <c r="IB729" s="0"/>
      <c r="IC729" s="0"/>
      <c r="ID729" s="0"/>
      <c r="IE729" s="0"/>
      <c r="IF729" s="0"/>
      <c r="IG729" s="0"/>
      <c r="IH729" s="0"/>
      <c r="II729" s="0"/>
      <c r="IJ729" s="0"/>
      <c r="IK729" s="0"/>
      <c r="IL729" s="0"/>
      <c r="IM729" s="0"/>
      <c r="IN729" s="0"/>
      <c r="IO729" s="0"/>
      <c r="IP729" s="0"/>
      <c r="IQ729" s="0"/>
      <c r="IR729" s="0"/>
      <c r="IS729" s="0"/>
      <c r="IT729" s="0"/>
      <c r="IU729" s="0"/>
      <c r="IV729" s="0"/>
    </row>
    <row r="730" customFormat="false" ht="20.1" hidden="false" customHeight="true" outlineLevel="0" collapsed="false">
      <c r="A730" s="454"/>
      <c r="B730" s="55"/>
      <c r="C730" s="537"/>
      <c r="D730" s="55"/>
      <c r="E730" s="1171"/>
      <c r="F730" s="1172"/>
      <c r="G730" s="1172"/>
      <c r="H730" s="411"/>
      <c r="I730" s="909"/>
      <c r="J730" s="1170"/>
      <c r="K730" s="903"/>
      <c r="L730" s="877"/>
      <c r="N730" s="0"/>
      <c r="O730" s="0"/>
      <c r="P730" s="0"/>
      <c r="Q730" s="55"/>
      <c r="R730" s="55"/>
      <c r="S730" s="55"/>
      <c r="T730" s="0"/>
      <c r="U730" s="0"/>
      <c r="V730" s="0"/>
      <c r="W730" s="0"/>
      <c r="X730" s="0"/>
      <c r="Y730" s="0"/>
      <c r="Z730" s="0"/>
      <c r="AA730" s="0"/>
      <c r="AB730" s="0"/>
      <c r="AC730" s="0"/>
      <c r="AD730" s="0"/>
      <c r="AE730" s="0"/>
      <c r="AF730" s="0"/>
      <c r="AG730" s="0"/>
      <c r="AH730" s="0"/>
      <c r="AI730" s="0"/>
      <c r="AJ730" s="0"/>
      <c r="AK730" s="0"/>
      <c r="AL730" s="0"/>
      <c r="AM730" s="0"/>
      <c r="AN730" s="0"/>
      <c r="AO730" s="0"/>
      <c r="AP730" s="0"/>
      <c r="AQ730" s="0"/>
      <c r="AR730" s="0"/>
      <c r="AS730" s="0"/>
      <c r="AT730" s="0"/>
      <c r="BS730" s="0"/>
      <c r="BT730" s="0"/>
      <c r="BU730" s="0"/>
      <c r="BV730" s="0"/>
      <c r="BW730" s="0"/>
      <c r="BX730" s="0"/>
      <c r="BY730" s="0"/>
      <c r="BZ730" s="0"/>
      <c r="CA730" s="0"/>
      <c r="CB730" s="0"/>
      <c r="CC730" s="0"/>
      <c r="CD730" s="0"/>
      <c r="CE730" s="0"/>
      <c r="CF730" s="0"/>
      <c r="CG730" s="0"/>
      <c r="CH730" s="0"/>
      <c r="CI730" s="0"/>
      <c r="CJ730" s="0"/>
      <c r="CK730" s="0"/>
      <c r="CL730" s="0"/>
      <c r="CM730" s="0"/>
      <c r="CN730" s="0"/>
      <c r="CO730" s="0"/>
      <c r="CP730" s="0"/>
      <c r="CQ730" s="0"/>
      <c r="CR730" s="0"/>
      <c r="CS730" s="0"/>
      <c r="CT730" s="0"/>
      <c r="CU730" s="0"/>
      <c r="CV730" s="0"/>
      <c r="CW730" s="0"/>
      <c r="CX730" s="0"/>
      <c r="CY730" s="0"/>
      <c r="CZ730" s="0"/>
      <c r="DA730" s="0"/>
      <c r="DB730" s="0"/>
      <c r="DC730" s="0"/>
      <c r="DD730" s="0"/>
      <c r="DE730" s="0"/>
      <c r="DF730" s="0"/>
      <c r="DG730" s="0"/>
      <c r="DH730" s="0"/>
      <c r="DI730" s="0"/>
      <c r="DJ730" s="0"/>
      <c r="DK730" s="0"/>
      <c r="DL730" s="0"/>
      <c r="DM730" s="0"/>
      <c r="DN730" s="0"/>
      <c r="DO730" s="0"/>
      <c r="DP730" s="0"/>
      <c r="DQ730" s="0"/>
      <c r="DR730" s="0"/>
      <c r="DS730" s="0"/>
      <c r="DT730" s="0"/>
      <c r="DU730" s="0"/>
      <c r="DV730" s="0"/>
      <c r="DW730" s="0"/>
      <c r="DX730" s="0"/>
      <c r="DY730" s="0"/>
      <c r="DZ730" s="0"/>
      <c r="EA730" s="0"/>
      <c r="EB730" s="0"/>
      <c r="EC730" s="0"/>
      <c r="ED730" s="0"/>
      <c r="EE730" s="0"/>
      <c r="EF730" s="0"/>
      <c r="EG730" s="0"/>
      <c r="EH730" s="0"/>
      <c r="EI730" s="0"/>
      <c r="EJ730" s="0"/>
      <c r="EK730" s="0"/>
      <c r="EL730" s="0"/>
      <c r="EM730" s="0"/>
      <c r="EN730" s="0"/>
      <c r="EO730" s="0"/>
      <c r="EP730" s="0"/>
      <c r="EQ730" s="0"/>
      <c r="ER730" s="0"/>
      <c r="ES730" s="0"/>
      <c r="ET730" s="0"/>
      <c r="EU730" s="0"/>
      <c r="EV730" s="0"/>
      <c r="EW730" s="0"/>
      <c r="EX730" s="0"/>
      <c r="EY730" s="0"/>
      <c r="EZ730" s="0"/>
      <c r="FA730" s="0"/>
      <c r="FB730" s="0"/>
      <c r="FC730" s="0"/>
      <c r="FD730" s="0"/>
      <c r="FE730" s="0"/>
      <c r="FF730" s="0"/>
      <c r="FG730" s="0"/>
      <c r="FH730" s="0"/>
      <c r="FI730" s="0"/>
      <c r="FJ730" s="0"/>
      <c r="FK730" s="0"/>
      <c r="FL730" s="0"/>
      <c r="FM730" s="0"/>
      <c r="FN730" s="0"/>
      <c r="FO730" s="0"/>
      <c r="FP730" s="0"/>
      <c r="FQ730" s="0"/>
      <c r="FR730" s="0"/>
      <c r="FS730" s="0"/>
      <c r="FT730" s="0"/>
      <c r="FU730" s="0"/>
      <c r="FV730" s="0"/>
      <c r="FW730" s="0"/>
      <c r="FX730" s="0"/>
      <c r="FY730" s="0"/>
      <c r="FZ730" s="0"/>
      <c r="GA730" s="0"/>
      <c r="GB730" s="0"/>
      <c r="GC730" s="0"/>
      <c r="GD730" s="0"/>
      <c r="GE730" s="0"/>
      <c r="GF730" s="0"/>
      <c r="GG730" s="0"/>
      <c r="GH730" s="0"/>
      <c r="GI730" s="0"/>
      <c r="GJ730" s="0"/>
      <c r="GK730" s="0"/>
      <c r="GL730" s="0"/>
      <c r="GM730" s="0"/>
      <c r="GN730" s="0"/>
      <c r="GO730" s="0"/>
      <c r="GP730" s="0"/>
      <c r="GQ730" s="0"/>
      <c r="GR730" s="0"/>
      <c r="GS730" s="0"/>
      <c r="GT730" s="0"/>
      <c r="GU730" s="0"/>
      <c r="GV730" s="0"/>
      <c r="GW730" s="0"/>
      <c r="GX730" s="0"/>
      <c r="GY730" s="0"/>
      <c r="GZ730" s="0"/>
      <c r="HA730" s="0"/>
      <c r="HB730" s="0"/>
      <c r="HC730" s="0"/>
      <c r="HD730" s="0"/>
      <c r="HE730" s="0"/>
      <c r="HF730" s="0"/>
      <c r="HG730" s="0"/>
      <c r="HH730" s="0"/>
      <c r="HI730" s="0"/>
      <c r="HJ730" s="0"/>
      <c r="HK730" s="0"/>
      <c r="HL730" s="0"/>
      <c r="HM730" s="0"/>
      <c r="HN730" s="0"/>
      <c r="HO730" s="0"/>
      <c r="HP730" s="0"/>
      <c r="HQ730" s="0"/>
      <c r="HR730" s="0"/>
      <c r="HS730" s="0"/>
      <c r="HT730" s="0"/>
      <c r="HU730" s="0"/>
      <c r="HV730" s="0"/>
      <c r="HW730" s="0"/>
      <c r="HX730" s="0"/>
      <c r="HY730" s="0"/>
      <c r="HZ730" s="0"/>
      <c r="IA730" s="0"/>
      <c r="IB730" s="0"/>
      <c r="IC730" s="0"/>
      <c r="ID730" s="0"/>
      <c r="IE730" s="0"/>
      <c r="IF730" s="0"/>
      <c r="IG730" s="0"/>
      <c r="IH730" s="0"/>
      <c r="II730" s="0"/>
      <c r="IJ730" s="0"/>
      <c r="IK730" s="0"/>
      <c r="IL730" s="0"/>
      <c r="IM730" s="0"/>
      <c r="IN730" s="0"/>
      <c r="IO730" s="0"/>
      <c r="IP730" s="0"/>
      <c r="IQ730" s="0"/>
      <c r="IR730" s="0"/>
      <c r="IS730" s="0"/>
      <c r="IT730" s="0"/>
      <c r="IU730" s="0"/>
      <c r="IV730" s="0"/>
    </row>
    <row r="731" customFormat="false" ht="20.1" hidden="false" customHeight="true" outlineLevel="0" collapsed="false">
      <c r="A731" s="55"/>
      <c r="B731" s="55"/>
      <c r="C731" s="55"/>
      <c r="D731" s="55"/>
      <c r="E731" s="55"/>
      <c r="F731" s="55"/>
      <c r="G731" s="55"/>
      <c r="H731" s="55"/>
      <c r="I731" s="55"/>
      <c r="J731" s="55"/>
      <c r="K731" s="55"/>
      <c r="L731" s="55"/>
      <c r="N731" s="0"/>
      <c r="O731" s="0"/>
      <c r="P731" s="0"/>
      <c r="Q731" s="55"/>
      <c r="R731" s="55"/>
      <c r="S731" s="55"/>
      <c r="T731" s="0"/>
      <c r="U731" s="0"/>
      <c r="V731" s="0"/>
      <c r="W731" s="0"/>
      <c r="X731" s="0"/>
      <c r="Y731" s="0"/>
      <c r="Z731" s="0"/>
      <c r="AA731" s="0"/>
      <c r="AB731" s="0"/>
      <c r="AC731" s="0"/>
      <c r="AD731" s="0"/>
      <c r="AE731" s="0"/>
      <c r="AF731" s="0"/>
      <c r="AG731" s="0"/>
      <c r="AH731" s="0"/>
      <c r="AI731" s="0"/>
      <c r="AJ731" s="0"/>
      <c r="AK731" s="0"/>
      <c r="AL731" s="0"/>
      <c r="AM731" s="0"/>
      <c r="AN731" s="0"/>
      <c r="AO731" s="0"/>
      <c r="AP731" s="0"/>
      <c r="AQ731" s="0"/>
      <c r="AR731" s="0"/>
      <c r="AS731" s="0"/>
      <c r="AT731" s="0"/>
      <c r="BS731" s="0"/>
      <c r="BT731" s="0"/>
      <c r="BU731" s="0"/>
      <c r="BV731" s="0"/>
      <c r="BW731" s="0"/>
      <c r="BX731" s="0"/>
      <c r="BY731" s="0"/>
      <c r="BZ731" s="0"/>
      <c r="CA731" s="0"/>
      <c r="CB731" s="0"/>
      <c r="CC731" s="0"/>
      <c r="CD731" s="0"/>
      <c r="CE731" s="0"/>
      <c r="CF731" s="0"/>
      <c r="CG731" s="0"/>
      <c r="CH731" s="0"/>
      <c r="CI731" s="0"/>
      <c r="CJ731" s="0"/>
      <c r="CK731" s="0"/>
      <c r="CL731" s="0"/>
      <c r="CM731" s="0"/>
      <c r="CN731" s="0"/>
      <c r="CO731" s="0"/>
      <c r="CP731" s="0"/>
      <c r="CQ731" s="0"/>
      <c r="CR731" s="0"/>
      <c r="CS731" s="0"/>
      <c r="CT731" s="0"/>
      <c r="CU731" s="0"/>
      <c r="CV731" s="0"/>
      <c r="CW731" s="0"/>
      <c r="CX731" s="0"/>
      <c r="CY731" s="0"/>
      <c r="CZ731" s="0"/>
      <c r="DA731" s="0"/>
      <c r="DB731" s="0"/>
      <c r="DC731" s="0"/>
      <c r="DD731" s="0"/>
      <c r="DE731" s="0"/>
      <c r="DF731" s="0"/>
      <c r="DG731" s="0"/>
      <c r="DH731" s="0"/>
      <c r="DI731" s="0"/>
      <c r="DJ731" s="0"/>
      <c r="DK731" s="0"/>
      <c r="DL731" s="0"/>
      <c r="DM731" s="0"/>
      <c r="DN731" s="0"/>
      <c r="DO731" s="0"/>
      <c r="DP731" s="0"/>
      <c r="DQ731" s="0"/>
      <c r="DR731" s="0"/>
      <c r="DS731" s="0"/>
      <c r="DT731" s="0"/>
      <c r="DU731" s="0"/>
      <c r="DV731" s="0"/>
      <c r="DW731" s="0"/>
      <c r="DX731" s="0"/>
      <c r="DY731" s="0"/>
      <c r="DZ731" s="0"/>
      <c r="EA731" s="0"/>
      <c r="EB731" s="0"/>
      <c r="EC731" s="0"/>
      <c r="ED731" s="0"/>
      <c r="EE731" s="0"/>
      <c r="EF731" s="0"/>
      <c r="EG731" s="0"/>
      <c r="EH731" s="0"/>
      <c r="EI731" s="0"/>
      <c r="EJ731" s="0"/>
      <c r="EK731" s="0"/>
      <c r="EL731" s="0"/>
      <c r="EM731" s="0"/>
      <c r="EN731" s="0"/>
      <c r="EO731" s="0"/>
      <c r="EP731" s="0"/>
      <c r="EQ731" s="0"/>
      <c r="ER731" s="0"/>
      <c r="ES731" s="0"/>
      <c r="ET731" s="0"/>
      <c r="EU731" s="0"/>
      <c r="EV731" s="0"/>
      <c r="EW731" s="0"/>
      <c r="EX731" s="0"/>
      <c r="EY731" s="0"/>
      <c r="EZ731" s="0"/>
      <c r="FA731" s="0"/>
      <c r="FB731" s="0"/>
      <c r="FC731" s="0"/>
      <c r="FD731" s="0"/>
      <c r="FE731" s="0"/>
      <c r="FF731" s="0"/>
      <c r="FG731" s="0"/>
      <c r="FH731" s="0"/>
      <c r="FI731" s="0"/>
      <c r="FJ731" s="0"/>
      <c r="FK731" s="0"/>
      <c r="FL731" s="0"/>
      <c r="FM731" s="0"/>
      <c r="FN731" s="0"/>
      <c r="FO731" s="0"/>
      <c r="FP731" s="0"/>
      <c r="FQ731" s="0"/>
      <c r="FR731" s="0"/>
      <c r="FS731" s="0"/>
      <c r="FT731" s="0"/>
      <c r="FU731" s="0"/>
      <c r="FV731" s="0"/>
      <c r="FW731" s="0"/>
      <c r="FX731" s="0"/>
      <c r="FY731" s="0"/>
      <c r="FZ731" s="0"/>
      <c r="GA731" s="0"/>
      <c r="GB731" s="0"/>
      <c r="GC731" s="0"/>
      <c r="GD731" s="0"/>
      <c r="GE731" s="0"/>
      <c r="GF731" s="0"/>
      <c r="GG731" s="0"/>
      <c r="GH731" s="0"/>
      <c r="GI731" s="0"/>
      <c r="GJ731" s="0"/>
      <c r="GK731" s="0"/>
      <c r="GL731" s="0"/>
      <c r="GM731" s="0"/>
      <c r="GN731" s="0"/>
      <c r="GO731" s="0"/>
      <c r="GP731" s="0"/>
      <c r="GQ731" s="0"/>
      <c r="GR731" s="0"/>
      <c r="GS731" s="0"/>
      <c r="GT731" s="0"/>
      <c r="GU731" s="0"/>
      <c r="GV731" s="0"/>
      <c r="GW731" s="0"/>
      <c r="GX731" s="0"/>
      <c r="GY731" s="0"/>
      <c r="GZ731" s="0"/>
      <c r="HA731" s="0"/>
      <c r="HB731" s="0"/>
      <c r="HC731" s="0"/>
      <c r="HD731" s="0"/>
      <c r="HE731" s="0"/>
      <c r="HF731" s="0"/>
      <c r="HG731" s="0"/>
      <c r="HH731" s="0"/>
      <c r="HI731" s="0"/>
      <c r="HJ731" s="0"/>
      <c r="HK731" s="0"/>
      <c r="HL731" s="0"/>
      <c r="HM731" s="0"/>
      <c r="HN731" s="0"/>
      <c r="HO731" s="0"/>
      <c r="HP731" s="0"/>
      <c r="HQ731" s="0"/>
      <c r="HR731" s="0"/>
      <c r="HS731" s="0"/>
      <c r="HT731" s="0"/>
      <c r="HU731" s="0"/>
      <c r="HV731" s="0"/>
      <c r="HW731" s="0"/>
      <c r="HX731" s="0"/>
      <c r="HY731" s="0"/>
      <c r="HZ731" s="0"/>
      <c r="IA731" s="0"/>
      <c r="IB731" s="0"/>
      <c r="IC731" s="0"/>
      <c r="ID731" s="0"/>
      <c r="IE731" s="0"/>
      <c r="IF731" s="0"/>
      <c r="IG731" s="0"/>
      <c r="IH731" s="0"/>
      <c r="II731" s="0"/>
      <c r="IJ731" s="0"/>
      <c r="IK731" s="0"/>
      <c r="IL731" s="0"/>
      <c r="IM731" s="0"/>
      <c r="IN731" s="0"/>
      <c r="IO731" s="0"/>
      <c r="IP731" s="0"/>
      <c r="IQ731" s="0"/>
      <c r="IR731" s="0"/>
      <c r="IS731" s="0"/>
      <c r="IT731" s="0"/>
      <c r="IU731" s="0"/>
      <c r="IV731" s="0"/>
    </row>
    <row r="732" customFormat="false" ht="20.1" hidden="false" customHeight="true" outlineLevel="0" collapsed="false">
      <c r="A732" s="55"/>
      <c r="B732" s="55"/>
      <c r="C732" s="55"/>
      <c r="D732" s="55"/>
      <c r="E732" s="55"/>
      <c r="F732" s="55"/>
      <c r="G732" s="55"/>
      <c r="H732" s="55"/>
      <c r="I732" s="55"/>
      <c r="J732" s="55"/>
      <c r="K732" s="55"/>
      <c r="L732" s="55"/>
      <c r="N732" s="0"/>
      <c r="O732" s="0"/>
      <c r="P732" s="0"/>
      <c r="Q732" s="55"/>
      <c r="R732" s="55"/>
      <c r="S732" s="55"/>
      <c r="T732" s="0"/>
      <c r="U732" s="0"/>
      <c r="V732" s="0"/>
      <c r="W732" s="0"/>
      <c r="X732" s="0"/>
      <c r="Y732" s="0"/>
      <c r="Z732" s="0"/>
      <c r="AA732" s="0"/>
      <c r="AB732" s="0"/>
      <c r="AC732" s="0"/>
      <c r="AD732" s="0"/>
      <c r="AE732" s="0"/>
      <c r="AF732" s="0"/>
      <c r="AG732" s="0"/>
      <c r="AH732" s="0"/>
      <c r="AI732" s="0"/>
      <c r="AJ732" s="0"/>
      <c r="AK732" s="0"/>
      <c r="AL732" s="0"/>
      <c r="AM732" s="0"/>
      <c r="AN732" s="0"/>
      <c r="AO732" s="0"/>
      <c r="AP732" s="0"/>
      <c r="AQ732" s="0"/>
      <c r="AR732" s="0"/>
      <c r="AS732" s="0"/>
      <c r="AT732" s="0"/>
      <c r="BS732" s="0"/>
      <c r="BT732" s="0"/>
      <c r="BU732" s="0"/>
      <c r="BV732" s="0"/>
      <c r="BW732" s="0"/>
      <c r="BX732" s="0"/>
      <c r="BY732" s="0"/>
      <c r="BZ732" s="0"/>
      <c r="CA732" s="0"/>
      <c r="CB732" s="0"/>
      <c r="CC732" s="0"/>
      <c r="CD732" s="0"/>
      <c r="CE732" s="0"/>
      <c r="CF732" s="0"/>
      <c r="CG732" s="0"/>
      <c r="CH732" s="0"/>
      <c r="CI732" s="0"/>
      <c r="CJ732" s="0"/>
      <c r="CK732" s="0"/>
      <c r="CL732" s="0"/>
      <c r="CM732" s="0"/>
      <c r="CN732" s="0"/>
      <c r="CO732" s="0"/>
      <c r="CP732" s="0"/>
      <c r="CQ732" s="0"/>
      <c r="CR732" s="0"/>
      <c r="CS732" s="0"/>
      <c r="CT732" s="0"/>
      <c r="CU732" s="0"/>
      <c r="CV732" s="0"/>
      <c r="CW732" s="0"/>
      <c r="CX732" s="0"/>
      <c r="CY732" s="0"/>
      <c r="CZ732" s="0"/>
      <c r="DA732" s="0"/>
      <c r="DB732" s="0"/>
      <c r="DC732" s="0"/>
      <c r="DD732" s="0"/>
      <c r="DE732" s="0"/>
      <c r="DF732" s="0"/>
      <c r="DG732" s="0"/>
      <c r="DH732" s="0"/>
      <c r="DI732" s="0"/>
      <c r="DJ732" s="0"/>
      <c r="DK732" s="0"/>
      <c r="DL732" s="0"/>
      <c r="DM732" s="0"/>
      <c r="DN732" s="0"/>
      <c r="DO732" s="0"/>
      <c r="DP732" s="0"/>
      <c r="DQ732" s="0"/>
      <c r="DR732" s="0"/>
      <c r="DS732" s="0"/>
      <c r="DT732" s="0"/>
      <c r="DU732" s="0"/>
      <c r="DV732" s="0"/>
      <c r="DW732" s="0"/>
      <c r="DX732" s="0"/>
      <c r="DY732" s="0"/>
      <c r="DZ732" s="0"/>
      <c r="EA732" s="0"/>
      <c r="EB732" s="0"/>
      <c r="EC732" s="0"/>
      <c r="ED732" s="0"/>
      <c r="EE732" s="0"/>
      <c r="EF732" s="0"/>
      <c r="EG732" s="0"/>
      <c r="EH732" s="0"/>
      <c r="EI732" s="0"/>
      <c r="EJ732" s="0"/>
      <c r="EK732" s="0"/>
      <c r="EL732" s="0"/>
      <c r="EM732" s="0"/>
      <c r="EN732" s="0"/>
      <c r="EO732" s="0"/>
      <c r="EP732" s="0"/>
      <c r="EQ732" s="0"/>
      <c r="ER732" s="0"/>
      <c r="ES732" s="0"/>
      <c r="ET732" s="0"/>
      <c r="EU732" s="0"/>
      <c r="EV732" s="0"/>
      <c r="EW732" s="0"/>
      <c r="EX732" s="0"/>
      <c r="EY732" s="0"/>
      <c r="EZ732" s="0"/>
      <c r="FA732" s="0"/>
      <c r="FB732" s="0"/>
      <c r="FC732" s="0"/>
      <c r="FD732" s="0"/>
      <c r="FE732" s="0"/>
      <c r="FF732" s="0"/>
      <c r="FG732" s="0"/>
      <c r="FH732" s="0"/>
      <c r="FI732" s="0"/>
      <c r="FJ732" s="0"/>
      <c r="FK732" s="0"/>
      <c r="FL732" s="0"/>
      <c r="FM732" s="0"/>
      <c r="FN732" s="0"/>
      <c r="FO732" s="0"/>
      <c r="FP732" s="0"/>
      <c r="FQ732" s="0"/>
      <c r="FR732" s="0"/>
      <c r="FS732" s="0"/>
      <c r="FT732" s="0"/>
      <c r="FU732" s="0"/>
      <c r="FV732" s="0"/>
      <c r="FW732" s="0"/>
      <c r="FX732" s="0"/>
      <c r="FY732" s="0"/>
      <c r="FZ732" s="0"/>
      <c r="GA732" s="0"/>
      <c r="GB732" s="0"/>
      <c r="GC732" s="0"/>
      <c r="GD732" s="0"/>
      <c r="GE732" s="0"/>
      <c r="GF732" s="0"/>
      <c r="GG732" s="0"/>
      <c r="GH732" s="0"/>
      <c r="GI732" s="0"/>
      <c r="GJ732" s="0"/>
      <c r="GK732" s="0"/>
      <c r="GL732" s="0"/>
      <c r="GM732" s="0"/>
      <c r="GN732" s="0"/>
      <c r="GO732" s="0"/>
      <c r="GP732" s="0"/>
      <c r="GQ732" s="0"/>
      <c r="GR732" s="0"/>
      <c r="GS732" s="0"/>
      <c r="GT732" s="0"/>
      <c r="GU732" s="0"/>
      <c r="GV732" s="0"/>
      <c r="GW732" s="0"/>
      <c r="GX732" s="0"/>
      <c r="GY732" s="0"/>
      <c r="GZ732" s="0"/>
      <c r="HA732" s="0"/>
      <c r="HB732" s="0"/>
      <c r="HC732" s="0"/>
      <c r="HD732" s="0"/>
      <c r="HE732" s="0"/>
      <c r="HF732" s="0"/>
      <c r="HG732" s="0"/>
      <c r="HH732" s="0"/>
      <c r="HI732" s="0"/>
      <c r="HJ732" s="0"/>
      <c r="HK732" s="0"/>
      <c r="HL732" s="0"/>
      <c r="HM732" s="0"/>
      <c r="HN732" s="0"/>
      <c r="HO732" s="0"/>
      <c r="HP732" s="0"/>
      <c r="HQ732" s="0"/>
      <c r="HR732" s="0"/>
      <c r="HS732" s="0"/>
      <c r="HT732" s="0"/>
      <c r="HU732" s="0"/>
      <c r="HV732" s="0"/>
      <c r="HW732" s="0"/>
      <c r="HX732" s="0"/>
      <c r="HY732" s="0"/>
      <c r="HZ732" s="0"/>
      <c r="IA732" s="0"/>
      <c r="IB732" s="0"/>
      <c r="IC732" s="0"/>
      <c r="ID732" s="0"/>
      <c r="IE732" s="0"/>
      <c r="IF732" s="0"/>
      <c r="IG732" s="0"/>
      <c r="IH732" s="0"/>
      <c r="II732" s="0"/>
      <c r="IJ732" s="0"/>
      <c r="IK732" s="0"/>
      <c r="IL732" s="0"/>
      <c r="IM732" s="0"/>
      <c r="IN732" s="0"/>
      <c r="IO732" s="0"/>
      <c r="IP732" s="0"/>
      <c r="IQ732" s="0"/>
      <c r="IR732" s="0"/>
      <c r="IS732" s="0"/>
      <c r="IT732" s="0"/>
      <c r="IU732" s="0"/>
      <c r="IV732" s="0"/>
    </row>
    <row r="733" customFormat="false" ht="20.1" hidden="false" customHeight="true" outlineLevel="0" collapsed="false">
      <c r="A733" s="869" t="s">
        <v>1500</v>
      </c>
      <c r="B733" s="869"/>
      <c r="C733" s="869"/>
      <c r="D733" s="869"/>
      <c r="E733" s="869"/>
      <c r="F733" s="869"/>
      <c r="G733" s="869"/>
      <c r="H733" s="53"/>
      <c r="I733" s="53"/>
      <c r="J733" s="53"/>
      <c r="K733" s="870"/>
      <c r="L733" s="871" t="s">
        <v>1501</v>
      </c>
      <c r="M733" s="55"/>
      <c r="N733" s="0"/>
      <c r="O733" s="0"/>
      <c r="P733" s="0"/>
      <c r="Q733" s="0"/>
      <c r="R733" s="0"/>
      <c r="S733" s="0"/>
      <c r="T733" s="0"/>
      <c r="U733" s="0"/>
      <c r="V733" s="0"/>
      <c r="W733" s="0"/>
      <c r="X733" s="0"/>
      <c r="Y733" s="0"/>
      <c r="Z733" s="0"/>
      <c r="AA733" s="0"/>
      <c r="AB733" s="0"/>
      <c r="AC733" s="0"/>
      <c r="AD733" s="0"/>
      <c r="AE733" s="0"/>
      <c r="AF733" s="0"/>
      <c r="AG733" s="0"/>
      <c r="AH733" s="0"/>
      <c r="AI733" s="0"/>
      <c r="AJ733" s="0"/>
      <c r="AK733" s="0"/>
      <c r="AL733" s="0"/>
      <c r="AM733" s="0"/>
      <c r="AN733" s="0"/>
      <c r="AO733" s="0"/>
      <c r="AP733" s="0"/>
      <c r="AQ733" s="0"/>
      <c r="AR733" s="0"/>
      <c r="AS733" s="0"/>
      <c r="AT733" s="0"/>
      <c r="BS733" s="0"/>
      <c r="BT733" s="0"/>
      <c r="BU733" s="0"/>
      <c r="BV733" s="0"/>
      <c r="BW733" s="0"/>
      <c r="BX733" s="0"/>
      <c r="BY733" s="0"/>
      <c r="BZ733" s="0"/>
      <c r="CA733" s="0"/>
      <c r="CB733" s="0"/>
      <c r="CC733" s="0"/>
      <c r="CD733" s="0"/>
      <c r="CE733" s="0"/>
      <c r="CF733" s="0"/>
      <c r="CG733" s="0"/>
      <c r="CH733" s="0"/>
      <c r="CI733" s="0"/>
      <c r="CJ733" s="0"/>
      <c r="CK733" s="0"/>
      <c r="CL733" s="0"/>
      <c r="CM733" s="0"/>
      <c r="CN733" s="0"/>
      <c r="CO733" s="0"/>
      <c r="CP733" s="0"/>
      <c r="CQ733" s="0"/>
      <c r="CR733" s="0"/>
      <c r="CS733" s="0"/>
      <c r="CT733" s="0"/>
      <c r="CU733" s="0"/>
      <c r="CV733" s="0"/>
      <c r="CW733" s="0"/>
      <c r="CX733" s="0"/>
      <c r="CY733" s="0"/>
      <c r="CZ733" s="0"/>
      <c r="DA733" s="0"/>
      <c r="DB733" s="0"/>
      <c r="DC733" s="0"/>
      <c r="DD733" s="0"/>
      <c r="DE733" s="0"/>
      <c r="DF733" s="0"/>
      <c r="DG733" s="0"/>
      <c r="DH733" s="0"/>
      <c r="DI733" s="0"/>
      <c r="DJ733" s="0"/>
      <c r="DK733" s="0"/>
      <c r="DL733" s="0"/>
      <c r="DM733" s="0"/>
      <c r="DN733" s="0"/>
      <c r="DO733" s="0"/>
      <c r="DP733" s="0"/>
      <c r="DQ733" s="0"/>
      <c r="DR733" s="0"/>
      <c r="DS733" s="0"/>
      <c r="DT733" s="0"/>
      <c r="DU733" s="0"/>
      <c r="DV733" s="0"/>
      <c r="DW733" s="0"/>
      <c r="DX733" s="0"/>
      <c r="DY733" s="0"/>
      <c r="DZ733" s="0"/>
      <c r="EA733" s="0"/>
      <c r="EB733" s="0"/>
      <c r="EC733" s="0"/>
      <c r="ED733" s="0"/>
      <c r="EE733" s="0"/>
      <c r="EF733" s="0"/>
      <c r="EG733" s="0"/>
      <c r="EH733" s="0"/>
      <c r="EI733" s="0"/>
      <c r="EJ733" s="0"/>
      <c r="EK733" s="0"/>
      <c r="EL733" s="0"/>
      <c r="EM733" s="0"/>
      <c r="EN733" s="0"/>
      <c r="EO733" s="0"/>
      <c r="EP733" s="0"/>
      <c r="EQ733" s="0"/>
      <c r="ER733" s="0"/>
      <c r="ES733" s="0"/>
      <c r="ET733" s="0"/>
      <c r="EU733" s="0"/>
      <c r="EV733" s="0"/>
      <c r="EW733" s="0"/>
      <c r="EX733" s="0"/>
      <c r="EY733" s="0"/>
      <c r="EZ733" s="0"/>
      <c r="FA733" s="0"/>
      <c r="FB733" s="0"/>
      <c r="FC733" s="0"/>
      <c r="FD733" s="0"/>
      <c r="FE733" s="0"/>
      <c r="FF733" s="0"/>
      <c r="FG733" s="0"/>
      <c r="FH733" s="0"/>
      <c r="FI733" s="0"/>
      <c r="FJ733" s="0"/>
      <c r="FK733" s="0"/>
      <c r="FL733" s="0"/>
      <c r="FM733" s="0"/>
      <c r="FN733" s="0"/>
      <c r="FO733" s="0"/>
      <c r="FP733" s="0"/>
      <c r="FQ733" s="0"/>
      <c r="FR733" s="0"/>
      <c r="FS733" s="0"/>
      <c r="FT733" s="0"/>
      <c r="FU733" s="0"/>
      <c r="FV733" s="0"/>
      <c r="FW733" s="0"/>
      <c r="FX733" s="0"/>
      <c r="FY733" s="0"/>
      <c r="FZ733" s="0"/>
      <c r="GA733" s="0"/>
      <c r="GB733" s="0"/>
      <c r="GC733" s="0"/>
      <c r="GD733" s="0"/>
      <c r="GE733" s="0"/>
      <c r="GF733" s="0"/>
      <c r="GG733" s="0"/>
      <c r="GH733" s="0"/>
      <c r="GI733" s="0"/>
      <c r="GJ733" s="0"/>
      <c r="GK733" s="0"/>
      <c r="GL733" s="0"/>
      <c r="GM733" s="0"/>
      <c r="GN733" s="0"/>
      <c r="GO733" s="0"/>
      <c r="GP733" s="0"/>
      <c r="GQ733" s="0"/>
      <c r="GR733" s="0"/>
      <c r="GS733" s="0"/>
      <c r="GT733" s="0"/>
      <c r="GU733" s="0"/>
      <c r="GV733" s="0"/>
      <c r="GW733" s="0"/>
      <c r="GX733" s="0"/>
      <c r="GY733" s="0"/>
      <c r="GZ733" s="0"/>
      <c r="HA733" s="0"/>
      <c r="HB733" s="0"/>
      <c r="HC733" s="0"/>
      <c r="HD733" s="0"/>
      <c r="HE733" s="0"/>
      <c r="HF733" s="0"/>
      <c r="HG733" s="0"/>
      <c r="HH733" s="0"/>
      <c r="HI733" s="0"/>
      <c r="HJ733" s="0"/>
      <c r="HK733" s="0"/>
      <c r="HL733" s="0"/>
      <c r="HM733" s="0"/>
      <c r="HN733" s="0"/>
      <c r="HO733" s="0"/>
      <c r="HP733" s="0"/>
      <c r="HQ733" s="0"/>
      <c r="HR733" s="0"/>
      <c r="HS733" s="0"/>
      <c r="HT733" s="0"/>
      <c r="HU733" s="0"/>
      <c r="HV733" s="0"/>
      <c r="HW733" s="0"/>
      <c r="HX733" s="0"/>
      <c r="HY733" s="0"/>
      <c r="HZ733" s="0"/>
      <c r="IA733" s="0"/>
      <c r="IB733" s="0"/>
      <c r="IC733" s="0"/>
      <c r="ID733" s="0"/>
      <c r="IE733" s="0"/>
      <c r="IF733" s="0"/>
      <c r="IG733" s="0"/>
      <c r="IH733" s="0"/>
      <c r="II733" s="0"/>
      <c r="IJ733" s="0"/>
      <c r="IK733" s="0"/>
      <c r="IL733" s="0"/>
      <c r="IM733" s="0"/>
      <c r="IN733" s="0"/>
      <c r="IO733" s="0"/>
      <c r="IP733" s="0"/>
      <c r="IQ733" s="0"/>
      <c r="IR733" s="0"/>
      <c r="IS733" s="0"/>
      <c r="IT733" s="0"/>
      <c r="IU733" s="0"/>
      <c r="IV733" s="0"/>
    </row>
    <row r="734" customFormat="false" ht="20.1" hidden="false" customHeight="true" outlineLevel="0" collapsed="false">
      <c r="A734" s="1005"/>
      <c r="B734" s="1005"/>
      <c r="C734" s="1005"/>
      <c r="D734" s="1005"/>
      <c r="E734" s="1005"/>
      <c r="F734" s="1005"/>
      <c r="G734" s="1005"/>
      <c r="H734" s="0"/>
      <c r="I734" s="0"/>
      <c r="J734" s="0"/>
      <c r="K734" s="903"/>
      <c r="L734" s="877"/>
      <c r="M734" s="55"/>
      <c r="N734" s="0"/>
      <c r="O734" s="0"/>
      <c r="P734" s="0"/>
      <c r="Q734" s="0"/>
      <c r="R734" s="0"/>
      <c r="S734" s="0"/>
      <c r="T734" s="0"/>
      <c r="U734" s="0"/>
      <c r="V734" s="0"/>
      <c r="W734" s="0"/>
      <c r="X734" s="0"/>
      <c r="Y734" s="0"/>
      <c r="Z734" s="0"/>
      <c r="AA734" s="0"/>
      <c r="AB734" s="0"/>
      <c r="AC734" s="0"/>
      <c r="AD734" s="0"/>
      <c r="AE734" s="0"/>
      <c r="AF734" s="0"/>
      <c r="AG734" s="0"/>
      <c r="AH734" s="0"/>
      <c r="AI734" s="0"/>
      <c r="AJ734" s="0"/>
      <c r="AK734" s="0"/>
      <c r="AL734" s="0"/>
      <c r="AM734" s="0"/>
      <c r="AN734" s="0"/>
      <c r="AO734" s="0"/>
      <c r="AP734" s="0"/>
      <c r="AQ734" s="0"/>
      <c r="AR734" s="0"/>
      <c r="AS734" s="0"/>
      <c r="AT734" s="0"/>
      <c r="BS734" s="0"/>
      <c r="BT734" s="0"/>
      <c r="BU734" s="0"/>
      <c r="BV734" s="0"/>
      <c r="BW734" s="0"/>
      <c r="BX734" s="0"/>
      <c r="BY734" s="0"/>
      <c r="BZ734" s="0"/>
      <c r="CA734" s="0"/>
      <c r="CB734" s="0"/>
      <c r="CC734" s="0"/>
      <c r="CD734" s="0"/>
      <c r="CE734" s="0"/>
      <c r="CF734" s="0"/>
      <c r="CG734" s="0"/>
      <c r="CH734" s="0"/>
      <c r="CI734" s="0"/>
      <c r="CJ734" s="0"/>
      <c r="CK734" s="0"/>
      <c r="CL734" s="0"/>
      <c r="CM734" s="0"/>
      <c r="CN734" s="0"/>
      <c r="CO734" s="0"/>
      <c r="CP734" s="0"/>
      <c r="CQ734" s="0"/>
      <c r="CR734" s="0"/>
      <c r="CS734" s="0"/>
      <c r="CT734" s="0"/>
      <c r="CU734" s="0"/>
      <c r="CV734" s="0"/>
      <c r="CW734" s="0"/>
      <c r="CX734" s="0"/>
      <c r="CY734" s="0"/>
      <c r="CZ734" s="0"/>
      <c r="DA734" s="0"/>
      <c r="DB734" s="0"/>
      <c r="DC734" s="0"/>
      <c r="DD734" s="0"/>
      <c r="DE734" s="0"/>
      <c r="DF734" s="0"/>
      <c r="DG734" s="0"/>
      <c r="DH734" s="0"/>
      <c r="DI734" s="0"/>
      <c r="DJ734" s="0"/>
      <c r="DK734" s="0"/>
      <c r="DL734" s="0"/>
      <c r="DM734" s="0"/>
      <c r="DN734" s="0"/>
      <c r="DO734" s="0"/>
      <c r="DP734" s="0"/>
      <c r="DQ734" s="0"/>
      <c r="DR734" s="0"/>
      <c r="DS734" s="0"/>
      <c r="DT734" s="0"/>
      <c r="DU734" s="0"/>
      <c r="DV734" s="0"/>
      <c r="DW734" s="0"/>
      <c r="DX734" s="0"/>
      <c r="DY734" s="0"/>
      <c r="DZ734" s="0"/>
      <c r="EA734" s="0"/>
      <c r="EB734" s="0"/>
      <c r="EC734" s="0"/>
      <c r="ED734" s="0"/>
      <c r="EE734" s="0"/>
      <c r="EF734" s="0"/>
      <c r="EG734" s="0"/>
      <c r="EH734" s="0"/>
      <c r="EI734" s="0"/>
      <c r="EJ734" s="0"/>
      <c r="EK734" s="0"/>
      <c r="EL734" s="0"/>
      <c r="EM734" s="0"/>
      <c r="EN734" s="0"/>
      <c r="EO734" s="0"/>
      <c r="EP734" s="0"/>
      <c r="EQ734" s="0"/>
      <c r="ER734" s="0"/>
      <c r="ES734" s="0"/>
      <c r="ET734" s="0"/>
      <c r="EU734" s="0"/>
      <c r="EV734" s="0"/>
      <c r="EW734" s="0"/>
      <c r="EX734" s="0"/>
      <c r="EY734" s="0"/>
      <c r="EZ734" s="0"/>
      <c r="FA734" s="0"/>
      <c r="FB734" s="0"/>
      <c r="FC734" s="0"/>
      <c r="FD734" s="0"/>
      <c r="FE734" s="0"/>
      <c r="FF734" s="0"/>
      <c r="FG734" s="0"/>
      <c r="FH734" s="0"/>
      <c r="FI734" s="0"/>
      <c r="FJ734" s="0"/>
      <c r="FK734" s="0"/>
      <c r="FL734" s="0"/>
      <c r="FM734" s="0"/>
      <c r="FN734" s="0"/>
      <c r="FO734" s="0"/>
      <c r="FP734" s="0"/>
      <c r="FQ734" s="0"/>
      <c r="FR734" s="0"/>
      <c r="FS734" s="0"/>
      <c r="FT734" s="0"/>
      <c r="FU734" s="0"/>
      <c r="FV734" s="0"/>
      <c r="FW734" s="0"/>
      <c r="FX734" s="0"/>
      <c r="FY734" s="0"/>
      <c r="FZ734" s="0"/>
      <c r="GA734" s="0"/>
      <c r="GB734" s="0"/>
      <c r="GC734" s="0"/>
      <c r="GD734" s="0"/>
      <c r="GE734" s="0"/>
      <c r="GF734" s="0"/>
      <c r="GG734" s="0"/>
      <c r="GH734" s="0"/>
      <c r="GI734" s="0"/>
      <c r="GJ734" s="0"/>
      <c r="GK734" s="0"/>
      <c r="GL734" s="0"/>
      <c r="GM734" s="0"/>
      <c r="GN734" s="0"/>
      <c r="GO734" s="0"/>
      <c r="GP734" s="0"/>
      <c r="GQ734" s="0"/>
      <c r="GR734" s="0"/>
      <c r="GS734" s="0"/>
      <c r="GT734" s="0"/>
      <c r="GU734" s="0"/>
      <c r="GV734" s="0"/>
      <c r="GW734" s="0"/>
      <c r="GX734" s="0"/>
      <c r="GY734" s="0"/>
      <c r="GZ734" s="0"/>
      <c r="HA734" s="0"/>
      <c r="HB734" s="0"/>
      <c r="HC734" s="0"/>
      <c r="HD734" s="0"/>
      <c r="HE734" s="0"/>
      <c r="HF734" s="0"/>
      <c r="HG734" s="0"/>
      <c r="HH734" s="0"/>
      <c r="HI734" s="0"/>
      <c r="HJ734" s="0"/>
      <c r="HK734" s="0"/>
      <c r="HL734" s="0"/>
      <c r="HM734" s="0"/>
      <c r="HN734" s="0"/>
      <c r="HO734" s="0"/>
      <c r="HP734" s="0"/>
      <c r="HQ734" s="0"/>
      <c r="HR734" s="0"/>
      <c r="HS734" s="0"/>
      <c r="HT734" s="0"/>
      <c r="HU734" s="0"/>
      <c r="HV734" s="0"/>
      <c r="HW734" s="0"/>
      <c r="HX734" s="0"/>
      <c r="HY734" s="0"/>
      <c r="HZ734" s="0"/>
      <c r="IA734" s="0"/>
      <c r="IB734" s="0"/>
      <c r="IC734" s="0"/>
      <c r="ID734" s="0"/>
      <c r="IE734" s="0"/>
      <c r="IF734" s="0"/>
      <c r="IG734" s="0"/>
      <c r="IH734" s="0"/>
      <c r="II734" s="0"/>
      <c r="IJ734" s="0"/>
      <c r="IK734" s="0"/>
      <c r="IL734" s="0"/>
      <c r="IM734" s="0"/>
      <c r="IN734" s="0"/>
      <c r="IO734" s="0"/>
      <c r="IP734" s="0"/>
      <c r="IQ734" s="0"/>
      <c r="IR734" s="0"/>
      <c r="IS734" s="0"/>
      <c r="IT734" s="0"/>
      <c r="IU734" s="0"/>
      <c r="IV734" s="0"/>
    </row>
    <row r="735" customFormat="false" ht="19.5" hidden="false" customHeight="true" outlineLevel="0" collapsed="false">
      <c r="A735" s="1006" t="s">
        <v>1502</v>
      </c>
      <c r="B735" s="1006"/>
      <c r="C735" s="1006"/>
      <c r="D735" s="1173" t="n">
        <f aca="false">'Bilan apparent'!D483</f>
        <v>53.4684374380027</v>
      </c>
      <c r="E735" s="0"/>
      <c r="F735" s="0"/>
      <c r="G735" s="0"/>
      <c r="H735" s="0"/>
      <c r="I735" s="0"/>
      <c r="J735" s="55"/>
      <c r="K735" s="55"/>
      <c r="L735" s="55"/>
      <c r="M735" s="0"/>
      <c r="N735" s="0"/>
      <c r="O735" s="0"/>
      <c r="P735" s="0"/>
      <c r="Q735" s="0"/>
      <c r="R735" s="0"/>
      <c r="S735" s="0"/>
      <c r="T735" s="0"/>
      <c r="U735" s="0"/>
      <c r="V735" s="0"/>
      <c r="W735" s="0"/>
      <c r="X735" s="0"/>
      <c r="Y735" s="0"/>
      <c r="Z735" s="0"/>
      <c r="AA735" s="0"/>
      <c r="AB735" s="0"/>
      <c r="AC735" s="0"/>
      <c r="AD735" s="0"/>
      <c r="AE735" s="0"/>
      <c r="AF735" s="0"/>
      <c r="AG735" s="0"/>
      <c r="AH735" s="0"/>
      <c r="AI735" s="0"/>
      <c r="AJ735" s="0"/>
      <c r="AK735" s="0"/>
      <c r="AL735" s="0"/>
      <c r="AM735" s="0"/>
      <c r="AN735" s="0"/>
      <c r="AO735" s="0"/>
      <c r="AP735" s="0"/>
      <c r="AQ735" s="0"/>
      <c r="AR735" s="0"/>
      <c r="AS735" s="0"/>
      <c r="AT735" s="0"/>
      <c r="BS735" s="0"/>
      <c r="BT735" s="0"/>
      <c r="BU735" s="0"/>
      <c r="BV735" s="0"/>
      <c r="BW735" s="0"/>
      <c r="BX735" s="0"/>
      <c r="BY735" s="0"/>
      <c r="BZ735" s="0"/>
      <c r="CA735" s="0"/>
      <c r="CB735" s="0"/>
      <c r="CC735" s="0"/>
      <c r="CD735" s="0"/>
      <c r="CE735" s="0"/>
      <c r="CF735" s="0"/>
      <c r="CG735" s="0"/>
      <c r="CH735" s="0"/>
      <c r="CI735" s="0"/>
      <c r="CJ735" s="0"/>
      <c r="CK735" s="0"/>
      <c r="CL735" s="0"/>
      <c r="CM735" s="0"/>
      <c r="CN735" s="0"/>
      <c r="CO735" s="0"/>
      <c r="CP735" s="0"/>
      <c r="CQ735" s="0"/>
      <c r="CR735" s="0"/>
      <c r="CS735" s="0"/>
      <c r="CT735" s="0"/>
      <c r="CU735" s="0"/>
      <c r="CV735" s="0"/>
      <c r="CW735" s="0"/>
      <c r="CX735" s="0"/>
      <c r="CY735" s="0"/>
      <c r="CZ735" s="0"/>
      <c r="DA735" s="0"/>
      <c r="DB735" s="0"/>
      <c r="DC735" s="0"/>
      <c r="DD735" s="0"/>
      <c r="DE735" s="0"/>
      <c r="DF735" s="0"/>
      <c r="DG735" s="0"/>
      <c r="DH735" s="0"/>
      <c r="DI735" s="0"/>
      <c r="DJ735" s="0"/>
      <c r="DK735" s="0"/>
      <c r="DL735" s="0"/>
      <c r="DM735" s="0"/>
      <c r="DN735" s="0"/>
      <c r="DO735" s="0"/>
      <c r="DP735" s="0"/>
      <c r="DQ735" s="0"/>
      <c r="DR735" s="0"/>
      <c r="DS735" s="0"/>
      <c r="DT735" s="0"/>
      <c r="DU735" s="0"/>
      <c r="DV735" s="0"/>
      <c r="DW735" s="0"/>
      <c r="DX735" s="0"/>
      <c r="DY735" s="0"/>
      <c r="DZ735" s="0"/>
      <c r="EA735" s="0"/>
      <c r="EB735" s="0"/>
      <c r="EC735" s="0"/>
      <c r="ED735" s="0"/>
      <c r="EE735" s="0"/>
      <c r="EF735" s="0"/>
      <c r="EG735" s="0"/>
      <c r="EH735" s="0"/>
      <c r="EI735" s="0"/>
      <c r="EJ735" s="0"/>
      <c r="EK735" s="0"/>
      <c r="EL735" s="0"/>
      <c r="EM735" s="0"/>
      <c r="EN735" s="0"/>
      <c r="EO735" s="0"/>
      <c r="EP735" s="0"/>
      <c r="EQ735" s="0"/>
      <c r="ER735" s="0"/>
      <c r="ES735" s="0"/>
      <c r="ET735" s="0"/>
      <c r="EU735" s="0"/>
      <c r="EV735" s="0"/>
      <c r="EW735" s="0"/>
      <c r="EX735" s="0"/>
      <c r="EY735" s="0"/>
      <c r="EZ735" s="0"/>
      <c r="FA735" s="0"/>
      <c r="FB735" s="0"/>
      <c r="FC735" s="0"/>
      <c r="FD735" s="0"/>
      <c r="FE735" s="0"/>
      <c r="FF735" s="0"/>
      <c r="FG735" s="0"/>
      <c r="FH735" s="0"/>
      <c r="FI735" s="0"/>
      <c r="FJ735" s="0"/>
      <c r="FK735" s="0"/>
      <c r="FL735" s="0"/>
      <c r="FM735" s="0"/>
      <c r="FN735" s="0"/>
      <c r="FO735" s="0"/>
      <c r="FP735" s="0"/>
      <c r="FQ735" s="0"/>
      <c r="FR735" s="0"/>
      <c r="FS735" s="0"/>
      <c r="FT735" s="0"/>
      <c r="FU735" s="0"/>
      <c r="FV735" s="0"/>
      <c r="FW735" s="0"/>
      <c r="FX735" s="0"/>
      <c r="FY735" s="0"/>
      <c r="FZ735" s="0"/>
      <c r="GA735" s="0"/>
      <c r="GB735" s="0"/>
      <c r="GC735" s="0"/>
      <c r="GD735" s="0"/>
      <c r="GE735" s="0"/>
      <c r="GF735" s="0"/>
      <c r="GG735" s="0"/>
      <c r="GH735" s="0"/>
      <c r="GI735" s="0"/>
      <c r="GJ735" s="0"/>
      <c r="GK735" s="0"/>
      <c r="GL735" s="0"/>
      <c r="GM735" s="0"/>
      <c r="GN735" s="0"/>
      <c r="GO735" s="0"/>
      <c r="GP735" s="0"/>
      <c r="GQ735" s="0"/>
      <c r="GR735" s="0"/>
      <c r="GS735" s="0"/>
      <c r="GT735" s="0"/>
      <c r="GU735" s="0"/>
      <c r="GV735" s="0"/>
      <c r="GW735" s="0"/>
      <c r="GX735" s="0"/>
      <c r="GY735" s="0"/>
      <c r="GZ735" s="0"/>
      <c r="HA735" s="0"/>
      <c r="HB735" s="0"/>
      <c r="HC735" s="0"/>
      <c r="HD735" s="0"/>
      <c r="HE735" s="0"/>
      <c r="HF735" s="0"/>
      <c r="HG735" s="0"/>
      <c r="HH735" s="0"/>
      <c r="HI735" s="0"/>
      <c r="HJ735" s="0"/>
      <c r="HK735" s="0"/>
      <c r="HL735" s="0"/>
      <c r="HM735" s="0"/>
      <c r="HN735" s="0"/>
      <c r="HO735" s="0"/>
      <c r="HP735" s="0"/>
      <c r="HQ735" s="0"/>
      <c r="HR735" s="0"/>
      <c r="HS735" s="0"/>
      <c r="HT735" s="0"/>
      <c r="HU735" s="0"/>
      <c r="HV735" s="0"/>
      <c r="HW735" s="0"/>
      <c r="HX735" s="0"/>
      <c r="HY735" s="0"/>
      <c r="HZ735" s="0"/>
      <c r="IA735" s="0"/>
      <c r="IB735" s="0"/>
      <c r="IC735" s="0"/>
      <c r="ID735" s="0"/>
      <c r="IE735" s="0"/>
      <c r="IF735" s="0"/>
      <c r="IG735" s="0"/>
      <c r="IH735" s="0"/>
      <c r="II735" s="0"/>
      <c r="IJ735" s="0"/>
      <c r="IK735" s="0"/>
      <c r="IL735" s="0"/>
      <c r="IM735" s="0"/>
      <c r="IN735" s="0"/>
      <c r="IO735" s="0"/>
      <c r="IP735" s="0"/>
      <c r="IQ735" s="0"/>
      <c r="IR735" s="0"/>
      <c r="IS735" s="0"/>
      <c r="IT735" s="0"/>
      <c r="IU735" s="0"/>
      <c r="IV735" s="0"/>
    </row>
    <row r="736" customFormat="false" ht="20.1" hidden="false" customHeight="true" outlineLevel="0" collapsed="false">
      <c r="A736" s="0"/>
      <c r="B736" s="55"/>
      <c r="C736" s="55"/>
      <c r="D736" s="55"/>
      <c r="E736" s="55"/>
      <c r="F736" s="55"/>
      <c r="G736" s="620"/>
      <c r="H736" s="423"/>
      <c r="I736" s="430"/>
      <c r="J736" s="55"/>
      <c r="K736" s="55"/>
      <c r="L736" s="55"/>
      <c r="M736" s="0"/>
      <c r="N736" s="0"/>
      <c r="O736" s="0"/>
      <c r="P736" s="0"/>
      <c r="Q736" s="0"/>
      <c r="R736" s="0"/>
      <c r="S736" s="0"/>
      <c r="T736" s="0"/>
      <c r="U736" s="0"/>
      <c r="V736" s="0"/>
      <c r="W736" s="0"/>
      <c r="X736" s="0"/>
      <c r="Y736" s="0"/>
      <c r="Z736" s="0"/>
      <c r="AA736" s="0"/>
      <c r="AB736" s="0"/>
      <c r="AC736" s="0"/>
      <c r="AD736" s="0"/>
      <c r="AE736" s="0"/>
      <c r="AF736" s="0"/>
      <c r="AG736" s="0"/>
      <c r="AH736" s="0"/>
      <c r="AI736" s="0"/>
      <c r="AJ736" s="0"/>
      <c r="AK736" s="0"/>
      <c r="AL736" s="0"/>
      <c r="AM736" s="0"/>
      <c r="AN736" s="0"/>
      <c r="AO736" s="0"/>
      <c r="AP736" s="0"/>
      <c r="AQ736" s="0"/>
      <c r="AR736" s="0"/>
      <c r="AS736" s="0"/>
      <c r="AT736" s="0"/>
      <c r="BS736" s="0"/>
      <c r="BT736" s="0"/>
      <c r="BU736" s="0"/>
      <c r="BV736" s="0"/>
      <c r="BW736" s="0"/>
      <c r="BX736" s="0"/>
      <c r="BY736" s="0"/>
      <c r="BZ736" s="0"/>
      <c r="CA736" s="0"/>
      <c r="CB736" s="0"/>
      <c r="CC736" s="0"/>
      <c r="CD736" s="0"/>
      <c r="CE736" s="0"/>
      <c r="CF736" s="0"/>
      <c r="CG736" s="0"/>
      <c r="CH736" s="0"/>
      <c r="CI736" s="0"/>
      <c r="CJ736" s="0"/>
      <c r="CK736" s="0"/>
      <c r="CL736" s="0"/>
      <c r="CM736" s="0"/>
      <c r="CN736" s="0"/>
      <c r="CO736" s="0"/>
      <c r="CP736" s="0"/>
      <c r="CQ736" s="0"/>
      <c r="CR736" s="0"/>
      <c r="CS736" s="0"/>
      <c r="CT736" s="0"/>
      <c r="CU736" s="0"/>
      <c r="CV736" s="0"/>
      <c r="CW736" s="0"/>
      <c r="CX736" s="0"/>
      <c r="CY736" s="0"/>
      <c r="CZ736" s="0"/>
      <c r="DA736" s="0"/>
      <c r="DB736" s="0"/>
      <c r="DC736" s="0"/>
      <c r="DD736" s="0"/>
      <c r="DE736" s="0"/>
      <c r="DF736" s="0"/>
      <c r="DG736" s="0"/>
      <c r="DH736" s="0"/>
      <c r="DI736" s="0"/>
      <c r="DJ736" s="0"/>
      <c r="DK736" s="0"/>
      <c r="DL736" s="0"/>
      <c r="DM736" s="0"/>
      <c r="DN736" s="0"/>
      <c r="DO736" s="0"/>
      <c r="DP736" s="0"/>
      <c r="DQ736" s="0"/>
      <c r="DR736" s="0"/>
      <c r="DS736" s="0"/>
      <c r="DT736" s="0"/>
      <c r="DU736" s="0"/>
      <c r="DV736" s="0"/>
      <c r="DW736" s="0"/>
      <c r="DX736" s="0"/>
      <c r="DY736" s="0"/>
      <c r="DZ736" s="0"/>
      <c r="EA736" s="0"/>
      <c r="EB736" s="0"/>
      <c r="EC736" s="0"/>
      <c r="ED736" s="0"/>
      <c r="EE736" s="0"/>
      <c r="EF736" s="0"/>
      <c r="EG736" s="0"/>
      <c r="EH736" s="0"/>
      <c r="EI736" s="0"/>
      <c r="EJ736" s="0"/>
      <c r="EK736" s="0"/>
      <c r="EL736" s="0"/>
      <c r="EM736" s="0"/>
      <c r="EN736" s="0"/>
      <c r="EO736" s="0"/>
      <c r="EP736" s="0"/>
      <c r="EQ736" s="0"/>
      <c r="ER736" s="0"/>
      <c r="ES736" s="0"/>
      <c r="ET736" s="0"/>
      <c r="EU736" s="0"/>
      <c r="EV736" s="0"/>
      <c r="EW736" s="0"/>
      <c r="EX736" s="0"/>
      <c r="EY736" s="0"/>
      <c r="EZ736" s="0"/>
      <c r="FA736" s="0"/>
      <c r="FB736" s="0"/>
      <c r="FC736" s="0"/>
      <c r="FD736" s="0"/>
      <c r="FE736" s="0"/>
      <c r="FF736" s="0"/>
      <c r="FG736" s="0"/>
      <c r="FH736" s="0"/>
      <c r="FI736" s="0"/>
      <c r="FJ736" s="0"/>
      <c r="FK736" s="0"/>
      <c r="FL736" s="0"/>
      <c r="FM736" s="0"/>
      <c r="FN736" s="0"/>
      <c r="FO736" s="0"/>
      <c r="FP736" s="0"/>
      <c r="FQ736" s="0"/>
      <c r="FR736" s="0"/>
      <c r="FS736" s="0"/>
      <c r="FT736" s="0"/>
      <c r="FU736" s="0"/>
      <c r="FV736" s="0"/>
      <c r="FW736" s="0"/>
      <c r="FX736" s="0"/>
      <c r="FY736" s="0"/>
      <c r="FZ736" s="0"/>
      <c r="GA736" s="0"/>
      <c r="GB736" s="0"/>
      <c r="GC736" s="0"/>
      <c r="GD736" s="0"/>
      <c r="GE736" s="0"/>
      <c r="GF736" s="0"/>
      <c r="GG736" s="0"/>
      <c r="GH736" s="0"/>
      <c r="GI736" s="0"/>
      <c r="GJ736" s="0"/>
      <c r="GK736" s="0"/>
      <c r="GL736" s="0"/>
      <c r="GM736" s="0"/>
      <c r="GN736" s="0"/>
      <c r="GO736" s="0"/>
      <c r="GP736" s="0"/>
      <c r="GQ736" s="0"/>
      <c r="GR736" s="0"/>
      <c r="GS736" s="0"/>
      <c r="GT736" s="0"/>
      <c r="GU736" s="0"/>
      <c r="GV736" s="0"/>
      <c r="GW736" s="0"/>
      <c r="GX736" s="0"/>
      <c r="GY736" s="0"/>
      <c r="GZ736" s="0"/>
      <c r="HA736" s="0"/>
      <c r="HB736" s="0"/>
      <c r="HC736" s="0"/>
      <c r="HD736" s="0"/>
      <c r="HE736" s="0"/>
      <c r="HF736" s="0"/>
      <c r="HG736" s="0"/>
      <c r="HH736" s="0"/>
      <c r="HI736" s="0"/>
      <c r="HJ736" s="0"/>
      <c r="HK736" s="0"/>
      <c r="HL736" s="0"/>
      <c r="HM736" s="0"/>
      <c r="HN736" s="0"/>
      <c r="HO736" s="0"/>
      <c r="HP736" s="0"/>
      <c r="HQ736" s="0"/>
      <c r="HR736" s="0"/>
      <c r="HS736" s="0"/>
      <c r="HT736" s="0"/>
      <c r="HU736" s="0"/>
      <c r="HV736" s="0"/>
      <c r="HW736" s="0"/>
      <c r="HX736" s="0"/>
      <c r="HY736" s="0"/>
      <c r="HZ736" s="0"/>
      <c r="IA736" s="0"/>
      <c r="IB736" s="0"/>
      <c r="IC736" s="0"/>
      <c r="ID736" s="0"/>
      <c r="IE736" s="0"/>
      <c r="IF736" s="0"/>
      <c r="IG736" s="0"/>
      <c r="IH736" s="0"/>
      <c r="II736" s="0"/>
      <c r="IJ736" s="0"/>
      <c r="IK736" s="0"/>
      <c r="IL736" s="0"/>
      <c r="IM736" s="0"/>
      <c r="IN736" s="0"/>
      <c r="IO736" s="0"/>
      <c r="IP736" s="0"/>
      <c r="IQ736" s="0"/>
      <c r="IR736" s="0"/>
      <c r="IS736" s="0"/>
      <c r="IT736" s="0"/>
      <c r="IU736" s="0"/>
      <c r="IV736" s="0"/>
    </row>
    <row r="737" customFormat="false" ht="20.1" hidden="false" customHeight="true" outlineLevel="0" collapsed="false">
      <c r="A737" s="905" t="s">
        <v>1503</v>
      </c>
      <c r="B737" s="905"/>
      <c r="C737" s="905"/>
      <c r="D737" s="1174" t="n">
        <f aca="false">I97/B24</f>
        <v>0.779220779220779</v>
      </c>
      <c r="F737" s="55"/>
      <c r="G737" s="620"/>
      <c r="H737" s="423"/>
      <c r="I737" s="430"/>
      <c r="J737" s="55"/>
      <c r="K737" s="55"/>
      <c r="L737" s="55"/>
      <c r="M737" s="0"/>
      <c r="N737" s="0"/>
      <c r="O737" s="0"/>
      <c r="P737" s="0"/>
      <c r="Q737" s="0"/>
      <c r="R737" s="0"/>
      <c r="S737" s="0"/>
      <c r="T737" s="0"/>
      <c r="U737" s="0"/>
      <c r="V737" s="0"/>
      <c r="W737" s="0"/>
      <c r="X737" s="0"/>
      <c r="Y737" s="0"/>
      <c r="Z737" s="0"/>
      <c r="AA737" s="0"/>
      <c r="AB737" s="0"/>
      <c r="AC737" s="0"/>
      <c r="AD737" s="0"/>
      <c r="AE737" s="0"/>
      <c r="AF737" s="0"/>
      <c r="AG737" s="0"/>
      <c r="AH737" s="0"/>
      <c r="AI737" s="0"/>
      <c r="AJ737" s="0"/>
      <c r="AK737" s="0"/>
      <c r="AL737" s="0"/>
      <c r="AM737" s="0"/>
      <c r="AN737" s="0"/>
      <c r="AO737" s="0"/>
      <c r="AP737" s="0"/>
      <c r="AQ737" s="0"/>
      <c r="AR737" s="0"/>
      <c r="AS737" s="0"/>
      <c r="AT737" s="0"/>
      <c r="BS737" s="0"/>
      <c r="BT737" s="0"/>
      <c r="BU737" s="0"/>
      <c r="BV737" s="0"/>
      <c r="BW737" s="0"/>
      <c r="BX737" s="0"/>
      <c r="BY737" s="0"/>
      <c r="BZ737" s="0"/>
      <c r="CA737" s="0"/>
      <c r="CB737" s="0"/>
      <c r="CC737" s="0"/>
      <c r="CD737" s="0"/>
      <c r="CE737" s="0"/>
      <c r="CF737" s="0"/>
      <c r="CG737" s="0"/>
      <c r="CH737" s="0"/>
      <c r="CI737" s="0"/>
      <c r="CJ737" s="0"/>
      <c r="CK737" s="0"/>
      <c r="CL737" s="0"/>
      <c r="CM737" s="0"/>
      <c r="CN737" s="0"/>
      <c r="CO737" s="0"/>
      <c r="CP737" s="0"/>
      <c r="CQ737" s="0"/>
      <c r="CR737" s="0"/>
      <c r="CS737" s="0"/>
      <c r="CT737" s="0"/>
      <c r="CU737" s="0"/>
      <c r="CV737" s="0"/>
      <c r="CW737" s="0"/>
      <c r="CX737" s="0"/>
      <c r="CY737" s="0"/>
      <c r="CZ737" s="0"/>
      <c r="DA737" s="0"/>
      <c r="DB737" s="0"/>
      <c r="DC737" s="0"/>
      <c r="DD737" s="0"/>
      <c r="DE737" s="0"/>
      <c r="DF737" s="0"/>
      <c r="DG737" s="0"/>
      <c r="DH737" s="0"/>
      <c r="DI737" s="0"/>
      <c r="DJ737" s="0"/>
      <c r="DK737" s="0"/>
      <c r="DL737" s="0"/>
      <c r="DM737" s="0"/>
      <c r="DN737" s="0"/>
      <c r="DO737" s="0"/>
      <c r="DP737" s="0"/>
      <c r="DQ737" s="0"/>
      <c r="DR737" s="0"/>
      <c r="DS737" s="0"/>
      <c r="DT737" s="0"/>
      <c r="DU737" s="0"/>
      <c r="DV737" s="0"/>
      <c r="DW737" s="0"/>
      <c r="DX737" s="0"/>
      <c r="DY737" s="0"/>
      <c r="DZ737" s="0"/>
      <c r="EA737" s="0"/>
      <c r="EB737" s="0"/>
      <c r="EC737" s="0"/>
      <c r="ED737" s="0"/>
      <c r="EE737" s="0"/>
      <c r="EF737" s="0"/>
      <c r="EG737" s="0"/>
      <c r="EH737" s="0"/>
      <c r="EI737" s="0"/>
      <c r="EJ737" s="0"/>
      <c r="EK737" s="0"/>
      <c r="EL737" s="0"/>
      <c r="EM737" s="0"/>
      <c r="EN737" s="0"/>
      <c r="EO737" s="0"/>
      <c r="EP737" s="0"/>
      <c r="EQ737" s="0"/>
      <c r="ER737" s="0"/>
      <c r="ES737" s="0"/>
      <c r="ET737" s="0"/>
      <c r="EU737" s="0"/>
      <c r="EV737" s="0"/>
      <c r="EW737" s="0"/>
      <c r="EX737" s="0"/>
      <c r="EY737" s="0"/>
      <c r="EZ737" s="0"/>
      <c r="FA737" s="0"/>
      <c r="FB737" s="0"/>
      <c r="FC737" s="0"/>
      <c r="FD737" s="0"/>
      <c r="FE737" s="0"/>
      <c r="FF737" s="0"/>
      <c r="FG737" s="0"/>
      <c r="FH737" s="0"/>
      <c r="FI737" s="0"/>
      <c r="FJ737" s="0"/>
      <c r="FK737" s="0"/>
      <c r="FL737" s="0"/>
      <c r="FM737" s="0"/>
      <c r="FN737" s="0"/>
      <c r="FO737" s="0"/>
      <c r="FP737" s="0"/>
      <c r="FQ737" s="0"/>
      <c r="FR737" s="0"/>
      <c r="FS737" s="0"/>
      <c r="FT737" s="0"/>
      <c r="FU737" s="0"/>
      <c r="FV737" s="0"/>
      <c r="FW737" s="0"/>
      <c r="FX737" s="0"/>
      <c r="FY737" s="0"/>
      <c r="FZ737" s="0"/>
      <c r="GA737" s="0"/>
      <c r="GB737" s="0"/>
      <c r="GC737" s="0"/>
      <c r="GD737" s="0"/>
      <c r="GE737" s="0"/>
      <c r="GF737" s="0"/>
      <c r="GG737" s="0"/>
      <c r="GH737" s="0"/>
      <c r="GI737" s="0"/>
      <c r="GJ737" s="0"/>
      <c r="GK737" s="0"/>
      <c r="GL737" s="0"/>
      <c r="GM737" s="0"/>
      <c r="GN737" s="0"/>
      <c r="GO737" s="0"/>
      <c r="GP737" s="0"/>
      <c r="GQ737" s="0"/>
      <c r="GR737" s="0"/>
      <c r="GS737" s="0"/>
      <c r="GT737" s="0"/>
      <c r="GU737" s="0"/>
      <c r="GV737" s="0"/>
      <c r="GW737" s="0"/>
      <c r="GX737" s="0"/>
      <c r="GY737" s="0"/>
      <c r="GZ737" s="0"/>
      <c r="HA737" s="0"/>
      <c r="HB737" s="0"/>
      <c r="HC737" s="0"/>
      <c r="HD737" s="0"/>
      <c r="HE737" s="0"/>
      <c r="HF737" s="0"/>
      <c r="HG737" s="0"/>
      <c r="HH737" s="0"/>
      <c r="HI737" s="0"/>
      <c r="HJ737" s="0"/>
      <c r="HK737" s="0"/>
      <c r="HL737" s="0"/>
      <c r="HM737" s="0"/>
      <c r="HN737" s="0"/>
      <c r="HO737" s="0"/>
      <c r="HP737" s="0"/>
      <c r="HQ737" s="0"/>
      <c r="HR737" s="0"/>
      <c r="HS737" s="0"/>
      <c r="HT737" s="0"/>
      <c r="HU737" s="0"/>
      <c r="HV737" s="0"/>
      <c r="HW737" s="0"/>
      <c r="HX737" s="0"/>
      <c r="HY737" s="0"/>
      <c r="HZ737" s="0"/>
      <c r="IA737" s="0"/>
      <c r="IB737" s="0"/>
      <c r="IC737" s="0"/>
      <c r="ID737" s="0"/>
      <c r="IE737" s="0"/>
      <c r="IF737" s="0"/>
      <c r="IG737" s="0"/>
      <c r="IH737" s="0"/>
      <c r="II737" s="0"/>
      <c r="IJ737" s="0"/>
      <c r="IK737" s="0"/>
      <c r="IL737" s="0"/>
      <c r="IM737" s="0"/>
      <c r="IN737" s="0"/>
      <c r="IO737" s="0"/>
      <c r="IP737" s="0"/>
      <c r="IQ737" s="0"/>
      <c r="IR737" s="0"/>
      <c r="IS737" s="0"/>
      <c r="IT737" s="0"/>
      <c r="IU737" s="0"/>
      <c r="IV737" s="0"/>
    </row>
    <row r="738" customFormat="false" ht="20.1" hidden="false" customHeight="true" outlineLevel="0" collapsed="false">
      <c r="A738" s="905" t="s">
        <v>595</v>
      </c>
      <c r="B738" s="905"/>
      <c r="C738" s="905"/>
      <c r="D738" s="1048" t="s">
        <v>254</v>
      </c>
      <c r="F738" s="55"/>
      <c r="G738" s="620"/>
      <c r="H738" s="423"/>
      <c r="I738" s="430"/>
      <c r="J738" s="55"/>
      <c r="K738" s="55"/>
      <c r="L738" s="55"/>
      <c r="M738" s="0"/>
      <c r="N738" s="0"/>
      <c r="O738" s="0"/>
      <c r="P738" s="0"/>
      <c r="Q738" s="0"/>
      <c r="R738" s="0"/>
      <c r="S738" s="0"/>
      <c r="T738" s="0"/>
      <c r="U738" s="0"/>
      <c r="V738" s="0"/>
      <c r="W738" s="0"/>
      <c r="X738" s="0"/>
      <c r="Y738" s="0"/>
      <c r="Z738" s="0"/>
      <c r="AA738" s="0"/>
      <c r="AB738" s="0"/>
      <c r="AC738" s="0"/>
      <c r="AD738" s="0"/>
      <c r="AE738" s="0"/>
      <c r="AF738" s="0"/>
      <c r="AG738" s="0"/>
      <c r="AH738" s="0"/>
      <c r="AI738" s="0"/>
      <c r="AJ738" s="0"/>
      <c r="AK738" s="0"/>
      <c r="AL738" s="0"/>
      <c r="AM738" s="0"/>
      <c r="AN738" s="0"/>
      <c r="AO738" s="0"/>
      <c r="AP738" s="0"/>
      <c r="AQ738" s="0"/>
      <c r="AR738" s="0"/>
      <c r="AS738" s="0"/>
      <c r="AT738" s="0"/>
      <c r="BS738" s="0"/>
      <c r="BT738" s="0"/>
      <c r="BU738" s="0"/>
      <c r="BV738" s="0"/>
      <c r="BW738" s="0"/>
      <c r="BX738" s="0"/>
      <c r="BY738" s="0"/>
      <c r="BZ738" s="0"/>
      <c r="CA738" s="0"/>
      <c r="CB738" s="0"/>
      <c r="CC738" s="0"/>
      <c r="CD738" s="0"/>
      <c r="CE738" s="0"/>
      <c r="CF738" s="0"/>
      <c r="CG738" s="0"/>
      <c r="CH738" s="0"/>
      <c r="CI738" s="0"/>
      <c r="CJ738" s="0"/>
      <c r="CK738" s="0"/>
      <c r="CL738" s="0"/>
      <c r="CM738" s="0"/>
      <c r="CN738" s="0"/>
      <c r="CO738" s="0"/>
      <c r="CP738" s="0"/>
      <c r="CQ738" s="0"/>
      <c r="CR738" s="0"/>
      <c r="CS738" s="0"/>
      <c r="CT738" s="0"/>
      <c r="CU738" s="0"/>
      <c r="CV738" s="0"/>
      <c r="CW738" s="0"/>
      <c r="CX738" s="0"/>
      <c r="CY738" s="0"/>
      <c r="CZ738" s="0"/>
      <c r="DA738" s="0"/>
      <c r="DB738" s="0"/>
      <c r="DC738" s="0"/>
      <c r="DD738" s="0"/>
      <c r="DE738" s="0"/>
      <c r="DF738" s="0"/>
      <c r="DG738" s="0"/>
      <c r="DH738" s="0"/>
      <c r="DI738" s="0"/>
      <c r="DJ738" s="0"/>
      <c r="DK738" s="0"/>
      <c r="DL738" s="0"/>
      <c r="DM738" s="0"/>
      <c r="DN738" s="0"/>
      <c r="DO738" s="0"/>
      <c r="DP738" s="0"/>
      <c r="DQ738" s="0"/>
      <c r="DR738" s="0"/>
      <c r="DS738" s="0"/>
      <c r="DT738" s="0"/>
      <c r="DU738" s="0"/>
      <c r="DV738" s="0"/>
      <c r="DW738" s="0"/>
      <c r="DX738" s="0"/>
      <c r="DY738" s="0"/>
      <c r="DZ738" s="0"/>
      <c r="EA738" s="0"/>
      <c r="EB738" s="0"/>
      <c r="EC738" s="0"/>
      <c r="ED738" s="0"/>
      <c r="EE738" s="0"/>
      <c r="EF738" s="0"/>
      <c r="EG738" s="0"/>
      <c r="EH738" s="0"/>
      <c r="EI738" s="0"/>
      <c r="EJ738" s="0"/>
      <c r="EK738" s="0"/>
      <c r="EL738" s="0"/>
      <c r="EM738" s="0"/>
      <c r="EN738" s="0"/>
      <c r="EO738" s="0"/>
      <c r="EP738" s="0"/>
      <c r="EQ738" s="0"/>
      <c r="ER738" s="0"/>
      <c r="ES738" s="0"/>
      <c r="ET738" s="0"/>
      <c r="EU738" s="0"/>
      <c r="EV738" s="0"/>
      <c r="EW738" s="0"/>
      <c r="EX738" s="0"/>
      <c r="EY738" s="0"/>
      <c r="EZ738" s="0"/>
      <c r="FA738" s="0"/>
      <c r="FB738" s="0"/>
      <c r="FC738" s="0"/>
      <c r="FD738" s="0"/>
      <c r="FE738" s="0"/>
      <c r="FF738" s="0"/>
      <c r="FG738" s="0"/>
      <c r="FH738" s="0"/>
      <c r="FI738" s="0"/>
      <c r="FJ738" s="0"/>
      <c r="FK738" s="0"/>
      <c r="FL738" s="0"/>
      <c r="FM738" s="0"/>
      <c r="FN738" s="0"/>
      <c r="FO738" s="0"/>
      <c r="FP738" s="0"/>
      <c r="FQ738" s="0"/>
      <c r="FR738" s="0"/>
      <c r="FS738" s="0"/>
      <c r="FT738" s="0"/>
      <c r="FU738" s="0"/>
      <c r="FV738" s="0"/>
      <c r="FW738" s="0"/>
      <c r="FX738" s="0"/>
      <c r="FY738" s="0"/>
      <c r="FZ738" s="0"/>
      <c r="GA738" s="0"/>
      <c r="GB738" s="0"/>
      <c r="GC738" s="0"/>
      <c r="GD738" s="0"/>
      <c r="GE738" s="0"/>
      <c r="GF738" s="0"/>
      <c r="GG738" s="0"/>
      <c r="GH738" s="0"/>
      <c r="GI738" s="0"/>
      <c r="GJ738" s="0"/>
      <c r="GK738" s="0"/>
      <c r="GL738" s="0"/>
      <c r="GM738" s="0"/>
      <c r="GN738" s="0"/>
      <c r="GO738" s="0"/>
      <c r="GP738" s="0"/>
      <c r="GQ738" s="0"/>
      <c r="GR738" s="0"/>
      <c r="GS738" s="0"/>
      <c r="GT738" s="0"/>
      <c r="GU738" s="0"/>
      <c r="GV738" s="0"/>
      <c r="GW738" s="0"/>
      <c r="GX738" s="0"/>
      <c r="GY738" s="0"/>
      <c r="GZ738" s="0"/>
      <c r="HA738" s="0"/>
      <c r="HB738" s="0"/>
      <c r="HC738" s="0"/>
      <c r="HD738" s="0"/>
      <c r="HE738" s="0"/>
      <c r="HF738" s="0"/>
      <c r="HG738" s="0"/>
      <c r="HH738" s="0"/>
      <c r="HI738" s="0"/>
      <c r="HJ738" s="0"/>
      <c r="HK738" s="0"/>
      <c r="HL738" s="0"/>
      <c r="HM738" s="0"/>
      <c r="HN738" s="0"/>
      <c r="HO738" s="0"/>
      <c r="HP738" s="0"/>
      <c r="HQ738" s="0"/>
      <c r="HR738" s="0"/>
      <c r="HS738" s="0"/>
      <c r="HT738" s="0"/>
      <c r="HU738" s="0"/>
      <c r="HV738" s="0"/>
      <c r="HW738" s="0"/>
      <c r="HX738" s="0"/>
      <c r="HY738" s="0"/>
      <c r="HZ738" s="0"/>
      <c r="IA738" s="0"/>
      <c r="IB738" s="0"/>
      <c r="IC738" s="0"/>
      <c r="ID738" s="0"/>
      <c r="IE738" s="0"/>
      <c r="IF738" s="0"/>
      <c r="IG738" s="0"/>
      <c r="IH738" s="0"/>
      <c r="II738" s="0"/>
      <c r="IJ738" s="0"/>
      <c r="IK738" s="0"/>
      <c r="IL738" s="0"/>
      <c r="IM738" s="0"/>
      <c r="IN738" s="0"/>
      <c r="IO738" s="0"/>
      <c r="IP738" s="0"/>
      <c r="IQ738" s="0"/>
      <c r="IR738" s="0"/>
      <c r="IS738" s="0"/>
      <c r="IT738" s="0"/>
      <c r="IU738" s="0"/>
      <c r="IV738" s="0"/>
    </row>
    <row r="739" customFormat="false" ht="20.1" hidden="false" customHeight="true" outlineLevel="0" collapsed="false">
      <c r="A739" s="0"/>
      <c r="B739" s="55"/>
      <c r="C739" s="55"/>
      <c r="D739" s="55"/>
      <c r="E739" s="55"/>
      <c r="F739" s="55"/>
      <c r="G739" s="620"/>
      <c r="H739" s="423"/>
      <c r="I739" s="430"/>
      <c r="J739" s="55"/>
      <c r="K739" s="55"/>
      <c r="L739" s="55"/>
      <c r="M739" s="0"/>
      <c r="N739" s="0"/>
      <c r="O739" s="0"/>
      <c r="P739" s="0"/>
      <c r="Q739" s="0"/>
      <c r="R739" s="0"/>
      <c r="S739" s="0"/>
      <c r="T739" s="0"/>
      <c r="U739" s="0"/>
      <c r="V739" s="0"/>
      <c r="W739" s="0"/>
      <c r="X739" s="0"/>
      <c r="Y739" s="0"/>
      <c r="Z739" s="0"/>
      <c r="AA739" s="0"/>
      <c r="AB739" s="0"/>
      <c r="AC739" s="0"/>
      <c r="AD739" s="0"/>
      <c r="AE739" s="0"/>
      <c r="AF739" s="0"/>
      <c r="AG739" s="0"/>
      <c r="AH739" s="0"/>
      <c r="AI739" s="0"/>
      <c r="AJ739" s="0"/>
      <c r="AK739" s="0"/>
      <c r="AL739" s="0"/>
      <c r="AM739" s="0"/>
      <c r="AN739" s="0"/>
      <c r="AO739" s="0"/>
      <c r="AP739" s="0"/>
      <c r="AQ739" s="0"/>
      <c r="AR739" s="0"/>
      <c r="AS739" s="0"/>
      <c r="AT739" s="0"/>
      <c r="BS739" s="0"/>
      <c r="BT739" s="0"/>
      <c r="BU739" s="0"/>
      <c r="BV739" s="0"/>
      <c r="BW739" s="0"/>
      <c r="BX739" s="0"/>
      <c r="BY739" s="0"/>
      <c r="BZ739" s="0"/>
      <c r="CA739" s="0"/>
      <c r="CB739" s="0"/>
      <c r="CC739" s="0"/>
      <c r="CD739" s="0"/>
      <c r="CE739" s="0"/>
      <c r="CF739" s="0"/>
      <c r="CG739" s="0"/>
      <c r="CH739" s="0"/>
      <c r="CI739" s="0"/>
      <c r="CJ739" s="0"/>
      <c r="CK739" s="0"/>
      <c r="CL739" s="0"/>
      <c r="CM739" s="0"/>
      <c r="CN739" s="0"/>
      <c r="CO739" s="0"/>
      <c r="CP739" s="0"/>
      <c r="CQ739" s="0"/>
      <c r="CR739" s="0"/>
      <c r="CS739" s="0"/>
      <c r="CT739" s="0"/>
      <c r="CU739" s="0"/>
      <c r="CV739" s="0"/>
      <c r="CW739" s="0"/>
      <c r="CX739" s="0"/>
      <c r="CY739" s="0"/>
      <c r="CZ739" s="0"/>
      <c r="DA739" s="0"/>
      <c r="DB739" s="0"/>
      <c r="DC739" s="0"/>
      <c r="DD739" s="0"/>
      <c r="DE739" s="0"/>
      <c r="DF739" s="0"/>
      <c r="DG739" s="0"/>
      <c r="DH739" s="0"/>
      <c r="DI739" s="0"/>
      <c r="DJ739" s="0"/>
      <c r="DK739" s="0"/>
      <c r="DL739" s="0"/>
      <c r="DM739" s="0"/>
      <c r="DN739" s="0"/>
      <c r="DO739" s="0"/>
      <c r="DP739" s="0"/>
      <c r="DQ739" s="0"/>
      <c r="DR739" s="0"/>
      <c r="DS739" s="0"/>
      <c r="DT739" s="0"/>
      <c r="DU739" s="0"/>
      <c r="DV739" s="0"/>
      <c r="DW739" s="0"/>
      <c r="DX739" s="0"/>
      <c r="DY739" s="0"/>
      <c r="DZ739" s="0"/>
      <c r="EA739" s="0"/>
      <c r="EB739" s="0"/>
      <c r="EC739" s="0"/>
      <c r="ED739" s="0"/>
      <c r="EE739" s="0"/>
      <c r="EF739" s="0"/>
      <c r="EG739" s="0"/>
      <c r="EH739" s="0"/>
      <c r="EI739" s="0"/>
      <c r="EJ739" s="0"/>
      <c r="EK739" s="0"/>
      <c r="EL739" s="0"/>
      <c r="EM739" s="0"/>
      <c r="EN739" s="0"/>
      <c r="EO739" s="0"/>
      <c r="EP739" s="0"/>
      <c r="EQ739" s="0"/>
      <c r="ER739" s="0"/>
      <c r="ES739" s="0"/>
      <c r="ET739" s="0"/>
      <c r="EU739" s="0"/>
      <c r="EV739" s="0"/>
      <c r="EW739" s="0"/>
      <c r="EX739" s="0"/>
      <c r="EY739" s="0"/>
      <c r="EZ739" s="0"/>
      <c r="FA739" s="0"/>
      <c r="FB739" s="0"/>
      <c r="FC739" s="0"/>
      <c r="FD739" s="0"/>
      <c r="FE739" s="0"/>
      <c r="FF739" s="0"/>
      <c r="FG739" s="0"/>
      <c r="FH739" s="0"/>
      <c r="FI739" s="0"/>
      <c r="FJ739" s="0"/>
      <c r="FK739" s="0"/>
      <c r="FL739" s="0"/>
      <c r="FM739" s="0"/>
      <c r="FN739" s="0"/>
      <c r="FO739" s="0"/>
      <c r="FP739" s="0"/>
      <c r="FQ739" s="0"/>
      <c r="FR739" s="0"/>
      <c r="FS739" s="0"/>
      <c r="FT739" s="0"/>
      <c r="FU739" s="0"/>
      <c r="FV739" s="0"/>
      <c r="FW739" s="0"/>
      <c r="FX739" s="0"/>
      <c r="FY739" s="0"/>
      <c r="FZ739" s="0"/>
      <c r="GA739" s="0"/>
      <c r="GB739" s="0"/>
      <c r="GC739" s="0"/>
      <c r="GD739" s="0"/>
      <c r="GE739" s="0"/>
      <c r="GF739" s="0"/>
      <c r="GG739" s="0"/>
      <c r="GH739" s="0"/>
      <c r="GI739" s="0"/>
      <c r="GJ739" s="0"/>
      <c r="GK739" s="0"/>
      <c r="GL739" s="0"/>
      <c r="GM739" s="0"/>
      <c r="GN739" s="0"/>
      <c r="GO739" s="0"/>
      <c r="GP739" s="0"/>
      <c r="GQ739" s="0"/>
      <c r="GR739" s="0"/>
      <c r="GS739" s="0"/>
      <c r="GT739" s="0"/>
      <c r="GU739" s="0"/>
      <c r="GV739" s="0"/>
      <c r="GW739" s="0"/>
      <c r="GX739" s="0"/>
      <c r="GY739" s="0"/>
      <c r="GZ739" s="0"/>
      <c r="HA739" s="0"/>
      <c r="HB739" s="0"/>
      <c r="HC739" s="0"/>
      <c r="HD739" s="0"/>
      <c r="HE739" s="0"/>
      <c r="HF739" s="0"/>
      <c r="HG739" s="0"/>
      <c r="HH739" s="0"/>
      <c r="HI739" s="0"/>
      <c r="HJ739" s="0"/>
      <c r="HK739" s="0"/>
      <c r="HL739" s="0"/>
      <c r="HM739" s="0"/>
      <c r="HN739" s="0"/>
      <c r="HO739" s="0"/>
      <c r="HP739" s="0"/>
      <c r="HQ739" s="0"/>
      <c r="HR739" s="0"/>
      <c r="HS739" s="0"/>
      <c r="HT739" s="0"/>
      <c r="HU739" s="0"/>
      <c r="HV739" s="0"/>
      <c r="HW739" s="0"/>
      <c r="HX739" s="0"/>
      <c r="HY739" s="0"/>
      <c r="HZ739" s="0"/>
      <c r="IA739" s="0"/>
      <c r="IB739" s="0"/>
      <c r="IC739" s="0"/>
      <c r="ID739" s="0"/>
      <c r="IE739" s="0"/>
      <c r="IF739" s="0"/>
      <c r="IG739" s="0"/>
      <c r="IH739" s="0"/>
      <c r="II739" s="0"/>
      <c r="IJ739" s="0"/>
      <c r="IK739" s="0"/>
      <c r="IL739" s="0"/>
      <c r="IM739" s="0"/>
      <c r="IN739" s="0"/>
      <c r="IO739" s="0"/>
      <c r="IP739" s="0"/>
      <c r="IQ739" s="0"/>
      <c r="IR739" s="0"/>
      <c r="IS739" s="0"/>
      <c r="IT739" s="0"/>
      <c r="IU739" s="0"/>
      <c r="IV739" s="0"/>
    </row>
    <row r="740" customFormat="false" ht="20.1" hidden="false" customHeight="true" outlineLevel="0" collapsed="false">
      <c r="J740" s="11"/>
      <c r="K740" s="55"/>
      <c r="L740" s="55"/>
      <c r="M740" s="0"/>
      <c r="N740" s="0"/>
      <c r="O740" s="0"/>
      <c r="P740" s="0"/>
      <c r="Q740" s="0"/>
      <c r="R740" s="0"/>
      <c r="S740" s="0"/>
      <c r="T740" s="0"/>
      <c r="U740" s="0"/>
      <c r="V740" s="0"/>
      <c r="W740" s="0"/>
      <c r="X740" s="0"/>
      <c r="Y740" s="0"/>
      <c r="Z740" s="0"/>
      <c r="AA740" s="0"/>
      <c r="AB740" s="0"/>
      <c r="AC740" s="0"/>
      <c r="AD740" s="0"/>
      <c r="AE740" s="0"/>
      <c r="AF740" s="0"/>
      <c r="AG740" s="0"/>
      <c r="AH740" s="0"/>
      <c r="AI740" s="0"/>
      <c r="AJ740" s="0"/>
      <c r="AK740" s="0"/>
      <c r="AL740" s="0"/>
      <c r="AM740" s="0"/>
      <c r="AN740" s="0"/>
      <c r="AO740" s="0"/>
      <c r="AP740" s="0"/>
      <c r="AQ740" s="0"/>
      <c r="AR740" s="0"/>
      <c r="AS740" s="0"/>
      <c r="AT740" s="0"/>
      <c r="BS740" s="0"/>
      <c r="BT740" s="0"/>
      <c r="BU740" s="0"/>
      <c r="BV740" s="0"/>
      <c r="BW740" s="0"/>
      <c r="BX740" s="0"/>
      <c r="BY740" s="0"/>
      <c r="BZ740" s="0"/>
      <c r="CA740" s="0"/>
      <c r="CB740" s="0"/>
      <c r="CC740" s="0"/>
      <c r="CD740" s="0"/>
      <c r="CE740" s="0"/>
      <c r="CF740" s="0"/>
      <c r="CG740" s="0"/>
      <c r="CH740" s="0"/>
      <c r="CI740" s="0"/>
      <c r="CJ740" s="0"/>
      <c r="CK740" s="0"/>
      <c r="CL740" s="0"/>
      <c r="CM740" s="0"/>
      <c r="CN740" s="0"/>
      <c r="CO740" s="0"/>
      <c r="CP740" s="0"/>
      <c r="CQ740" s="0"/>
      <c r="CR740" s="0"/>
      <c r="CS740" s="0"/>
      <c r="CT740" s="0"/>
      <c r="CU740" s="0"/>
      <c r="CV740" s="0"/>
      <c r="CW740" s="0"/>
      <c r="CX740" s="0"/>
      <c r="CY740" s="0"/>
      <c r="CZ740" s="0"/>
      <c r="DA740" s="0"/>
      <c r="DB740" s="0"/>
      <c r="DC740" s="0"/>
      <c r="DD740" s="0"/>
      <c r="DE740" s="0"/>
      <c r="DF740" s="0"/>
      <c r="DG740" s="0"/>
      <c r="DH740" s="0"/>
      <c r="DI740" s="0"/>
      <c r="DJ740" s="0"/>
      <c r="DK740" s="0"/>
      <c r="DL740" s="0"/>
      <c r="DM740" s="0"/>
      <c r="DN740" s="0"/>
      <c r="DO740" s="0"/>
      <c r="DP740" s="0"/>
      <c r="DQ740" s="0"/>
      <c r="DR740" s="0"/>
      <c r="DS740" s="0"/>
      <c r="DT740" s="0"/>
      <c r="DU740" s="0"/>
      <c r="DV740" s="0"/>
      <c r="DW740" s="0"/>
      <c r="DX740" s="0"/>
      <c r="DY740" s="0"/>
      <c r="DZ740" s="0"/>
      <c r="EA740" s="0"/>
      <c r="EB740" s="0"/>
      <c r="EC740" s="0"/>
      <c r="ED740" s="0"/>
      <c r="EE740" s="0"/>
      <c r="EF740" s="0"/>
      <c r="EG740" s="0"/>
      <c r="EH740" s="0"/>
      <c r="EI740" s="0"/>
      <c r="EJ740" s="0"/>
      <c r="EK740" s="0"/>
      <c r="EL740" s="0"/>
      <c r="EM740" s="0"/>
      <c r="EN740" s="0"/>
      <c r="EO740" s="0"/>
      <c r="EP740" s="0"/>
      <c r="EQ740" s="0"/>
      <c r="ER740" s="0"/>
      <c r="ES740" s="0"/>
      <c r="ET740" s="0"/>
      <c r="EU740" s="0"/>
      <c r="EV740" s="0"/>
      <c r="EW740" s="0"/>
      <c r="EX740" s="0"/>
      <c r="EY740" s="0"/>
      <c r="EZ740" s="0"/>
      <c r="FA740" s="0"/>
      <c r="FB740" s="0"/>
      <c r="FC740" s="0"/>
      <c r="FD740" s="0"/>
      <c r="FE740" s="0"/>
      <c r="FF740" s="0"/>
      <c r="FG740" s="0"/>
      <c r="FH740" s="0"/>
      <c r="FI740" s="0"/>
      <c r="FJ740" s="0"/>
      <c r="FK740" s="0"/>
      <c r="FL740" s="0"/>
      <c r="FM740" s="0"/>
      <c r="FN740" s="0"/>
      <c r="FO740" s="0"/>
      <c r="FP740" s="0"/>
      <c r="FQ740" s="0"/>
      <c r="FR740" s="0"/>
      <c r="FS740" s="0"/>
      <c r="FT740" s="0"/>
      <c r="FU740" s="0"/>
      <c r="FV740" s="0"/>
      <c r="FW740" s="0"/>
      <c r="FX740" s="0"/>
      <c r="FY740" s="0"/>
      <c r="FZ740" s="0"/>
      <c r="GA740" s="0"/>
      <c r="GB740" s="0"/>
      <c r="GC740" s="0"/>
      <c r="GD740" s="0"/>
      <c r="GE740" s="0"/>
      <c r="GF740" s="0"/>
      <c r="GG740" s="0"/>
      <c r="GH740" s="0"/>
      <c r="GI740" s="0"/>
      <c r="GJ740" s="0"/>
      <c r="GK740" s="0"/>
      <c r="GL740" s="0"/>
      <c r="GM740" s="0"/>
      <c r="GN740" s="0"/>
      <c r="GO740" s="0"/>
      <c r="GP740" s="0"/>
      <c r="GQ740" s="0"/>
      <c r="GR740" s="0"/>
      <c r="GS740" s="0"/>
      <c r="GT740" s="0"/>
      <c r="GU740" s="0"/>
      <c r="GV740" s="0"/>
      <c r="GW740" s="0"/>
      <c r="GX740" s="0"/>
      <c r="GY740" s="0"/>
      <c r="GZ740" s="0"/>
      <c r="HA740" s="0"/>
      <c r="HB740" s="0"/>
      <c r="HC740" s="0"/>
      <c r="HD740" s="0"/>
      <c r="HE740" s="0"/>
      <c r="HF740" s="0"/>
      <c r="HG740" s="0"/>
      <c r="HH740" s="0"/>
      <c r="HI740" s="0"/>
      <c r="HJ740" s="0"/>
      <c r="HK740" s="0"/>
      <c r="HL740" s="0"/>
      <c r="HM740" s="0"/>
      <c r="HN740" s="0"/>
      <c r="HO740" s="0"/>
      <c r="HP740" s="0"/>
      <c r="HQ740" s="0"/>
      <c r="HR740" s="0"/>
      <c r="HS740" s="0"/>
      <c r="HT740" s="0"/>
      <c r="HU740" s="0"/>
      <c r="HV740" s="0"/>
      <c r="HW740" s="0"/>
      <c r="HX740" s="0"/>
      <c r="HY740" s="0"/>
      <c r="HZ740" s="0"/>
      <c r="IA740" s="0"/>
      <c r="IB740" s="0"/>
      <c r="IC740" s="0"/>
      <c r="ID740" s="0"/>
      <c r="IE740" s="0"/>
      <c r="IF740" s="0"/>
      <c r="IG740" s="0"/>
      <c r="IH740" s="0"/>
      <c r="II740" s="0"/>
      <c r="IJ740" s="0"/>
      <c r="IK740" s="0"/>
      <c r="IL740" s="0"/>
      <c r="IM740" s="0"/>
      <c r="IN740" s="0"/>
      <c r="IO740" s="0"/>
      <c r="IP740" s="0"/>
      <c r="IQ740" s="0"/>
      <c r="IR740" s="0"/>
      <c r="IS740" s="0"/>
      <c r="IT740" s="0"/>
      <c r="IU740" s="0"/>
      <c r="IV740" s="0"/>
    </row>
    <row r="741" customFormat="false" ht="20.1" hidden="false" customHeight="true" outlineLevel="0" collapsed="false">
      <c r="A741" s="905" t="s">
        <v>1504</v>
      </c>
      <c r="B741" s="905"/>
      <c r="C741" s="905"/>
      <c r="D741" s="1174" t="n">
        <f aca="false">H817</f>
        <v>1.33</v>
      </c>
      <c r="J741" s="11"/>
      <c r="K741" s="0"/>
      <c r="L741" s="0"/>
      <c r="N741" s="0"/>
      <c r="O741" s="0"/>
      <c r="P741" s="0"/>
      <c r="Q741" s="0"/>
      <c r="R741" s="0"/>
      <c r="S741" s="0"/>
      <c r="T741" s="0"/>
      <c r="U741" s="0"/>
      <c r="V741" s="0"/>
      <c r="W741" s="0"/>
      <c r="X741" s="0"/>
      <c r="Y741" s="0"/>
      <c r="Z741" s="0"/>
      <c r="AA741" s="0"/>
      <c r="AB741" s="0"/>
      <c r="AC741" s="0"/>
      <c r="AD741" s="0"/>
      <c r="AE741" s="0"/>
      <c r="AF741" s="0"/>
      <c r="AG741" s="0"/>
      <c r="AH741" s="0"/>
      <c r="AI741" s="0"/>
      <c r="AJ741" s="0"/>
      <c r="AK741" s="0"/>
      <c r="AL741" s="0"/>
      <c r="AM741" s="0"/>
      <c r="AN741" s="0"/>
      <c r="AO741" s="0"/>
      <c r="AP741" s="0"/>
      <c r="AQ741" s="0"/>
      <c r="AR741" s="0"/>
      <c r="AS741" s="0"/>
      <c r="AT741" s="0"/>
      <c r="BS741" s="0"/>
      <c r="BT741" s="0"/>
      <c r="BU741" s="0"/>
      <c r="BV741" s="0"/>
      <c r="BW741" s="0"/>
      <c r="BX741" s="0"/>
      <c r="BY741" s="0"/>
      <c r="BZ741" s="0"/>
      <c r="CA741" s="0"/>
      <c r="CB741" s="0"/>
      <c r="CC741" s="0"/>
      <c r="CD741" s="0"/>
      <c r="CE741" s="0"/>
      <c r="CF741" s="0"/>
      <c r="CG741" s="0"/>
      <c r="CH741" s="0"/>
      <c r="CI741" s="0"/>
      <c r="CJ741" s="0"/>
      <c r="CK741" s="0"/>
      <c r="CL741" s="0"/>
      <c r="CM741" s="0"/>
      <c r="CN741" s="0"/>
      <c r="CO741" s="0"/>
      <c r="CP741" s="0"/>
      <c r="CQ741" s="0"/>
      <c r="CR741" s="0"/>
      <c r="CS741" s="0"/>
      <c r="CT741" s="0"/>
      <c r="CU741" s="0"/>
      <c r="CV741" s="0"/>
      <c r="CW741" s="0"/>
      <c r="CX741" s="0"/>
      <c r="CY741" s="0"/>
      <c r="CZ741" s="0"/>
      <c r="DA741" s="0"/>
      <c r="DB741" s="0"/>
      <c r="DC741" s="0"/>
      <c r="DD741" s="0"/>
      <c r="DE741" s="0"/>
      <c r="DF741" s="0"/>
      <c r="DG741" s="0"/>
      <c r="DH741" s="0"/>
      <c r="DI741" s="0"/>
      <c r="DJ741" s="0"/>
      <c r="DK741" s="0"/>
      <c r="DL741" s="0"/>
      <c r="DM741" s="0"/>
      <c r="DN741" s="0"/>
      <c r="DO741" s="0"/>
      <c r="DP741" s="0"/>
      <c r="DQ741" s="0"/>
      <c r="DR741" s="0"/>
      <c r="DS741" s="0"/>
      <c r="DT741" s="0"/>
      <c r="DU741" s="0"/>
      <c r="DV741" s="0"/>
      <c r="DW741" s="0"/>
      <c r="DX741" s="0"/>
      <c r="DY741" s="0"/>
      <c r="DZ741" s="0"/>
      <c r="EA741" s="0"/>
      <c r="EB741" s="0"/>
      <c r="EC741" s="0"/>
      <c r="ED741" s="0"/>
      <c r="EE741" s="0"/>
      <c r="EF741" s="0"/>
      <c r="EG741" s="0"/>
      <c r="EH741" s="0"/>
      <c r="EI741" s="0"/>
      <c r="EJ741" s="0"/>
      <c r="EK741" s="0"/>
      <c r="EL741" s="0"/>
      <c r="EM741" s="0"/>
      <c r="EN741" s="0"/>
      <c r="EO741" s="0"/>
      <c r="EP741" s="0"/>
      <c r="EQ741" s="0"/>
      <c r="ER741" s="0"/>
      <c r="ES741" s="0"/>
      <c r="ET741" s="0"/>
      <c r="EU741" s="0"/>
      <c r="EV741" s="0"/>
      <c r="EW741" s="0"/>
      <c r="EX741" s="0"/>
      <c r="EY741" s="0"/>
      <c r="EZ741" s="0"/>
      <c r="FA741" s="0"/>
      <c r="FB741" s="0"/>
      <c r="FC741" s="0"/>
      <c r="FD741" s="0"/>
      <c r="FE741" s="0"/>
      <c r="FF741" s="0"/>
      <c r="FG741" s="0"/>
      <c r="FH741" s="0"/>
      <c r="FI741" s="0"/>
      <c r="FJ741" s="0"/>
      <c r="FK741" s="0"/>
      <c r="FL741" s="0"/>
      <c r="FM741" s="0"/>
      <c r="FN741" s="0"/>
      <c r="FO741" s="0"/>
      <c r="FP741" s="0"/>
      <c r="FQ741" s="0"/>
      <c r="FR741" s="0"/>
      <c r="FS741" s="0"/>
      <c r="FT741" s="0"/>
      <c r="FU741" s="0"/>
      <c r="FV741" s="0"/>
      <c r="FW741" s="0"/>
      <c r="FX741" s="0"/>
      <c r="FY741" s="0"/>
      <c r="FZ741" s="0"/>
      <c r="GA741" s="0"/>
      <c r="GB741" s="0"/>
      <c r="GC741" s="0"/>
      <c r="GD741" s="0"/>
      <c r="GE741" s="0"/>
      <c r="GF741" s="0"/>
      <c r="GG741" s="0"/>
      <c r="GH741" s="0"/>
      <c r="GI741" s="0"/>
      <c r="GJ741" s="0"/>
      <c r="GK741" s="0"/>
      <c r="GL741" s="0"/>
      <c r="GM741" s="0"/>
      <c r="GN741" s="0"/>
      <c r="GO741" s="0"/>
      <c r="GP741" s="0"/>
      <c r="GQ741" s="0"/>
      <c r="GR741" s="0"/>
      <c r="GS741" s="0"/>
      <c r="GT741" s="0"/>
      <c r="GU741" s="0"/>
      <c r="GV741" s="0"/>
      <c r="GW741" s="0"/>
      <c r="GX741" s="0"/>
      <c r="GY741" s="0"/>
      <c r="GZ741" s="0"/>
      <c r="HA741" s="0"/>
      <c r="HB741" s="0"/>
      <c r="HC741" s="0"/>
      <c r="HD741" s="0"/>
      <c r="HE741" s="0"/>
      <c r="HF741" s="0"/>
      <c r="HG741" s="0"/>
      <c r="HH741" s="0"/>
      <c r="HI741" s="0"/>
      <c r="HJ741" s="0"/>
      <c r="HK741" s="0"/>
      <c r="HL741" s="0"/>
      <c r="HM741" s="0"/>
      <c r="HN741" s="0"/>
      <c r="HO741" s="0"/>
      <c r="HP741" s="0"/>
      <c r="HQ741" s="0"/>
      <c r="HR741" s="0"/>
      <c r="HS741" s="0"/>
      <c r="HT741" s="0"/>
      <c r="HU741" s="0"/>
      <c r="HV741" s="0"/>
      <c r="HW741" s="0"/>
      <c r="HX741" s="0"/>
      <c r="HY741" s="0"/>
      <c r="HZ741" s="0"/>
      <c r="IA741" s="0"/>
      <c r="IB741" s="0"/>
      <c r="IC741" s="0"/>
      <c r="ID741" s="0"/>
      <c r="IE741" s="0"/>
      <c r="IF741" s="0"/>
      <c r="IG741" s="0"/>
      <c r="IH741" s="0"/>
      <c r="II741" s="0"/>
      <c r="IJ741" s="0"/>
      <c r="IK741" s="0"/>
      <c r="IL741" s="0"/>
      <c r="IM741" s="0"/>
      <c r="IN741" s="0"/>
      <c r="IO741" s="0"/>
      <c r="IP741" s="0"/>
      <c r="IQ741" s="0"/>
      <c r="IR741" s="0"/>
      <c r="IS741" s="0"/>
      <c r="IT741" s="0"/>
      <c r="IU741" s="0"/>
      <c r="IV741" s="0"/>
    </row>
    <row r="742" customFormat="false" ht="20.1" hidden="false" customHeight="true" outlineLevel="0" collapsed="false">
      <c r="A742" s="14"/>
      <c r="B742" s="55"/>
      <c r="C742" s="55"/>
      <c r="D742" s="55"/>
      <c r="E742" s="55"/>
      <c r="F742" s="55"/>
      <c r="G742" s="446"/>
      <c r="H742" s="19"/>
      <c r="I742" s="19"/>
      <c r="J742" s="667"/>
      <c r="K742" s="55"/>
      <c r="L742" s="55"/>
      <c r="M742" s="55"/>
      <c r="N742" s="0"/>
      <c r="O742" s="0"/>
      <c r="P742" s="0"/>
      <c r="Q742" s="0"/>
      <c r="R742" s="0"/>
      <c r="S742" s="0"/>
      <c r="T742" s="0"/>
      <c r="U742" s="0"/>
      <c r="V742" s="0"/>
      <c r="W742" s="0"/>
      <c r="X742" s="0"/>
      <c r="Y742" s="0"/>
      <c r="Z742" s="0"/>
      <c r="AA742" s="0"/>
      <c r="AB742" s="0"/>
      <c r="AC742" s="0"/>
      <c r="AD742" s="0"/>
      <c r="AE742" s="0"/>
      <c r="AF742" s="0"/>
      <c r="AG742" s="0"/>
      <c r="AH742" s="0"/>
      <c r="AI742" s="0"/>
      <c r="AJ742" s="0"/>
      <c r="AK742" s="0"/>
      <c r="AL742" s="0"/>
      <c r="AM742" s="0"/>
      <c r="AN742" s="0"/>
      <c r="AO742" s="0"/>
      <c r="AP742" s="0"/>
      <c r="AQ742" s="0"/>
      <c r="AR742" s="0"/>
      <c r="AS742" s="0"/>
      <c r="AT742" s="0"/>
      <c r="BS742" s="0"/>
      <c r="BT742" s="0"/>
      <c r="BU742" s="0"/>
      <c r="BV742" s="0"/>
      <c r="BW742" s="0"/>
      <c r="BX742" s="0"/>
      <c r="BY742" s="0"/>
      <c r="BZ742" s="0"/>
      <c r="CA742" s="0"/>
      <c r="CB742" s="0"/>
      <c r="CC742" s="0"/>
      <c r="CD742" s="0"/>
      <c r="CE742" s="0"/>
      <c r="CF742" s="0"/>
      <c r="CG742" s="0"/>
      <c r="CH742" s="0"/>
      <c r="CI742" s="0"/>
      <c r="CJ742" s="0"/>
      <c r="CK742" s="0"/>
      <c r="CL742" s="0"/>
      <c r="CM742" s="0"/>
      <c r="CN742" s="0"/>
      <c r="CO742" s="0"/>
      <c r="CP742" s="0"/>
      <c r="CQ742" s="0"/>
      <c r="CR742" s="0"/>
      <c r="CS742" s="0"/>
      <c r="CT742" s="0"/>
      <c r="CU742" s="0"/>
      <c r="CV742" s="0"/>
      <c r="CW742" s="0"/>
      <c r="CX742" s="0"/>
      <c r="CY742" s="0"/>
      <c r="CZ742" s="0"/>
      <c r="DA742" s="0"/>
      <c r="DB742" s="0"/>
      <c r="DC742" s="0"/>
      <c r="DD742" s="0"/>
      <c r="DE742" s="0"/>
      <c r="DF742" s="0"/>
      <c r="DG742" s="0"/>
      <c r="DH742" s="0"/>
      <c r="DI742" s="0"/>
      <c r="DJ742" s="0"/>
      <c r="DK742" s="0"/>
      <c r="DL742" s="0"/>
      <c r="DM742" s="0"/>
      <c r="DN742" s="0"/>
      <c r="DO742" s="0"/>
      <c r="DP742" s="0"/>
      <c r="DQ742" s="0"/>
      <c r="DR742" s="0"/>
      <c r="DS742" s="0"/>
      <c r="DT742" s="0"/>
      <c r="DU742" s="0"/>
      <c r="DV742" s="0"/>
      <c r="DW742" s="0"/>
      <c r="DX742" s="0"/>
      <c r="DY742" s="0"/>
      <c r="DZ742" s="0"/>
      <c r="EA742" s="0"/>
      <c r="EB742" s="0"/>
      <c r="EC742" s="0"/>
      <c r="ED742" s="0"/>
      <c r="EE742" s="0"/>
      <c r="EF742" s="0"/>
      <c r="EG742" s="0"/>
      <c r="EH742" s="0"/>
      <c r="EI742" s="0"/>
      <c r="EJ742" s="0"/>
      <c r="EK742" s="0"/>
      <c r="EL742" s="0"/>
      <c r="EM742" s="0"/>
      <c r="EN742" s="0"/>
      <c r="EO742" s="0"/>
      <c r="EP742" s="0"/>
      <c r="EQ742" s="0"/>
      <c r="ER742" s="0"/>
      <c r="ES742" s="0"/>
      <c r="ET742" s="0"/>
      <c r="EU742" s="0"/>
      <c r="EV742" s="0"/>
      <c r="EW742" s="0"/>
      <c r="EX742" s="0"/>
      <c r="EY742" s="0"/>
      <c r="EZ742" s="0"/>
      <c r="FA742" s="0"/>
      <c r="FB742" s="0"/>
      <c r="FC742" s="0"/>
      <c r="FD742" s="0"/>
      <c r="FE742" s="0"/>
      <c r="FF742" s="0"/>
      <c r="FG742" s="0"/>
      <c r="FH742" s="0"/>
      <c r="FI742" s="0"/>
      <c r="FJ742" s="0"/>
      <c r="FK742" s="0"/>
      <c r="FL742" s="0"/>
      <c r="FM742" s="0"/>
      <c r="FN742" s="0"/>
      <c r="FO742" s="0"/>
      <c r="FP742" s="0"/>
      <c r="FQ742" s="0"/>
      <c r="FR742" s="0"/>
      <c r="FS742" s="0"/>
      <c r="FT742" s="0"/>
      <c r="FU742" s="0"/>
      <c r="FV742" s="0"/>
      <c r="FW742" s="0"/>
      <c r="FX742" s="0"/>
      <c r="FY742" s="0"/>
      <c r="FZ742" s="0"/>
      <c r="GA742" s="0"/>
      <c r="GB742" s="0"/>
      <c r="GC742" s="0"/>
      <c r="GD742" s="0"/>
      <c r="GE742" s="0"/>
      <c r="GF742" s="0"/>
      <c r="GG742" s="0"/>
      <c r="GH742" s="0"/>
      <c r="GI742" s="0"/>
      <c r="GJ742" s="0"/>
      <c r="GK742" s="0"/>
      <c r="GL742" s="0"/>
      <c r="GM742" s="0"/>
      <c r="GN742" s="0"/>
      <c r="GO742" s="0"/>
      <c r="GP742" s="0"/>
      <c r="GQ742" s="0"/>
      <c r="GR742" s="0"/>
      <c r="GS742" s="0"/>
      <c r="GT742" s="0"/>
      <c r="GU742" s="0"/>
      <c r="GV742" s="0"/>
      <c r="GW742" s="0"/>
      <c r="GX742" s="0"/>
      <c r="GY742" s="0"/>
      <c r="GZ742" s="0"/>
      <c r="HA742" s="0"/>
      <c r="HB742" s="0"/>
      <c r="HC742" s="0"/>
      <c r="HD742" s="0"/>
      <c r="HE742" s="0"/>
      <c r="HF742" s="0"/>
      <c r="HG742" s="0"/>
      <c r="HH742" s="0"/>
      <c r="HI742" s="0"/>
      <c r="HJ742" s="0"/>
      <c r="HK742" s="0"/>
      <c r="HL742" s="0"/>
      <c r="HM742" s="0"/>
      <c r="HN742" s="0"/>
      <c r="HO742" s="0"/>
      <c r="HP742" s="0"/>
      <c r="HQ742" s="0"/>
      <c r="HR742" s="0"/>
      <c r="HS742" s="0"/>
      <c r="HT742" s="0"/>
      <c r="HU742" s="0"/>
      <c r="HV742" s="0"/>
      <c r="HW742" s="0"/>
      <c r="HX742" s="0"/>
      <c r="HY742" s="0"/>
      <c r="HZ742" s="0"/>
      <c r="IA742" s="0"/>
      <c r="IB742" s="0"/>
      <c r="IC742" s="0"/>
      <c r="ID742" s="0"/>
      <c r="IE742" s="0"/>
      <c r="IF742" s="0"/>
      <c r="IG742" s="0"/>
      <c r="IH742" s="0"/>
      <c r="II742" s="0"/>
      <c r="IJ742" s="0"/>
      <c r="IK742" s="0"/>
      <c r="IL742" s="0"/>
      <c r="IM742" s="0"/>
      <c r="IN742" s="0"/>
      <c r="IO742" s="0"/>
      <c r="IP742" s="0"/>
      <c r="IQ742" s="0"/>
      <c r="IR742" s="0"/>
      <c r="IS742" s="0"/>
      <c r="IT742" s="0"/>
      <c r="IU742" s="0"/>
      <c r="IV742" s="0"/>
    </row>
    <row r="743" customFormat="false" ht="20.1" hidden="false" customHeight="true" outlineLevel="0" collapsed="false">
      <c r="A743" s="1006" t="s">
        <v>1505</v>
      </c>
      <c r="B743" s="1006"/>
      <c r="C743" s="1006"/>
      <c r="D743" s="1048" t="s">
        <v>254</v>
      </c>
      <c r="F743" s="15"/>
      <c r="G743" s="0"/>
      <c r="J743" s="11"/>
      <c r="K743" s="55"/>
      <c r="L743" s="55"/>
      <c r="M743" s="55"/>
      <c r="N743" s="0"/>
      <c r="O743" s="0"/>
      <c r="P743" s="0"/>
      <c r="Q743" s="0"/>
      <c r="R743" s="0"/>
      <c r="S743" s="0"/>
      <c r="T743" s="0"/>
      <c r="U743" s="0"/>
      <c r="V743" s="0"/>
      <c r="W743" s="0"/>
      <c r="X743" s="0"/>
      <c r="Y743" s="0"/>
      <c r="Z743" s="0"/>
      <c r="AA743" s="0"/>
      <c r="AB743" s="0"/>
      <c r="AC743" s="0"/>
      <c r="AD743" s="0"/>
      <c r="AE743" s="0"/>
      <c r="AF743" s="0"/>
      <c r="AG743" s="0"/>
      <c r="AH743" s="0"/>
      <c r="AI743" s="0"/>
      <c r="AJ743" s="0"/>
      <c r="AK743" s="0"/>
      <c r="AL743" s="0"/>
      <c r="AM743" s="0"/>
      <c r="AN743" s="0"/>
      <c r="AO743" s="0"/>
      <c r="AP743" s="0"/>
      <c r="AQ743" s="0"/>
      <c r="AR743" s="0"/>
      <c r="AS743" s="0"/>
      <c r="AT743" s="0"/>
      <c r="BS743" s="0"/>
      <c r="BT743" s="0"/>
      <c r="BU743" s="0"/>
      <c r="BV743" s="0"/>
      <c r="BW743" s="0"/>
      <c r="BX743" s="0"/>
      <c r="BY743" s="0"/>
      <c r="BZ743" s="0"/>
      <c r="CA743" s="0"/>
      <c r="CB743" s="0"/>
      <c r="CC743" s="0"/>
      <c r="CD743" s="0"/>
      <c r="CE743" s="0"/>
      <c r="CF743" s="0"/>
      <c r="CG743" s="0"/>
      <c r="CH743" s="0"/>
      <c r="CI743" s="0"/>
      <c r="CJ743" s="0"/>
      <c r="CK743" s="0"/>
      <c r="CL743" s="0"/>
      <c r="CM743" s="0"/>
      <c r="CN743" s="0"/>
      <c r="CO743" s="0"/>
      <c r="CP743" s="0"/>
      <c r="CQ743" s="0"/>
      <c r="CR743" s="0"/>
      <c r="CS743" s="0"/>
      <c r="CT743" s="0"/>
      <c r="CU743" s="0"/>
      <c r="CV743" s="0"/>
      <c r="CW743" s="0"/>
      <c r="CX743" s="0"/>
      <c r="CY743" s="0"/>
      <c r="CZ743" s="0"/>
      <c r="DA743" s="0"/>
      <c r="DB743" s="0"/>
      <c r="DC743" s="0"/>
      <c r="DD743" s="0"/>
      <c r="DE743" s="0"/>
      <c r="DF743" s="0"/>
      <c r="DG743" s="0"/>
      <c r="DH743" s="0"/>
      <c r="DI743" s="0"/>
      <c r="DJ743" s="0"/>
      <c r="DK743" s="0"/>
      <c r="DL743" s="0"/>
      <c r="DM743" s="0"/>
      <c r="DN743" s="0"/>
      <c r="DO743" s="0"/>
      <c r="DP743" s="0"/>
      <c r="DQ743" s="0"/>
      <c r="DR743" s="0"/>
      <c r="DS743" s="0"/>
      <c r="DT743" s="0"/>
      <c r="DU743" s="0"/>
      <c r="DV743" s="0"/>
      <c r="DW743" s="0"/>
      <c r="DX743" s="0"/>
      <c r="DY743" s="0"/>
      <c r="DZ743" s="0"/>
      <c r="EA743" s="0"/>
      <c r="EB743" s="0"/>
      <c r="EC743" s="0"/>
      <c r="ED743" s="0"/>
      <c r="EE743" s="0"/>
      <c r="EF743" s="0"/>
      <c r="EG743" s="0"/>
      <c r="EH743" s="0"/>
      <c r="EI743" s="0"/>
      <c r="EJ743" s="0"/>
      <c r="EK743" s="0"/>
      <c r="EL743" s="0"/>
      <c r="EM743" s="0"/>
      <c r="EN743" s="0"/>
      <c r="EO743" s="0"/>
      <c r="EP743" s="0"/>
      <c r="EQ743" s="0"/>
      <c r="ER743" s="0"/>
      <c r="ES743" s="0"/>
      <c r="ET743" s="0"/>
      <c r="EU743" s="0"/>
      <c r="EV743" s="0"/>
      <c r="EW743" s="0"/>
      <c r="EX743" s="0"/>
      <c r="EY743" s="0"/>
      <c r="EZ743" s="0"/>
      <c r="FA743" s="0"/>
      <c r="FB743" s="0"/>
      <c r="FC743" s="0"/>
      <c r="FD743" s="0"/>
      <c r="FE743" s="0"/>
      <c r="FF743" s="0"/>
      <c r="FG743" s="0"/>
      <c r="FH743" s="0"/>
      <c r="FI743" s="0"/>
      <c r="FJ743" s="0"/>
      <c r="FK743" s="0"/>
      <c r="FL743" s="0"/>
      <c r="FM743" s="0"/>
      <c r="FN743" s="0"/>
      <c r="FO743" s="0"/>
      <c r="FP743" s="0"/>
      <c r="FQ743" s="0"/>
      <c r="FR743" s="0"/>
      <c r="FS743" s="0"/>
      <c r="FT743" s="0"/>
      <c r="FU743" s="0"/>
      <c r="FV743" s="0"/>
      <c r="FW743" s="0"/>
      <c r="FX743" s="0"/>
      <c r="FY743" s="0"/>
      <c r="FZ743" s="0"/>
      <c r="GA743" s="0"/>
      <c r="GB743" s="0"/>
      <c r="GC743" s="0"/>
      <c r="GD743" s="0"/>
      <c r="GE743" s="0"/>
      <c r="GF743" s="0"/>
      <c r="GG743" s="0"/>
      <c r="GH743" s="0"/>
      <c r="GI743" s="0"/>
      <c r="GJ743" s="0"/>
      <c r="GK743" s="0"/>
      <c r="GL743" s="0"/>
      <c r="GM743" s="0"/>
      <c r="GN743" s="0"/>
      <c r="GO743" s="0"/>
      <c r="GP743" s="0"/>
      <c r="GQ743" s="0"/>
      <c r="GR743" s="0"/>
      <c r="GS743" s="0"/>
      <c r="GT743" s="0"/>
      <c r="GU743" s="0"/>
      <c r="GV743" s="0"/>
      <c r="GW743" s="0"/>
      <c r="GX743" s="0"/>
      <c r="GY743" s="0"/>
      <c r="GZ743" s="0"/>
      <c r="HA743" s="0"/>
      <c r="HB743" s="0"/>
      <c r="HC743" s="0"/>
      <c r="HD743" s="0"/>
      <c r="HE743" s="0"/>
      <c r="HF743" s="0"/>
      <c r="HG743" s="0"/>
      <c r="HH743" s="0"/>
      <c r="HI743" s="0"/>
      <c r="HJ743" s="0"/>
      <c r="HK743" s="0"/>
      <c r="HL743" s="0"/>
      <c r="HM743" s="0"/>
      <c r="HN743" s="0"/>
      <c r="HO743" s="0"/>
      <c r="HP743" s="0"/>
      <c r="HQ743" s="0"/>
      <c r="HR743" s="0"/>
      <c r="HS743" s="0"/>
      <c r="HT743" s="0"/>
      <c r="HU743" s="0"/>
      <c r="HV743" s="0"/>
      <c r="HW743" s="0"/>
      <c r="HX743" s="0"/>
      <c r="HY743" s="0"/>
      <c r="HZ743" s="0"/>
      <c r="IA743" s="0"/>
      <c r="IB743" s="0"/>
      <c r="IC743" s="0"/>
      <c r="ID743" s="0"/>
      <c r="IE743" s="0"/>
      <c r="IF743" s="0"/>
      <c r="IG743" s="0"/>
      <c r="IH743" s="0"/>
      <c r="II743" s="0"/>
      <c r="IJ743" s="0"/>
      <c r="IK743" s="0"/>
      <c r="IL743" s="0"/>
      <c r="IM743" s="0"/>
      <c r="IN743" s="0"/>
      <c r="IO743" s="0"/>
      <c r="IP743" s="0"/>
      <c r="IQ743" s="0"/>
      <c r="IR743" s="0"/>
      <c r="IS743" s="0"/>
      <c r="IT743" s="0"/>
      <c r="IU743" s="0"/>
      <c r="IV743" s="0"/>
    </row>
    <row r="744" customFormat="false" ht="19.5" hidden="false" customHeight="true" outlineLevel="0" collapsed="false">
      <c r="A744" s="441" t="s">
        <v>1506</v>
      </c>
      <c r="B744" s="1175"/>
      <c r="C744" s="1175"/>
      <c r="D744" s="1175"/>
      <c r="E744" s="1175"/>
      <c r="F744" s="0"/>
      <c r="G744" s="0"/>
      <c r="J744" s="11"/>
      <c r="K744" s="55"/>
      <c r="L744" s="55"/>
      <c r="M744" s="55"/>
      <c r="N744" s="0"/>
      <c r="O744" s="0"/>
      <c r="P744" s="0"/>
      <c r="Q744" s="0"/>
      <c r="R744" s="0"/>
      <c r="S744" s="0"/>
      <c r="T744" s="0"/>
      <c r="U744" s="0"/>
      <c r="V744" s="0"/>
      <c r="W744" s="0"/>
      <c r="X744" s="0"/>
      <c r="Y744" s="0"/>
      <c r="Z744" s="0"/>
      <c r="AA744" s="0"/>
      <c r="AB744" s="0"/>
      <c r="AC744" s="0"/>
      <c r="AD744" s="0"/>
      <c r="AE744" s="0"/>
      <c r="AF744" s="0"/>
      <c r="AG744" s="0"/>
      <c r="AH744" s="0"/>
      <c r="AI744" s="0"/>
      <c r="AJ744" s="0"/>
      <c r="AK744" s="0"/>
      <c r="AL744" s="0"/>
      <c r="AM744" s="0"/>
      <c r="AN744" s="0"/>
      <c r="AO744" s="0"/>
      <c r="AP744" s="0"/>
      <c r="AQ744" s="0"/>
      <c r="AR744" s="0"/>
      <c r="AS744" s="0"/>
      <c r="AT744" s="0"/>
      <c r="BS744" s="0"/>
      <c r="BT744" s="0"/>
      <c r="BU744" s="0"/>
      <c r="BV744" s="0"/>
      <c r="BW744" s="0"/>
      <c r="BX744" s="0"/>
      <c r="BY744" s="0"/>
      <c r="BZ744" s="0"/>
      <c r="CA744" s="0"/>
      <c r="CB744" s="0"/>
      <c r="CC744" s="0"/>
      <c r="CD744" s="0"/>
      <c r="CE744" s="0"/>
      <c r="CF744" s="0"/>
      <c r="CG744" s="0"/>
      <c r="CH744" s="0"/>
      <c r="CI744" s="0"/>
      <c r="CJ744" s="0"/>
      <c r="CK744" s="0"/>
      <c r="CL744" s="0"/>
      <c r="CM744" s="0"/>
      <c r="CN744" s="0"/>
      <c r="CO744" s="0"/>
      <c r="CP744" s="0"/>
      <c r="CQ744" s="0"/>
      <c r="CR744" s="0"/>
      <c r="CS744" s="0"/>
      <c r="CT744" s="0"/>
      <c r="CU744" s="0"/>
      <c r="CV744" s="0"/>
      <c r="CW744" s="0"/>
      <c r="CX744" s="0"/>
      <c r="CY744" s="0"/>
      <c r="CZ744" s="0"/>
      <c r="DA744" s="0"/>
      <c r="DB744" s="0"/>
      <c r="DC744" s="0"/>
      <c r="DD744" s="0"/>
      <c r="DE744" s="0"/>
      <c r="DF744" s="0"/>
      <c r="DG744" s="0"/>
      <c r="DH744" s="0"/>
      <c r="DI744" s="0"/>
      <c r="DJ744" s="0"/>
      <c r="DK744" s="0"/>
      <c r="DL744" s="0"/>
      <c r="DM744" s="0"/>
      <c r="DN744" s="0"/>
      <c r="DO744" s="0"/>
      <c r="DP744" s="0"/>
      <c r="DQ744" s="0"/>
      <c r="DR744" s="0"/>
      <c r="DS744" s="0"/>
      <c r="DT744" s="0"/>
      <c r="DU744" s="0"/>
      <c r="DV744" s="0"/>
      <c r="DW744" s="0"/>
      <c r="DX744" s="0"/>
      <c r="DY744" s="0"/>
      <c r="DZ744" s="0"/>
      <c r="EA744" s="0"/>
      <c r="EB744" s="0"/>
      <c r="EC744" s="0"/>
      <c r="ED744" s="0"/>
      <c r="EE744" s="0"/>
      <c r="EF744" s="0"/>
      <c r="EG744" s="0"/>
      <c r="EH744" s="0"/>
      <c r="EI744" s="0"/>
      <c r="EJ744" s="0"/>
      <c r="EK744" s="0"/>
      <c r="EL744" s="0"/>
      <c r="EM744" s="0"/>
      <c r="EN744" s="0"/>
      <c r="EO744" s="0"/>
      <c r="EP744" s="0"/>
      <c r="EQ744" s="0"/>
      <c r="ER744" s="0"/>
      <c r="ES744" s="0"/>
      <c r="ET744" s="0"/>
      <c r="EU744" s="0"/>
      <c r="EV744" s="0"/>
      <c r="EW744" s="0"/>
      <c r="EX744" s="0"/>
      <c r="EY744" s="0"/>
      <c r="EZ744" s="0"/>
      <c r="FA744" s="0"/>
      <c r="FB744" s="0"/>
      <c r="FC744" s="0"/>
      <c r="FD744" s="0"/>
      <c r="FE744" s="0"/>
      <c r="FF744" s="0"/>
      <c r="FG744" s="0"/>
      <c r="FH744" s="0"/>
      <c r="FI744" s="0"/>
      <c r="FJ744" s="0"/>
      <c r="FK744" s="0"/>
      <c r="FL744" s="0"/>
      <c r="FM744" s="0"/>
      <c r="FN744" s="0"/>
      <c r="FO744" s="0"/>
      <c r="FP744" s="0"/>
      <c r="FQ744" s="0"/>
      <c r="FR744" s="0"/>
      <c r="FS744" s="0"/>
      <c r="FT744" s="0"/>
      <c r="FU744" s="0"/>
      <c r="FV744" s="0"/>
      <c r="FW744" s="0"/>
      <c r="FX744" s="0"/>
      <c r="FY744" s="0"/>
      <c r="FZ744" s="0"/>
      <c r="GA744" s="0"/>
      <c r="GB744" s="0"/>
      <c r="GC744" s="0"/>
      <c r="GD744" s="0"/>
      <c r="GE744" s="0"/>
      <c r="GF744" s="0"/>
      <c r="GG744" s="0"/>
      <c r="GH744" s="0"/>
      <c r="GI744" s="0"/>
      <c r="GJ744" s="0"/>
      <c r="GK744" s="0"/>
      <c r="GL744" s="0"/>
      <c r="GM744" s="0"/>
      <c r="GN744" s="0"/>
      <c r="GO744" s="0"/>
      <c r="GP744" s="0"/>
      <c r="GQ744" s="0"/>
      <c r="GR744" s="0"/>
      <c r="GS744" s="0"/>
      <c r="GT744" s="0"/>
      <c r="GU744" s="0"/>
      <c r="GV744" s="0"/>
      <c r="GW744" s="0"/>
      <c r="GX744" s="0"/>
      <c r="GY744" s="0"/>
      <c r="GZ744" s="0"/>
      <c r="HA744" s="0"/>
      <c r="HB744" s="0"/>
      <c r="HC744" s="0"/>
      <c r="HD744" s="0"/>
      <c r="HE744" s="0"/>
      <c r="HF744" s="0"/>
      <c r="HG744" s="0"/>
      <c r="HH744" s="0"/>
      <c r="HI744" s="0"/>
      <c r="HJ744" s="0"/>
      <c r="HK744" s="0"/>
      <c r="HL744" s="0"/>
      <c r="HM744" s="0"/>
      <c r="HN744" s="0"/>
      <c r="HO744" s="0"/>
      <c r="HP744" s="0"/>
      <c r="HQ744" s="0"/>
      <c r="HR744" s="0"/>
      <c r="HS744" s="0"/>
      <c r="HT744" s="0"/>
      <c r="HU744" s="0"/>
      <c r="HV744" s="0"/>
      <c r="HW744" s="0"/>
      <c r="HX744" s="0"/>
      <c r="HY744" s="0"/>
      <c r="HZ744" s="0"/>
      <c r="IA744" s="0"/>
      <c r="IB744" s="0"/>
      <c r="IC744" s="0"/>
      <c r="ID744" s="0"/>
      <c r="IE744" s="0"/>
      <c r="IF744" s="0"/>
      <c r="IG744" s="0"/>
      <c r="IH744" s="0"/>
      <c r="II744" s="0"/>
      <c r="IJ744" s="0"/>
      <c r="IK744" s="0"/>
      <c r="IL744" s="0"/>
      <c r="IM744" s="0"/>
      <c r="IN744" s="0"/>
      <c r="IO744" s="0"/>
      <c r="IP744" s="0"/>
      <c r="IQ744" s="0"/>
      <c r="IR744" s="0"/>
      <c r="IS744" s="0"/>
      <c r="IT744" s="0"/>
      <c r="IU744" s="0"/>
      <c r="IV744" s="0"/>
    </row>
    <row r="745" customFormat="false" ht="20.1" hidden="false" customHeight="true" outlineLevel="0" collapsed="false">
      <c r="A745" s="14"/>
      <c r="B745" s="55"/>
      <c r="C745" s="0"/>
      <c r="D745" s="55"/>
      <c r="E745" s="0"/>
      <c r="F745" s="55"/>
      <c r="G745" s="446"/>
      <c r="H745" s="19"/>
      <c r="I745" s="19"/>
      <c r="J745" s="667"/>
      <c r="K745" s="55"/>
      <c r="L745" s="55"/>
      <c r="M745" s="55"/>
      <c r="N745" s="0"/>
      <c r="O745" s="0"/>
      <c r="P745" s="0"/>
      <c r="Q745" s="0"/>
      <c r="R745" s="0"/>
      <c r="S745" s="0"/>
      <c r="T745" s="0"/>
      <c r="U745" s="0"/>
      <c r="V745" s="0"/>
      <c r="W745" s="0"/>
      <c r="X745" s="0"/>
      <c r="Y745" s="0"/>
      <c r="Z745" s="0"/>
      <c r="AA745" s="0"/>
      <c r="AB745" s="0"/>
      <c r="AC745" s="0"/>
      <c r="AD745" s="0"/>
      <c r="AE745" s="0"/>
      <c r="AF745" s="0"/>
      <c r="AG745" s="0"/>
      <c r="AH745" s="0"/>
      <c r="AI745" s="0"/>
      <c r="AJ745" s="0"/>
      <c r="AK745" s="0"/>
      <c r="AL745" s="0"/>
      <c r="AM745" s="0"/>
      <c r="AN745" s="0"/>
      <c r="AO745" s="0"/>
      <c r="AP745" s="0"/>
      <c r="AQ745" s="0"/>
      <c r="AR745" s="0"/>
      <c r="AS745" s="0"/>
      <c r="AT745" s="0"/>
      <c r="BS745" s="0"/>
      <c r="BT745" s="0"/>
      <c r="BU745" s="0"/>
      <c r="BV745" s="0"/>
      <c r="BW745" s="0"/>
      <c r="BX745" s="0"/>
      <c r="BY745" s="0"/>
      <c r="BZ745" s="0"/>
      <c r="CA745" s="0"/>
      <c r="CB745" s="0"/>
      <c r="CC745" s="0"/>
      <c r="CD745" s="0"/>
      <c r="CE745" s="0"/>
      <c r="CF745" s="0"/>
      <c r="CG745" s="0"/>
      <c r="CH745" s="0"/>
      <c r="CI745" s="0"/>
      <c r="CJ745" s="0"/>
      <c r="CK745" s="0"/>
      <c r="CL745" s="0"/>
      <c r="CM745" s="0"/>
      <c r="CN745" s="0"/>
      <c r="CO745" s="0"/>
      <c r="CP745" s="0"/>
      <c r="CQ745" s="0"/>
      <c r="CR745" s="0"/>
      <c r="CS745" s="0"/>
      <c r="CT745" s="0"/>
      <c r="CU745" s="0"/>
      <c r="CV745" s="0"/>
      <c r="CW745" s="0"/>
      <c r="CX745" s="0"/>
      <c r="CY745" s="0"/>
      <c r="CZ745" s="0"/>
      <c r="DA745" s="0"/>
      <c r="DB745" s="0"/>
      <c r="DC745" s="0"/>
      <c r="DD745" s="0"/>
      <c r="DE745" s="0"/>
      <c r="DF745" s="0"/>
      <c r="DG745" s="0"/>
      <c r="DH745" s="0"/>
      <c r="DI745" s="0"/>
      <c r="DJ745" s="0"/>
      <c r="DK745" s="0"/>
      <c r="DL745" s="0"/>
      <c r="DM745" s="0"/>
      <c r="DN745" s="0"/>
      <c r="DO745" s="0"/>
      <c r="DP745" s="0"/>
      <c r="DQ745" s="0"/>
      <c r="DR745" s="0"/>
      <c r="DS745" s="0"/>
      <c r="DT745" s="0"/>
      <c r="DU745" s="0"/>
      <c r="DV745" s="0"/>
      <c r="DW745" s="0"/>
      <c r="DX745" s="0"/>
      <c r="DY745" s="0"/>
      <c r="DZ745" s="0"/>
      <c r="EA745" s="0"/>
      <c r="EB745" s="0"/>
      <c r="EC745" s="0"/>
      <c r="ED745" s="0"/>
      <c r="EE745" s="0"/>
      <c r="EF745" s="0"/>
      <c r="EG745" s="0"/>
      <c r="EH745" s="0"/>
      <c r="EI745" s="0"/>
      <c r="EJ745" s="0"/>
      <c r="EK745" s="0"/>
      <c r="EL745" s="0"/>
      <c r="EM745" s="0"/>
      <c r="EN745" s="0"/>
      <c r="EO745" s="0"/>
      <c r="EP745" s="0"/>
      <c r="EQ745" s="0"/>
      <c r="ER745" s="0"/>
      <c r="ES745" s="0"/>
      <c r="ET745" s="0"/>
      <c r="EU745" s="0"/>
      <c r="EV745" s="0"/>
      <c r="EW745" s="0"/>
      <c r="EX745" s="0"/>
      <c r="EY745" s="0"/>
      <c r="EZ745" s="0"/>
      <c r="FA745" s="0"/>
      <c r="FB745" s="0"/>
      <c r="FC745" s="0"/>
      <c r="FD745" s="0"/>
      <c r="FE745" s="0"/>
      <c r="FF745" s="0"/>
      <c r="FG745" s="0"/>
      <c r="FH745" s="0"/>
      <c r="FI745" s="0"/>
      <c r="FJ745" s="0"/>
      <c r="FK745" s="0"/>
      <c r="FL745" s="0"/>
      <c r="FM745" s="0"/>
      <c r="FN745" s="0"/>
      <c r="FO745" s="0"/>
      <c r="FP745" s="0"/>
      <c r="FQ745" s="0"/>
      <c r="FR745" s="0"/>
      <c r="FS745" s="0"/>
      <c r="FT745" s="0"/>
      <c r="FU745" s="0"/>
      <c r="FV745" s="0"/>
      <c r="FW745" s="0"/>
      <c r="FX745" s="0"/>
      <c r="FY745" s="0"/>
      <c r="FZ745" s="0"/>
      <c r="GA745" s="0"/>
      <c r="GB745" s="0"/>
      <c r="GC745" s="0"/>
      <c r="GD745" s="0"/>
      <c r="GE745" s="0"/>
      <c r="GF745" s="0"/>
      <c r="GG745" s="0"/>
      <c r="GH745" s="0"/>
      <c r="GI745" s="0"/>
      <c r="GJ745" s="0"/>
      <c r="GK745" s="0"/>
      <c r="GL745" s="0"/>
      <c r="GM745" s="0"/>
      <c r="GN745" s="0"/>
      <c r="GO745" s="0"/>
      <c r="GP745" s="0"/>
      <c r="GQ745" s="0"/>
      <c r="GR745" s="0"/>
      <c r="GS745" s="0"/>
      <c r="GT745" s="0"/>
      <c r="GU745" s="0"/>
      <c r="GV745" s="0"/>
      <c r="GW745" s="0"/>
      <c r="GX745" s="0"/>
      <c r="GY745" s="0"/>
      <c r="GZ745" s="0"/>
      <c r="HA745" s="0"/>
      <c r="HB745" s="0"/>
      <c r="HC745" s="0"/>
      <c r="HD745" s="0"/>
      <c r="HE745" s="0"/>
      <c r="HF745" s="0"/>
      <c r="HG745" s="0"/>
      <c r="HH745" s="0"/>
      <c r="HI745" s="0"/>
      <c r="HJ745" s="0"/>
      <c r="HK745" s="0"/>
      <c r="HL745" s="0"/>
      <c r="HM745" s="0"/>
      <c r="HN745" s="0"/>
      <c r="HO745" s="0"/>
      <c r="HP745" s="0"/>
      <c r="HQ745" s="0"/>
      <c r="HR745" s="0"/>
      <c r="HS745" s="0"/>
      <c r="HT745" s="0"/>
      <c r="HU745" s="0"/>
      <c r="HV745" s="0"/>
      <c r="HW745" s="0"/>
      <c r="HX745" s="0"/>
      <c r="HY745" s="0"/>
      <c r="HZ745" s="0"/>
      <c r="IA745" s="0"/>
      <c r="IB745" s="0"/>
      <c r="IC745" s="0"/>
      <c r="ID745" s="0"/>
      <c r="IE745" s="0"/>
      <c r="IF745" s="0"/>
      <c r="IG745" s="0"/>
      <c r="IH745" s="0"/>
      <c r="II745" s="0"/>
      <c r="IJ745" s="0"/>
      <c r="IK745" s="0"/>
      <c r="IL745" s="0"/>
      <c r="IM745" s="0"/>
      <c r="IN745" s="0"/>
      <c r="IO745" s="0"/>
      <c r="IP745" s="0"/>
      <c r="IQ745" s="0"/>
      <c r="IR745" s="0"/>
      <c r="IS745" s="0"/>
      <c r="IT745" s="0"/>
      <c r="IU745" s="0"/>
      <c r="IV745" s="0"/>
    </row>
    <row r="746" customFormat="false" ht="20.1" hidden="false" customHeight="true" outlineLevel="0" collapsed="false">
      <c r="J746" s="11"/>
      <c r="K746" s="903"/>
      <c r="L746" s="877"/>
      <c r="N746" s="0"/>
      <c r="O746" s="0"/>
      <c r="P746" s="0"/>
      <c r="Q746" s="0"/>
      <c r="R746" s="0"/>
      <c r="S746" s="0"/>
      <c r="T746" s="0"/>
      <c r="U746" s="0"/>
      <c r="V746" s="0"/>
      <c r="W746" s="0"/>
      <c r="X746" s="0"/>
    </row>
    <row r="747" customFormat="false" ht="20.1" hidden="false" customHeight="true" outlineLevel="0" collapsed="false">
      <c r="A747" s="1176" t="s">
        <v>1507</v>
      </c>
      <c r="B747" s="1176"/>
      <c r="C747" s="1176"/>
      <c r="D747" s="1176"/>
      <c r="E747" s="998" t="n">
        <v>19</v>
      </c>
      <c r="F747" s="11" t="s">
        <v>303</v>
      </c>
      <c r="H747" s="1008" t="s">
        <v>1508</v>
      </c>
      <c r="I747" s="1008"/>
      <c r="J747" s="1177" t="n">
        <f aca="false">E747/B24</f>
        <v>0.246753246753247</v>
      </c>
      <c r="K747" s="903"/>
      <c r="L747" s="877"/>
      <c r="N747" s="0"/>
      <c r="O747" s="0"/>
      <c r="P747" s="0"/>
      <c r="Q747" s="0"/>
      <c r="R747" s="0"/>
      <c r="S747" s="0"/>
      <c r="T747" s="0"/>
      <c r="U747" s="0"/>
      <c r="V747" s="0"/>
      <c r="W747" s="0"/>
      <c r="X747" s="0"/>
      <c r="Y747" s="0"/>
      <c r="Z747" s="0"/>
      <c r="AA747" s="0"/>
      <c r="AB747" s="0"/>
      <c r="AC747" s="0"/>
      <c r="AD747" s="0"/>
      <c r="AE747" s="0"/>
      <c r="AF747" s="0"/>
      <c r="AG747" s="0"/>
      <c r="AH747" s="0"/>
      <c r="AI747" s="0"/>
      <c r="AJ747" s="0"/>
      <c r="AK747" s="0"/>
      <c r="AL747" s="0"/>
      <c r="AM747" s="0"/>
      <c r="AN747" s="0"/>
      <c r="AO747" s="0"/>
      <c r="AP747" s="0"/>
      <c r="AQ747" s="0"/>
      <c r="AR747" s="0"/>
      <c r="AS747" s="0"/>
      <c r="AT747" s="0"/>
      <c r="BS747" s="0"/>
      <c r="BT747" s="0"/>
      <c r="BU747" s="0"/>
      <c r="BV747" s="0"/>
      <c r="BW747" s="0"/>
      <c r="BX747" s="0"/>
      <c r="BY747" s="0"/>
      <c r="BZ747" s="0"/>
      <c r="CA747" s="0"/>
      <c r="CB747" s="0"/>
      <c r="CC747" s="0"/>
      <c r="CD747" s="0"/>
      <c r="CE747" s="0"/>
      <c r="CF747" s="0"/>
      <c r="CG747" s="0"/>
      <c r="CH747" s="0"/>
      <c r="CI747" s="0"/>
      <c r="CJ747" s="0"/>
      <c r="CK747" s="0"/>
      <c r="CL747" s="0"/>
      <c r="CM747" s="0"/>
      <c r="CN747" s="0"/>
      <c r="CO747" s="0"/>
      <c r="CP747" s="0"/>
      <c r="CQ747" s="0"/>
      <c r="CR747" s="0"/>
      <c r="CS747" s="0"/>
      <c r="CT747" s="0"/>
      <c r="CU747" s="0"/>
      <c r="CV747" s="0"/>
      <c r="CW747" s="0"/>
      <c r="CX747" s="0"/>
      <c r="CY747" s="0"/>
      <c r="CZ747" s="0"/>
      <c r="DA747" s="0"/>
      <c r="DB747" s="0"/>
      <c r="DC747" s="0"/>
      <c r="DD747" s="0"/>
      <c r="DE747" s="0"/>
      <c r="DF747" s="0"/>
      <c r="DG747" s="0"/>
      <c r="DH747" s="0"/>
      <c r="DI747" s="0"/>
      <c r="DJ747" s="0"/>
      <c r="DK747" s="0"/>
      <c r="DL747" s="0"/>
      <c r="DM747" s="0"/>
      <c r="DN747" s="0"/>
      <c r="DO747" s="0"/>
      <c r="DP747" s="0"/>
      <c r="DQ747" s="0"/>
      <c r="DR747" s="0"/>
      <c r="DS747" s="0"/>
      <c r="DT747" s="0"/>
      <c r="DU747" s="0"/>
      <c r="DV747" s="0"/>
      <c r="DW747" s="0"/>
      <c r="DX747" s="0"/>
      <c r="DY747" s="0"/>
      <c r="DZ747" s="0"/>
      <c r="EA747" s="0"/>
      <c r="EB747" s="0"/>
      <c r="EC747" s="0"/>
      <c r="ED747" s="0"/>
      <c r="EE747" s="0"/>
      <c r="EF747" s="0"/>
      <c r="EG747" s="0"/>
      <c r="EH747" s="0"/>
      <c r="EI747" s="0"/>
      <c r="EJ747" s="0"/>
      <c r="EK747" s="0"/>
      <c r="EL747" s="0"/>
      <c r="EM747" s="0"/>
      <c r="EN747" s="0"/>
      <c r="EO747" s="0"/>
      <c r="EP747" s="0"/>
      <c r="EQ747" s="0"/>
      <c r="ER747" s="0"/>
      <c r="ES747" s="0"/>
      <c r="ET747" s="0"/>
      <c r="EU747" s="0"/>
      <c r="EV747" s="0"/>
      <c r="EW747" s="0"/>
      <c r="EX747" s="0"/>
      <c r="EY747" s="0"/>
      <c r="EZ747" s="0"/>
      <c r="FA747" s="0"/>
      <c r="FB747" s="0"/>
      <c r="FC747" s="0"/>
      <c r="FD747" s="0"/>
      <c r="FE747" s="0"/>
      <c r="FF747" s="0"/>
      <c r="FG747" s="0"/>
      <c r="FH747" s="0"/>
      <c r="FI747" s="0"/>
      <c r="FJ747" s="0"/>
      <c r="FK747" s="0"/>
      <c r="FL747" s="0"/>
      <c r="FM747" s="0"/>
      <c r="FN747" s="0"/>
      <c r="FO747" s="0"/>
      <c r="FP747" s="0"/>
      <c r="FQ747" s="0"/>
      <c r="FR747" s="0"/>
      <c r="FS747" s="0"/>
      <c r="FT747" s="0"/>
      <c r="FU747" s="0"/>
      <c r="FV747" s="0"/>
      <c r="FW747" s="0"/>
      <c r="FX747" s="0"/>
      <c r="FY747" s="0"/>
      <c r="FZ747" s="0"/>
      <c r="GA747" s="0"/>
      <c r="GB747" s="0"/>
      <c r="GC747" s="0"/>
      <c r="GD747" s="0"/>
      <c r="GE747" s="0"/>
      <c r="GF747" s="0"/>
      <c r="GG747" s="0"/>
      <c r="GH747" s="0"/>
      <c r="GI747" s="0"/>
      <c r="GJ747" s="0"/>
      <c r="GK747" s="0"/>
      <c r="GL747" s="0"/>
      <c r="GM747" s="0"/>
      <c r="GN747" s="0"/>
      <c r="GO747" s="0"/>
      <c r="GP747" s="0"/>
      <c r="GQ747" s="0"/>
      <c r="GR747" s="0"/>
      <c r="GS747" s="0"/>
      <c r="GT747" s="0"/>
      <c r="GU747" s="0"/>
      <c r="GV747" s="0"/>
      <c r="GW747" s="0"/>
      <c r="GX747" s="0"/>
      <c r="GY747" s="0"/>
      <c r="GZ747" s="0"/>
      <c r="HA747" s="0"/>
      <c r="HB747" s="0"/>
      <c r="HC747" s="0"/>
      <c r="HD747" s="0"/>
      <c r="HE747" s="0"/>
      <c r="HF747" s="0"/>
      <c r="HG747" s="0"/>
      <c r="HH747" s="0"/>
      <c r="HI747" s="0"/>
      <c r="HJ747" s="0"/>
      <c r="HK747" s="0"/>
      <c r="HL747" s="0"/>
      <c r="HM747" s="0"/>
      <c r="HN747" s="0"/>
      <c r="HO747" s="0"/>
      <c r="HP747" s="0"/>
      <c r="HQ747" s="0"/>
      <c r="HR747" s="0"/>
      <c r="HS747" s="0"/>
      <c r="HT747" s="0"/>
      <c r="HU747" s="0"/>
      <c r="HV747" s="0"/>
      <c r="HW747" s="0"/>
      <c r="HX747" s="0"/>
      <c r="HY747" s="0"/>
      <c r="HZ747" s="0"/>
      <c r="IA747" s="0"/>
      <c r="IB747" s="0"/>
      <c r="IC747" s="0"/>
      <c r="ID747" s="0"/>
      <c r="IE747" s="0"/>
      <c r="IF747" s="0"/>
      <c r="IG747" s="0"/>
      <c r="IH747" s="0"/>
      <c r="II747" s="0"/>
      <c r="IJ747" s="0"/>
      <c r="IK747" s="0"/>
      <c r="IL747" s="0"/>
      <c r="IM747" s="0"/>
      <c r="IN747" s="0"/>
      <c r="IO747" s="0"/>
      <c r="IP747" s="0"/>
      <c r="IQ747" s="0"/>
      <c r="IR747" s="0"/>
      <c r="IS747" s="0"/>
      <c r="IT747" s="0"/>
      <c r="IU747" s="0"/>
      <c r="IV747" s="0"/>
    </row>
    <row r="748" customFormat="false" ht="18.75" hidden="false" customHeight="true" outlineLevel="0" collapsed="false">
      <c r="A748" s="1178" t="s">
        <v>1509</v>
      </c>
      <c r="B748" s="1178"/>
      <c r="C748" s="1178"/>
      <c r="D748" s="1178"/>
      <c r="E748" s="1178"/>
      <c r="F748" s="55"/>
      <c r="G748" s="446"/>
      <c r="H748" s="19"/>
      <c r="I748" s="19"/>
      <c r="J748" s="667"/>
      <c r="K748" s="903"/>
      <c r="L748" s="877"/>
      <c r="M748" s="0"/>
      <c r="N748" s="0"/>
      <c r="O748" s="0"/>
      <c r="P748" s="0"/>
      <c r="Q748" s="0"/>
      <c r="R748" s="0"/>
      <c r="S748" s="0"/>
      <c r="T748" s="0"/>
      <c r="U748" s="0"/>
      <c r="V748" s="0"/>
      <c r="W748" s="0"/>
      <c r="X748" s="0"/>
      <c r="Y748" s="0"/>
      <c r="Z748" s="0"/>
      <c r="AA748" s="0"/>
      <c r="AB748" s="0"/>
      <c r="AC748" s="0"/>
      <c r="AD748" s="0"/>
      <c r="AE748" s="0"/>
      <c r="AF748" s="0"/>
      <c r="AG748" s="0"/>
      <c r="AH748" s="0"/>
      <c r="AI748" s="0"/>
      <c r="AJ748" s="0"/>
      <c r="AK748" s="0"/>
      <c r="AL748" s="0"/>
      <c r="AM748" s="0"/>
      <c r="AN748" s="0"/>
      <c r="AO748" s="0"/>
      <c r="AP748" s="0"/>
      <c r="AQ748" s="0"/>
      <c r="AR748" s="0"/>
      <c r="AS748" s="0"/>
      <c r="AT748" s="0"/>
      <c r="BS748" s="0"/>
      <c r="BT748" s="0"/>
      <c r="BU748" s="0"/>
      <c r="BV748" s="0"/>
      <c r="BW748" s="0"/>
      <c r="BX748" s="0"/>
      <c r="BY748" s="0"/>
      <c r="BZ748" s="0"/>
      <c r="CA748" s="0"/>
      <c r="CB748" s="0"/>
      <c r="CC748" s="0"/>
      <c r="CD748" s="0"/>
      <c r="CE748" s="0"/>
      <c r="CF748" s="0"/>
      <c r="CG748" s="0"/>
      <c r="CH748" s="0"/>
      <c r="CI748" s="0"/>
      <c r="CJ748" s="0"/>
      <c r="CK748" s="0"/>
      <c r="CL748" s="0"/>
      <c r="CM748" s="0"/>
      <c r="CN748" s="0"/>
      <c r="CO748" s="0"/>
      <c r="CP748" s="0"/>
      <c r="CQ748" s="0"/>
      <c r="CR748" s="0"/>
      <c r="CS748" s="0"/>
      <c r="CT748" s="0"/>
      <c r="CU748" s="0"/>
      <c r="CV748" s="0"/>
      <c r="CW748" s="0"/>
      <c r="CX748" s="0"/>
      <c r="CY748" s="0"/>
      <c r="CZ748" s="0"/>
      <c r="DA748" s="0"/>
      <c r="DB748" s="0"/>
      <c r="DC748" s="0"/>
      <c r="DD748" s="0"/>
      <c r="DE748" s="0"/>
      <c r="DF748" s="0"/>
      <c r="DG748" s="0"/>
      <c r="DH748" s="0"/>
      <c r="DI748" s="0"/>
      <c r="DJ748" s="0"/>
      <c r="DK748" s="0"/>
      <c r="DL748" s="0"/>
      <c r="DM748" s="0"/>
      <c r="DN748" s="0"/>
      <c r="DO748" s="0"/>
      <c r="DP748" s="0"/>
      <c r="DQ748" s="0"/>
      <c r="DR748" s="0"/>
      <c r="DS748" s="0"/>
      <c r="DT748" s="0"/>
      <c r="DU748" s="0"/>
      <c r="DV748" s="0"/>
      <c r="DW748" s="0"/>
      <c r="DX748" s="0"/>
      <c r="DY748" s="0"/>
      <c r="DZ748" s="0"/>
      <c r="EA748" s="0"/>
      <c r="EB748" s="0"/>
      <c r="EC748" s="0"/>
      <c r="ED748" s="0"/>
      <c r="EE748" s="0"/>
      <c r="EF748" s="0"/>
      <c r="EG748" s="0"/>
      <c r="EH748" s="0"/>
      <c r="EI748" s="0"/>
      <c r="EJ748" s="0"/>
      <c r="EK748" s="0"/>
      <c r="EL748" s="0"/>
      <c r="EM748" s="0"/>
      <c r="EN748" s="0"/>
      <c r="EO748" s="0"/>
      <c r="EP748" s="0"/>
      <c r="EQ748" s="0"/>
      <c r="ER748" s="0"/>
      <c r="ES748" s="0"/>
      <c r="ET748" s="0"/>
      <c r="EU748" s="0"/>
      <c r="EV748" s="0"/>
      <c r="EW748" s="0"/>
      <c r="EX748" s="0"/>
      <c r="EY748" s="0"/>
      <c r="EZ748" s="0"/>
      <c r="FA748" s="0"/>
      <c r="FB748" s="0"/>
      <c r="FC748" s="0"/>
      <c r="FD748" s="0"/>
      <c r="FE748" s="0"/>
      <c r="FF748" s="0"/>
      <c r="FG748" s="0"/>
      <c r="FH748" s="0"/>
      <c r="FI748" s="0"/>
      <c r="FJ748" s="0"/>
      <c r="FK748" s="0"/>
      <c r="FL748" s="0"/>
      <c r="FM748" s="0"/>
      <c r="FN748" s="0"/>
      <c r="FO748" s="0"/>
      <c r="FP748" s="0"/>
      <c r="FQ748" s="0"/>
      <c r="FR748" s="0"/>
      <c r="FS748" s="0"/>
      <c r="FT748" s="0"/>
      <c r="FU748" s="0"/>
      <c r="FV748" s="0"/>
      <c r="FW748" s="0"/>
      <c r="FX748" s="0"/>
      <c r="FY748" s="0"/>
      <c r="FZ748" s="0"/>
      <c r="GA748" s="0"/>
      <c r="GB748" s="0"/>
      <c r="GC748" s="0"/>
      <c r="GD748" s="0"/>
      <c r="GE748" s="0"/>
      <c r="GF748" s="0"/>
      <c r="GG748" s="0"/>
      <c r="GH748" s="0"/>
      <c r="GI748" s="0"/>
      <c r="GJ748" s="0"/>
      <c r="GK748" s="0"/>
      <c r="GL748" s="0"/>
      <c r="GM748" s="0"/>
      <c r="GN748" s="0"/>
      <c r="GO748" s="0"/>
      <c r="GP748" s="0"/>
      <c r="GQ748" s="0"/>
      <c r="GR748" s="0"/>
      <c r="GS748" s="0"/>
      <c r="GT748" s="0"/>
      <c r="GU748" s="0"/>
      <c r="GV748" s="0"/>
      <c r="GW748" s="0"/>
      <c r="GX748" s="0"/>
      <c r="GY748" s="0"/>
      <c r="GZ748" s="0"/>
      <c r="HA748" s="0"/>
      <c r="HB748" s="0"/>
      <c r="HC748" s="0"/>
      <c r="HD748" s="0"/>
      <c r="HE748" s="0"/>
      <c r="HF748" s="0"/>
      <c r="HG748" s="0"/>
      <c r="HH748" s="0"/>
      <c r="HI748" s="0"/>
      <c r="HJ748" s="0"/>
      <c r="HK748" s="0"/>
      <c r="HL748" s="0"/>
      <c r="HM748" s="0"/>
      <c r="HN748" s="0"/>
      <c r="HO748" s="0"/>
      <c r="HP748" s="0"/>
      <c r="HQ748" s="0"/>
      <c r="HR748" s="0"/>
      <c r="HS748" s="0"/>
      <c r="HT748" s="0"/>
      <c r="HU748" s="0"/>
      <c r="HV748" s="0"/>
      <c r="HW748" s="0"/>
      <c r="HX748" s="0"/>
      <c r="HY748" s="0"/>
      <c r="HZ748" s="0"/>
      <c r="IA748" s="0"/>
      <c r="IB748" s="0"/>
      <c r="IC748" s="0"/>
      <c r="ID748" s="0"/>
      <c r="IE748" s="0"/>
      <c r="IF748" s="0"/>
      <c r="IG748" s="0"/>
      <c r="IH748" s="0"/>
      <c r="II748" s="0"/>
      <c r="IJ748" s="0"/>
      <c r="IK748" s="0"/>
      <c r="IL748" s="0"/>
      <c r="IM748" s="0"/>
      <c r="IN748" s="0"/>
      <c r="IO748" s="0"/>
      <c r="IP748" s="0"/>
      <c r="IQ748" s="0"/>
      <c r="IR748" s="0"/>
      <c r="IS748" s="0"/>
      <c r="IT748" s="0"/>
      <c r="IU748" s="0"/>
      <c r="IV748" s="0"/>
    </row>
    <row r="749" customFormat="false" ht="18.75" hidden="false" customHeight="true" outlineLevel="0" collapsed="false">
      <c r="A749" s="1148" t="s">
        <v>1510</v>
      </c>
      <c r="B749" s="1148"/>
      <c r="C749" s="1148"/>
      <c r="D749" s="1148"/>
      <c r="E749" s="1148"/>
      <c r="F749" s="55"/>
      <c r="G749" s="446"/>
      <c r="H749" s="19"/>
      <c r="I749" s="19"/>
      <c r="J749" s="667"/>
      <c r="K749" s="903"/>
      <c r="L749" s="877"/>
      <c r="M749" s="0"/>
      <c r="N749" s="0"/>
      <c r="O749" s="0"/>
      <c r="P749" s="0"/>
      <c r="Q749" s="0"/>
      <c r="R749" s="0"/>
      <c r="S749" s="0"/>
      <c r="T749" s="0"/>
      <c r="U749" s="0"/>
      <c r="V749" s="0"/>
      <c r="W749" s="0"/>
      <c r="X749" s="0"/>
      <c r="Y749" s="0"/>
      <c r="Z749" s="0"/>
      <c r="AA749" s="0"/>
      <c r="AB749" s="0"/>
      <c r="AC749" s="0"/>
      <c r="AD749" s="0"/>
      <c r="AE749" s="0"/>
      <c r="AF749" s="0"/>
      <c r="AG749" s="0"/>
      <c r="AH749" s="0"/>
      <c r="AI749" s="0"/>
      <c r="AJ749" s="0"/>
      <c r="AK749" s="0"/>
      <c r="AL749" s="0"/>
      <c r="AM749" s="0"/>
      <c r="AN749" s="0"/>
      <c r="AO749" s="0"/>
      <c r="AP749" s="0"/>
      <c r="AQ749" s="0"/>
      <c r="AR749" s="0"/>
      <c r="AS749" s="0"/>
      <c r="AT749" s="0"/>
      <c r="BS749" s="0"/>
      <c r="BT749" s="0"/>
      <c r="BU749" s="0"/>
      <c r="BV749" s="0"/>
      <c r="BW749" s="0"/>
      <c r="BX749" s="0"/>
      <c r="BY749" s="0"/>
      <c r="BZ749" s="0"/>
      <c r="CA749" s="0"/>
      <c r="CB749" s="0"/>
      <c r="CC749" s="0"/>
      <c r="CD749" s="0"/>
      <c r="CE749" s="0"/>
      <c r="CF749" s="0"/>
      <c r="CG749" s="0"/>
      <c r="CH749" s="0"/>
      <c r="CI749" s="0"/>
      <c r="CJ749" s="0"/>
      <c r="CK749" s="0"/>
      <c r="CL749" s="0"/>
      <c r="CM749" s="0"/>
      <c r="CN749" s="0"/>
      <c r="CO749" s="0"/>
      <c r="CP749" s="0"/>
      <c r="CQ749" s="0"/>
      <c r="CR749" s="0"/>
      <c r="CS749" s="0"/>
      <c r="CT749" s="0"/>
      <c r="CU749" s="0"/>
      <c r="CV749" s="0"/>
      <c r="CW749" s="0"/>
      <c r="CX749" s="0"/>
      <c r="CY749" s="0"/>
      <c r="CZ749" s="0"/>
      <c r="DA749" s="0"/>
      <c r="DB749" s="0"/>
      <c r="DC749" s="0"/>
      <c r="DD749" s="0"/>
      <c r="DE749" s="0"/>
      <c r="DF749" s="0"/>
      <c r="DG749" s="0"/>
      <c r="DH749" s="0"/>
      <c r="DI749" s="0"/>
      <c r="DJ749" s="0"/>
      <c r="DK749" s="0"/>
      <c r="DL749" s="0"/>
      <c r="DM749" s="0"/>
      <c r="DN749" s="0"/>
      <c r="DO749" s="0"/>
      <c r="DP749" s="0"/>
      <c r="DQ749" s="0"/>
      <c r="DR749" s="0"/>
      <c r="DS749" s="0"/>
      <c r="DT749" s="0"/>
      <c r="DU749" s="0"/>
      <c r="DV749" s="0"/>
      <c r="DW749" s="0"/>
      <c r="DX749" s="0"/>
      <c r="DY749" s="0"/>
      <c r="DZ749" s="0"/>
      <c r="EA749" s="0"/>
      <c r="EB749" s="0"/>
      <c r="EC749" s="0"/>
      <c r="ED749" s="0"/>
      <c r="EE749" s="0"/>
      <c r="EF749" s="0"/>
      <c r="EG749" s="0"/>
      <c r="EH749" s="0"/>
      <c r="EI749" s="0"/>
      <c r="EJ749" s="0"/>
      <c r="EK749" s="0"/>
      <c r="EL749" s="0"/>
      <c r="EM749" s="0"/>
      <c r="EN749" s="0"/>
      <c r="EO749" s="0"/>
      <c r="EP749" s="0"/>
      <c r="EQ749" s="0"/>
      <c r="ER749" s="0"/>
      <c r="ES749" s="0"/>
      <c r="ET749" s="0"/>
      <c r="EU749" s="0"/>
      <c r="EV749" s="0"/>
      <c r="EW749" s="0"/>
      <c r="EX749" s="0"/>
      <c r="EY749" s="0"/>
      <c r="EZ749" s="0"/>
      <c r="FA749" s="0"/>
      <c r="FB749" s="0"/>
      <c r="FC749" s="0"/>
      <c r="FD749" s="0"/>
      <c r="FE749" s="0"/>
      <c r="FF749" s="0"/>
      <c r="FG749" s="0"/>
      <c r="FH749" s="0"/>
      <c r="FI749" s="0"/>
      <c r="FJ749" s="0"/>
      <c r="FK749" s="0"/>
      <c r="FL749" s="0"/>
      <c r="FM749" s="0"/>
      <c r="FN749" s="0"/>
      <c r="FO749" s="0"/>
      <c r="FP749" s="0"/>
      <c r="FQ749" s="0"/>
      <c r="FR749" s="0"/>
      <c r="FS749" s="0"/>
      <c r="FT749" s="0"/>
      <c r="FU749" s="0"/>
      <c r="FV749" s="0"/>
      <c r="FW749" s="0"/>
      <c r="FX749" s="0"/>
      <c r="FY749" s="0"/>
      <c r="FZ749" s="0"/>
      <c r="GA749" s="0"/>
      <c r="GB749" s="0"/>
      <c r="GC749" s="0"/>
      <c r="GD749" s="0"/>
      <c r="GE749" s="0"/>
      <c r="GF749" s="0"/>
      <c r="GG749" s="0"/>
      <c r="GH749" s="0"/>
      <c r="GI749" s="0"/>
      <c r="GJ749" s="0"/>
      <c r="GK749" s="0"/>
      <c r="GL749" s="0"/>
      <c r="GM749" s="0"/>
      <c r="GN749" s="0"/>
      <c r="GO749" s="0"/>
      <c r="GP749" s="0"/>
      <c r="GQ749" s="0"/>
      <c r="GR749" s="0"/>
      <c r="GS749" s="0"/>
      <c r="GT749" s="0"/>
      <c r="GU749" s="0"/>
      <c r="GV749" s="0"/>
      <c r="GW749" s="0"/>
      <c r="GX749" s="0"/>
      <c r="GY749" s="0"/>
      <c r="GZ749" s="0"/>
      <c r="HA749" s="0"/>
      <c r="HB749" s="0"/>
      <c r="HC749" s="0"/>
      <c r="HD749" s="0"/>
      <c r="HE749" s="0"/>
      <c r="HF749" s="0"/>
      <c r="HG749" s="0"/>
      <c r="HH749" s="0"/>
      <c r="HI749" s="0"/>
      <c r="HJ749" s="0"/>
      <c r="HK749" s="0"/>
      <c r="HL749" s="0"/>
      <c r="HM749" s="0"/>
      <c r="HN749" s="0"/>
      <c r="HO749" s="0"/>
      <c r="HP749" s="0"/>
      <c r="HQ749" s="0"/>
      <c r="HR749" s="0"/>
      <c r="HS749" s="0"/>
      <c r="HT749" s="0"/>
      <c r="HU749" s="0"/>
      <c r="HV749" s="0"/>
      <c r="HW749" s="0"/>
      <c r="HX749" s="0"/>
      <c r="HY749" s="0"/>
      <c r="HZ749" s="0"/>
      <c r="IA749" s="0"/>
      <c r="IB749" s="0"/>
      <c r="IC749" s="0"/>
      <c r="ID749" s="0"/>
      <c r="IE749" s="0"/>
      <c r="IF749" s="0"/>
      <c r="IG749" s="0"/>
      <c r="IH749" s="0"/>
      <c r="II749" s="0"/>
      <c r="IJ749" s="0"/>
      <c r="IK749" s="0"/>
      <c r="IL749" s="0"/>
      <c r="IM749" s="0"/>
      <c r="IN749" s="0"/>
      <c r="IO749" s="0"/>
      <c r="IP749" s="0"/>
      <c r="IQ749" s="0"/>
      <c r="IR749" s="0"/>
      <c r="IS749" s="0"/>
      <c r="IT749" s="0"/>
      <c r="IU749" s="0"/>
      <c r="IV749" s="0"/>
    </row>
    <row r="750" customFormat="false" ht="18.75" hidden="false" customHeight="true" outlineLevel="0" collapsed="false">
      <c r="A750" s="1148" t="s">
        <v>1511</v>
      </c>
      <c r="B750" s="1148"/>
      <c r="C750" s="1148"/>
      <c r="D750" s="1148"/>
      <c r="E750" s="1148"/>
      <c r="F750" s="55"/>
      <c r="G750" s="446"/>
      <c r="H750" s="19"/>
      <c r="I750" s="19"/>
      <c r="J750" s="667"/>
      <c r="K750" s="903"/>
      <c r="L750" s="877"/>
      <c r="M750" s="0"/>
      <c r="N750" s="0"/>
      <c r="O750" s="0"/>
      <c r="P750" s="0"/>
      <c r="Q750" s="0"/>
      <c r="R750" s="0"/>
      <c r="S750" s="0"/>
      <c r="T750" s="0"/>
      <c r="U750" s="0"/>
      <c r="V750" s="0"/>
      <c r="W750" s="0"/>
      <c r="X750" s="0"/>
      <c r="Y750" s="0"/>
      <c r="Z750" s="0"/>
      <c r="AA750" s="0"/>
      <c r="AB750" s="0"/>
      <c r="AC750" s="0"/>
      <c r="AD750" s="0"/>
      <c r="AE750" s="0"/>
      <c r="AF750" s="0"/>
      <c r="AG750" s="0"/>
      <c r="AH750" s="0"/>
      <c r="AI750" s="0"/>
      <c r="AJ750" s="0"/>
      <c r="AK750" s="0"/>
      <c r="AL750" s="0"/>
      <c r="AM750" s="0"/>
      <c r="AN750" s="0"/>
      <c r="AO750" s="0"/>
      <c r="AP750" s="0"/>
      <c r="AQ750" s="0"/>
      <c r="AR750" s="0"/>
      <c r="AS750" s="0"/>
      <c r="AT750" s="0"/>
      <c r="BS750" s="0"/>
      <c r="BT750" s="0"/>
      <c r="BU750" s="0"/>
      <c r="BV750" s="0"/>
      <c r="BW750" s="0"/>
      <c r="BX750" s="0"/>
      <c r="BY750" s="0"/>
      <c r="BZ750" s="0"/>
      <c r="CA750" s="0"/>
      <c r="CB750" s="0"/>
      <c r="CC750" s="0"/>
      <c r="CD750" s="0"/>
      <c r="CE750" s="0"/>
      <c r="CF750" s="0"/>
      <c r="CG750" s="0"/>
      <c r="CH750" s="0"/>
      <c r="CI750" s="0"/>
      <c r="CJ750" s="0"/>
      <c r="CK750" s="0"/>
      <c r="CL750" s="0"/>
      <c r="CM750" s="0"/>
      <c r="CN750" s="0"/>
      <c r="CO750" s="0"/>
      <c r="CP750" s="0"/>
      <c r="CQ750" s="0"/>
      <c r="CR750" s="0"/>
      <c r="CS750" s="0"/>
      <c r="CT750" s="0"/>
      <c r="CU750" s="0"/>
      <c r="CV750" s="0"/>
      <c r="CW750" s="0"/>
      <c r="CX750" s="0"/>
      <c r="CY750" s="0"/>
      <c r="CZ750" s="0"/>
      <c r="DA750" s="0"/>
      <c r="DB750" s="0"/>
      <c r="DC750" s="0"/>
      <c r="DD750" s="0"/>
      <c r="DE750" s="0"/>
      <c r="DF750" s="0"/>
      <c r="DG750" s="0"/>
      <c r="DH750" s="0"/>
      <c r="DI750" s="0"/>
      <c r="DJ750" s="0"/>
      <c r="DK750" s="0"/>
      <c r="DL750" s="0"/>
      <c r="DM750" s="0"/>
      <c r="DN750" s="0"/>
      <c r="DO750" s="0"/>
      <c r="DP750" s="0"/>
      <c r="DQ750" s="0"/>
      <c r="DR750" s="0"/>
      <c r="DS750" s="0"/>
      <c r="DT750" s="0"/>
      <c r="DU750" s="0"/>
      <c r="DV750" s="0"/>
      <c r="DW750" s="0"/>
      <c r="DX750" s="0"/>
      <c r="DY750" s="0"/>
      <c r="DZ750" s="0"/>
      <c r="EA750" s="0"/>
      <c r="EB750" s="0"/>
      <c r="EC750" s="0"/>
      <c r="ED750" s="0"/>
      <c r="EE750" s="0"/>
      <c r="EF750" s="0"/>
      <c r="EG750" s="0"/>
      <c r="EH750" s="0"/>
      <c r="EI750" s="0"/>
      <c r="EJ750" s="0"/>
      <c r="EK750" s="0"/>
      <c r="EL750" s="0"/>
      <c r="EM750" s="0"/>
      <c r="EN750" s="0"/>
      <c r="EO750" s="0"/>
      <c r="EP750" s="0"/>
      <c r="EQ750" s="0"/>
      <c r="ER750" s="0"/>
      <c r="ES750" s="0"/>
      <c r="ET750" s="0"/>
      <c r="EU750" s="0"/>
      <c r="EV750" s="0"/>
      <c r="EW750" s="0"/>
      <c r="EX750" s="0"/>
      <c r="EY750" s="0"/>
      <c r="EZ750" s="0"/>
      <c r="FA750" s="0"/>
      <c r="FB750" s="0"/>
      <c r="FC750" s="0"/>
      <c r="FD750" s="0"/>
      <c r="FE750" s="0"/>
      <c r="FF750" s="0"/>
      <c r="FG750" s="0"/>
      <c r="FH750" s="0"/>
      <c r="FI750" s="0"/>
      <c r="FJ750" s="0"/>
      <c r="FK750" s="0"/>
      <c r="FL750" s="0"/>
      <c r="FM750" s="0"/>
      <c r="FN750" s="0"/>
      <c r="FO750" s="0"/>
      <c r="FP750" s="0"/>
      <c r="FQ750" s="0"/>
      <c r="FR750" s="0"/>
      <c r="FS750" s="0"/>
      <c r="FT750" s="0"/>
      <c r="FU750" s="0"/>
      <c r="FV750" s="0"/>
      <c r="FW750" s="0"/>
      <c r="FX750" s="0"/>
      <c r="FY750" s="0"/>
      <c r="FZ750" s="0"/>
      <c r="GA750" s="0"/>
      <c r="GB750" s="0"/>
      <c r="GC750" s="0"/>
      <c r="GD750" s="0"/>
      <c r="GE750" s="0"/>
      <c r="GF750" s="0"/>
      <c r="GG750" s="0"/>
      <c r="GH750" s="0"/>
      <c r="GI750" s="0"/>
      <c r="GJ750" s="0"/>
      <c r="GK750" s="0"/>
      <c r="GL750" s="0"/>
      <c r="GM750" s="0"/>
      <c r="GN750" s="0"/>
      <c r="GO750" s="0"/>
      <c r="GP750" s="0"/>
      <c r="GQ750" s="0"/>
      <c r="GR750" s="0"/>
      <c r="GS750" s="0"/>
      <c r="GT750" s="0"/>
      <c r="GU750" s="0"/>
      <c r="GV750" s="0"/>
      <c r="GW750" s="0"/>
      <c r="GX750" s="0"/>
      <c r="GY750" s="0"/>
      <c r="GZ750" s="0"/>
      <c r="HA750" s="0"/>
      <c r="HB750" s="0"/>
      <c r="HC750" s="0"/>
      <c r="HD750" s="0"/>
      <c r="HE750" s="0"/>
      <c r="HF750" s="0"/>
      <c r="HG750" s="0"/>
      <c r="HH750" s="0"/>
      <c r="HI750" s="0"/>
      <c r="HJ750" s="0"/>
      <c r="HK750" s="0"/>
      <c r="HL750" s="0"/>
      <c r="HM750" s="0"/>
      <c r="HN750" s="0"/>
      <c r="HO750" s="0"/>
      <c r="HP750" s="0"/>
      <c r="HQ750" s="0"/>
      <c r="HR750" s="0"/>
      <c r="HS750" s="0"/>
      <c r="HT750" s="0"/>
      <c r="HU750" s="0"/>
      <c r="HV750" s="0"/>
      <c r="HW750" s="0"/>
      <c r="HX750" s="0"/>
      <c r="HY750" s="0"/>
      <c r="HZ750" s="0"/>
      <c r="IA750" s="0"/>
      <c r="IB750" s="0"/>
      <c r="IC750" s="0"/>
      <c r="ID750" s="0"/>
      <c r="IE750" s="0"/>
      <c r="IF750" s="0"/>
      <c r="IG750" s="0"/>
      <c r="IH750" s="0"/>
      <c r="II750" s="0"/>
      <c r="IJ750" s="0"/>
      <c r="IK750" s="0"/>
      <c r="IL750" s="0"/>
      <c r="IM750" s="0"/>
      <c r="IN750" s="0"/>
      <c r="IO750" s="0"/>
      <c r="IP750" s="0"/>
      <c r="IQ750" s="0"/>
      <c r="IR750" s="0"/>
      <c r="IS750" s="0"/>
      <c r="IT750" s="0"/>
      <c r="IU750" s="0"/>
      <c r="IV750" s="0"/>
    </row>
    <row r="751" customFormat="false" ht="18.75" hidden="false" customHeight="true" outlineLevel="0" collapsed="false">
      <c r="A751" s="1148" t="s">
        <v>1512</v>
      </c>
      <c r="B751" s="1148"/>
      <c r="C751" s="1148"/>
      <c r="D751" s="1148"/>
      <c r="E751" s="1148"/>
      <c r="F751" s="55"/>
      <c r="G751" s="446"/>
      <c r="H751" s="19"/>
      <c r="I751" s="19"/>
      <c r="J751" s="667"/>
      <c r="K751" s="903"/>
      <c r="L751" s="877"/>
      <c r="M751" s="0"/>
      <c r="N751" s="0"/>
      <c r="O751" s="0"/>
      <c r="P751" s="0"/>
      <c r="Q751" s="0"/>
      <c r="R751" s="0"/>
      <c r="S751" s="0"/>
      <c r="T751" s="0"/>
      <c r="U751" s="0"/>
      <c r="V751" s="0"/>
      <c r="W751" s="0"/>
      <c r="X751" s="0"/>
      <c r="Y751" s="0"/>
      <c r="Z751" s="0"/>
      <c r="AA751" s="0"/>
      <c r="AB751" s="0"/>
      <c r="AC751" s="0"/>
      <c r="AD751" s="0"/>
      <c r="AE751" s="0"/>
      <c r="AF751" s="0"/>
      <c r="AG751" s="0"/>
      <c r="AH751" s="0"/>
      <c r="AI751" s="0"/>
      <c r="AJ751" s="0"/>
      <c r="AK751" s="0"/>
      <c r="AL751" s="0"/>
      <c r="AM751" s="0"/>
      <c r="AN751" s="0"/>
      <c r="AO751" s="0"/>
      <c r="AP751" s="0"/>
      <c r="AQ751" s="0"/>
      <c r="AR751" s="0"/>
      <c r="AS751" s="0"/>
      <c r="AT751" s="0"/>
      <c r="BS751" s="0"/>
      <c r="BT751" s="0"/>
      <c r="BU751" s="0"/>
      <c r="BV751" s="0"/>
      <c r="BW751" s="0"/>
      <c r="BX751" s="0"/>
      <c r="BY751" s="0"/>
      <c r="BZ751" s="0"/>
      <c r="CA751" s="0"/>
      <c r="CB751" s="0"/>
      <c r="CC751" s="0"/>
      <c r="CD751" s="0"/>
      <c r="CE751" s="0"/>
      <c r="CF751" s="0"/>
      <c r="CG751" s="0"/>
      <c r="CH751" s="0"/>
      <c r="CI751" s="0"/>
      <c r="CJ751" s="0"/>
      <c r="CK751" s="0"/>
      <c r="CL751" s="0"/>
      <c r="CM751" s="0"/>
      <c r="CN751" s="0"/>
      <c r="CO751" s="0"/>
      <c r="CP751" s="0"/>
      <c r="CQ751" s="0"/>
      <c r="CR751" s="0"/>
      <c r="CS751" s="0"/>
      <c r="CT751" s="0"/>
      <c r="CU751" s="0"/>
      <c r="CV751" s="0"/>
      <c r="CW751" s="0"/>
      <c r="CX751" s="0"/>
      <c r="CY751" s="0"/>
      <c r="CZ751" s="0"/>
      <c r="DA751" s="0"/>
      <c r="DB751" s="0"/>
      <c r="DC751" s="0"/>
      <c r="DD751" s="0"/>
      <c r="DE751" s="0"/>
      <c r="DF751" s="0"/>
      <c r="DG751" s="0"/>
      <c r="DH751" s="0"/>
      <c r="DI751" s="0"/>
      <c r="DJ751" s="0"/>
      <c r="DK751" s="0"/>
      <c r="DL751" s="0"/>
      <c r="DM751" s="0"/>
      <c r="DN751" s="0"/>
      <c r="DO751" s="0"/>
      <c r="DP751" s="0"/>
      <c r="DQ751" s="0"/>
      <c r="DR751" s="0"/>
      <c r="DS751" s="0"/>
      <c r="DT751" s="0"/>
      <c r="DU751" s="0"/>
      <c r="DV751" s="0"/>
      <c r="DW751" s="0"/>
      <c r="DX751" s="0"/>
      <c r="DY751" s="0"/>
      <c r="DZ751" s="0"/>
      <c r="EA751" s="0"/>
      <c r="EB751" s="0"/>
      <c r="EC751" s="0"/>
      <c r="ED751" s="0"/>
      <c r="EE751" s="0"/>
      <c r="EF751" s="0"/>
      <c r="EG751" s="0"/>
      <c r="EH751" s="0"/>
      <c r="EI751" s="0"/>
      <c r="EJ751" s="0"/>
      <c r="EK751" s="0"/>
      <c r="EL751" s="0"/>
      <c r="EM751" s="0"/>
      <c r="EN751" s="0"/>
      <c r="EO751" s="0"/>
      <c r="EP751" s="0"/>
      <c r="EQ751" s="0"/>
      <c r="ER751" s="0"/>
      <c r="ES751" s="0"/>
      <c r="ET751" s="0"/>
      <c r="EU751" s="0"/>
      <c r="EV751" s="0"/>
      <c r="EW751" s="0"/>
      <c r="EX751" s="0"/>
      <c r="EY751" s="0"/>
      <c r="EZ751" s="0"/>
      <c r="FA751" s="0"/>
      <c r="FB751" s="0"/>
      <c r="FC751" s="0"/>
      <c r="FD751" s="0"/>
      <c r="FE751" s="0"/>
      <c r="FF751" s="0"/>
      <c r="FG751" s="0"/>
      <c r="FH751" s="0"/>
      <c r="FI751" s="0"/>
      <c r="FJ751" s="0"/>
      <c r="FK751" s="0"/>
      <c r="FL751" s="0"/>
      <c r="FM751" s="0"/>
      <c r="FN751" s="0"/>
      <c r="FO751" s="0"/>
      <c r="FP751" s="0"/>
      <c r="FQ751" s="0"/>
      <c r="FR751" s="0"/>
      <c r="FS751" s="0"/>
      <c r="FT751" s="0"/>
      <c r="FU751" s="0"/>
      <c r="FV751" s="0"/>
      <c r="FW751" s="0"/>
      <c r="FX751" s="0"/>
      <c r="FY751" s="0"/>
      <c r="FZ751" s="0"/>
      <c r="GA751" s="0"/>
      <c r="GB751" s="0"/>
      <c r="GC751" s="0"/>
      <c r="GD751" s="0"/>
      <c r="GE751" s="0"/>
      <c r="GF751" s="0"/>
      <c r="GG751" s="0"/>
      <c r="GH751" s="0"/>
      <c r="GI751" s="0"/>
      <c r="GJ751" s="0"/>
      <c r="GK751" s="0"/>
      <c r="GL751" s="0"/>
      <c r="GM751" s="0"/>
      <c r="GN751" s="0"/>
      <c r="GO751" s="0"/>
      <c r="GP751" s="0"/>
      <c r="GQ751" s="0"/>
      <c r="GR751" s="0"/>
      <c r="GS751" s="0"/>
      <c r="GT751" s="0"/>
      <c r="GU751" s="0"/>
      <c r="GV751" s="0"/>
      <c r="GW751" s="0"/>
      <c r="GX751" s="0"/>
      <c r="GY751" s="0"/>
      <c r="GZ751" s="0"/>
      <c r="HA751" s="0"/>
      <c r="HB751" s="0"/>
      <c r="HC751" s="0"/>
      <c r="HD751" s="0"/>
      <c r="HE751" s="0"/>
      <c r="HF751" s="0"/>
      <c r="HG751" s="0"/>
      <c r="HH751" s="0"/>
      <c r="HI751" s="0"/>
      <c r="HJ751" s="0"/>
      <c r="HK751" s="0"/>
      <c r="HL751" s="0"/>
      <c r="HM751" s="0"/>
      <c r="HN751" s="0"/>
      <c r="HO751" s="0"/>
      <c r="HP751" s="0"/>
      <c r="HQ751" s="0"/>
      <c r="HR751" s="0"/>
      <c r="HS751" s="0"/>
      <c r="HT751" s="0"/>
      <c r="HU751" s="0"/>
      <c r="HV751" s="0"/>
      <c r="HW751" s="0"/>
      <c r="HX751" s="0"/>
      <c r="HY751" s="0"/>
      <c r="HZ751" s="0"/>
      <c r="IA751" s="0"/>
      <c r="IB751" s="0"/>
      <c r="IC751" s="0"/>
      <c r="ID751" s="0"/>
      <c r="IE751" s="0"/>
      <c r="IF751" s="0"/>
      <c r="IG751" s="0"/>
      <c r="IH751" s="0"/>
      <c r="II751" s="0"/>
      <c r="IJ751" s="0"/>
      <c r="IK751" s="0"/>
      <c r="IL751" s="0"/>
      <c r="IM751" s="0"/>
      <c r="IN751" s="0"/>
      <c r="IO751" s="0"/>
      <c r="IP751" s="0"/>
      <c r="IQ751" s="0"/>
      <c r="IR751" s="0"/>
      <c r="IS751" s="0"/>
      <c r="IT751" s="0"/>
      <c r="IU751" s="0"/>
      <c r="IV751" s="0"/>
    </row>
    <row r="752" customFormat="false" ht="18.75" hidden="false" customHeight="true" outlineLevel="0" collapsed="false">
      <c r="A752" s="1148" t="s">
        <v>1513</v>
      </c>
      <c r="B752" s="1148"/>
      <c r="C752" s="1148"/>
      <c r="D752" s="1148"/>
      <c r="E752" s="1148"/>
      <c r="F752" s="55"/>
      <c r="G752" s="446"/>
      <c r="H752" s="19"/>
      <c r="I752" s="19"/>
      <c r="J752" s="667"/>
      <c r="K752" s="903"/>
      <c r="L752" s="877"/>
      <c r="M752" s="0"/>
      <c r="N752" s="0"/>
      <c r="O752" s="0"/>
      <c r="P752" s="0"/>
      <c r="Q752" s="0"/>
      <c r="R752" s="0"/>
      <c r="S752" s="0"/>
      <c r="T752" s="0"/>
      <c r="U752" s="0"/>
      <c r="V752" s="0"/>
      <c r="W752" s="0"/>
      <c r="X752" s="0"/>
      <c r="Y752" s="0"/>
      <c r="Z752" s="0"/>
      <c r="AA752" s="0"/>
      <c r="AB752" s="0"/>
      <c r="AC752" s="0"/>
      <c r="AD752" s="0"/>
      <c r="AE752" s="0"/>
      <c r="AF752" s="0"/>
      <c r="AG752" s="0"/>
      <c r="AH752" s="0"/>
      <c r="AI752" s="0"/>
      <c r="AJ752" s="0"/>
      <c r="AK752" s="0"/>
      <c r="AL752" s="0"/>
      <c r="AM752" s="0"/>
      <c r="AN752" s="0"/>
      <c r="AO752" s="0"/>
      <c r="AP752" s="0"/>
      <c r="AQ752" s="0"/>
      <c r="AR752" s="0"/>
      <c r="AS752" s="0"/>
      <c r="AT752" s="0"/>
      <c r="BS752" s="0"/>
      <c r="BT752" s="0"/>
      <c r="BU752" s="0"/>
      <c r="BV752" s="0"/>
      <c r="BW752" s="0"/>
      <c r="BX752" s="0"/>
      <c r="BY752" s="0"/>
      <c r="BZ752" s="0"/>
      <c r="CA752" s="0"/>
      <c r="CB752" s="0"/>
      <c r="CC752" s="0"/>
      <c r="CD752" s="0"/>
      <c r="CE752" s="0"/>
      <c r="CF752" s="0"/>
      <c r="CG752" s="0"/>
      <c r="CH752" s="0"/>
      <c r="CI752" s="0"/>
      <c r="CJ752" s="0"/>
      <c r="CK752" s="0"/>
      <c r="CL752" s="0"/>
      <c r="CM752" s="0"/>
      <c r="CN752" s="0"/>
      <c r="CO752" s="0"/>
      <c r="CP752" s="0"/>
      <c r="CQ752" s="0"/>
      <c r="CR752" s="0"/>
      <c r="CS752" s="0"/>
      <c r="CT752" s="0"/>
      <c r="CU752" s="0"/>
      <c r="CV752" s="0"/>
      <c r="CW752" s="0"/>
      <c r="CX752" s="0"/>
      <c r="CY752" s="0"/>
      <c r="CZ752" s="0"/>
      <c r="DA752" s="0"/>
      <c r="DB752" s="0"/>
      <c r="DC752" s="0"/>
      <c r="DD752" s="0"/>
      <c r="DE752" s="0"/>
      <c r="DF752" s="0"/>
      <c r="DG752" s="0"/>
      <c r="DH752" s="0"/>
      <c r="DI752" s="0"/>
      <c r="DJ752" s="0"/>
      <c r="DK752" s="0"/>
      <c r="DL752" s="0"/>
      <c r="DM752" s="0"/>
      <c r="DN752" s="0"/>
      <c r="DO752" s="0"/>
      <c r="DP752" s="0"/>
      <c r="DQ752" s="0"/>
      <c r="DR752" s="0"/>
      <c r="DS752" s="0"/>
      <c r="DT752" s="0"/>
      <c r="DU752" s="0"/>
      <c r="DV752" s="0"/>
      <c r="DW752" s="0"/>
      <c r="DX752" s="0"/>
      <c r="DY752" s="0"/>
      <c r="DZ752" s="0"/>
      <c r="EA752" s="0"/>
      <c r="EB752" s="0"/>
      <c r="EC752" s="0"/>
      <c r="ED752" s="0"/>
      <c r="EE752" s="0"/>
      <c r="EF752" s="0"/>
      <c r="EG752" s="0"/>
      <c r="EH752" s="0"/>
      <c r="EI752" s="0"/>
      <c r="EJ752" s="0"/>
      <c r="EK752" s="0"/>
      <c r="EL752" s="0"/>
      <c r="EM752" s="0"/>
      <c r="EN752" s="0"/>
      <c r="EO752" s="0"/>
      <c r="EP752" s="0"/>
      <c r="EQ752" s="0"/>
      <c r="ER752" s="0"/>
      <c r="ES752" s="0"/>
      <c r="ET752" s="0"/>
      <c r="EU752" s="0"/>
      <c r="EV752" s="0"/>
      <c r="EW752" s="0"/>
      <c r="EX752" s="0"/>
      <c r="EY752" s="0"/>
      <c r="EZ752" s="0"/>
      <c r="FA752" s="0"/>
      <c r="FB752" s="0"/>
      <c r="FC752" s="0"/>
      <c r="FD752" s="0"/>
      <c r="FE752" s="0"/>
      <c r="FF752" s="0"/>
      <c r="FG752" s="0"/>
      <c r="FH752" s="0"/>
      <c r="FI752" s="0"/>
      <c r="FJ752" s="0"/>
      <c r="FK752" s="0"/>
      <c r="FL752" s="0"/>
      <c r="FM752" s="0"/>
      <c r="FN752" s="0"/>
      <c r="FO752" s="0"/>
      <c r="FP752" s="0"/>
      <c r="FQ752" s="0"/>
      <c r="FR752" s="0"/>
      <c r="FS752" s="0"/>
      <c r="FT752" s="0"/>
      <c r="FU752" s="0"/>
      <c r="FV752" s="0"/>
      <c r="FW752" s="0"/>
      <c r="FX752" s="0"/>
      <c r="FY752" s="0"/>
      <c r="FZ752" s="0"/>
      <c r="GA752" s="0"/>
      <c r="GB752" s="0"/>
      <c r="GC752" s="0"/>
      <c r="GD752" s="0"/>
      <c r="GE752" s="0"/>
      <c r="GF752" s="0"/>
      <c r="GG752" s="0"/>
      <c r="GH752" s="0"/>
      <c r="GI752" s="0"/>
      <c r="GJ752" s="0"/>
      <c r="GK752" s="0"/>
      <c r="GL752" s="0"/>
      <c r="GM752" s="0"/>
      <c r="GN752" s="0"/>
      <c r="GO752" s="0"/>
      <c r="GP752" s="0"/>
      <c r="GQ752" s="0"/>
      <c r="GR752" s="0"/>
      <c r="GS752" s="0"/>
      <c r="GT752" s="0"/>
      <c r="GU752" s="0"/>
      <c r="GV752" s="0"/>
      <c r="GW752" s="0"/>
      <c r="GX752" s="0"/>
      <c r="GY752" s="0"/>
      <c r="GZ752" s="0"/>
      <c r="HA752" s="0"/>
      <c r="HB752" s="0"/>
      <c r="HC752" s="0"/>
      <c r="HD752" s="0"/>
      <c r="HE752" s="0"/>
      <c r="HF752" s="0"/>
      <c r="HG752" s="0"/>
      <c r="HH752" s="0"/>
      <c r="HI752" s="0"/>
      <c r="HJ752" s="0"/>
      <c r="HK752" s="0"/>
      <c r="HL752" s="0"/>
      <c r="HM752" s="0"/>
      <c r="HN752" s="0"/>
      <c r="HO752" s="0"/>
      <c r="HP752" s="0"/>
      <c r="HQ752" s="0"/>
      <c r="HR752" s="0"/>
      <c r="HS752" s="0"/>
      <c r="HT752" s="0"/>
      <c r="HU752" s="0"/>
      <c r="HV752" s="0"/>
      <c r="HW752" s="0"/>
      <c r="HX752" s="0"/>
      <c r="HY752" s="0"/>
      <c r="HZ752" s="0"/>
      <c r="IA752" s="0"/>
      <c r="IB752" s="0"/>
      <c r="IC752" s="0"/>
      <c r="ID752" s="0"/>
      <c r="IE752" s="0"/>
      <c r="IF752" s="0"/>
      <c r="IG752" s="0"/>
      <c r="IH752" s="0"/>
      <c r="II752" s="0"/>
      <c r="IJ752" s="0"/>
      <c r="IK752" s="0"/>
      <c r="IL752" s="0"/>
      <c r="IM752" s="0"/>
      <c r="IN752" s="0"/>
      <c r="IO752" s="0"/>
      <c r="IP752" s="0"/>
      <c r="IQ752" s="0"/>
      <c r="IR752" s="0"/>
      <c r="IS752" s="0"/>
      <c r="IT752" s="0"/>
      <c r="IU752" s="0"/>
      <c r="IV752" s="0"/>
    </row>
    <row r="753" customFormat="false" ht="18.75" hidden="false" customHeight="true" outlineLevel="0" collapsed="false">
      <c r="A753" s="1148" t="s">
        <v>1514</v>
      </c>
      <c r="B753" s="1148"/>
      <c r="C753" s="1148"/>
      <c r="D753" s="1148"/>
      <c r="E753" s="1148"/>
      <c r="F753" s="55"/>
      <c r="G753" s="446"/>
      <c r="H753" s="19"/>
      <c r="I753" s="19"/>
      <c r="J753" s="667"/>
      <c r="K753" s="903"/>
      <c r="L753" s="877"/>
      <c r="M753" s="0"/>
      <c r="N753" s="0"/>
      <c r="O753" s="0"/>
      <c r="P753" s="0"/>
      <c r="Q753" s="0"/>
      <c r="R753" s="0"/>
      <c r="S753" s="0"/>
      <c r="T753" s="0"/>
      <c r="U753" s="0"/>
      <c r="V753" s="0"/>
      <c r="W753" s="0"/>
      <c r="X753" s="0"/>
      <c r="Y753" s="0"/>
      <c r="Z753" s="0"/>
      <c r="AA753" s="0"/>
      <c r="AB753" s="0"/>
      <c r="AC753" s="0"/>
      <c r="AD753" s="0"/>
      <c r="AE753" s="0"/>
      <c r="AF753" s="0"/>
      <c r="AG753" s="0"/>
      <c r="AH753" s="0"/>
      <c r="AI753" s="0"/>
      <c r="AJ753" s="0"/>
      <c r="AK753" s="0"/>
      <c r="AL753" s="0"/>
      <c r="AM753" s="0"/>
      <c r="AN753" s="0"/>
      <c r="AO753" s="0"/>
      <c r="AP753" s="0"/>
      <c r="AQ753" s="0"/>
      <c r="AR753" s="0"/>
      <c r="AS753" s="0"/>
      <c r="AT753" s="0"/>
      <c r="BS753" s="0"/>
      <c r="BT753" s="0"/>
      <c r="BU753" s="0"/>
      <c r="BV753" s="0"/>
      <c r="BW753" s="0"/>
      <c r="BX753" s="0"/>
      <c r="BY753" s="0"/>
      <c r="BZ753" s="0"/>
      <c r="CA753" s="0"/>
      <c r="CB753" s="0"/>
      <c r="CC753" s="0"/>
      <c r="CD753" s="0"/>
      <c r="CE753" s="0"/>
      <c r="CF753" s="0"/>
      <c r="CG753" s="0"/>
      <c r="CH753" s="0"/>
      <c r="CI753" s="0"/>
      <c r="CJ753" s="0"/>
      <c r="CK753" s="0"/>
      <c r="CL753" s="0"/>
      <c r="CM753" s="0"/>
      <c r="CN753" s="0"/>
      <c r="CO753" s="0"/>
      <c r="CP753" s="0"/>
      <c r="CQ753" s="0"/>
      <c r="CR753" s="0"/>
      <c r="CS753" s="0"/>
      <c r="CT753" s="0"/>
      <c r="CU753" s="0"/>
      <c r="CV753" s="0"/>
      <c r="CW753" s="0"/>
      <c r="CX753" s="0"/>
      <c r="CY753" s="0"/>
      <c r="CZ753" s="0"/>
      <c r="DA753" s="0"/>
      <c r="DB753" s="0"/>
      <c r="DC753" s="0"/>
      <c r="DD753" s="0"/>
      <c r="DE753" s="0"/>
      <c r="DF753" s="0"/>
      <c r="DG753" s="0"/>
      <c r="DH753" s="0"/>
      <c r="DI753" s="0"/>
      <c r="DJ753" s="0"/>
      <c r="DK753" s="0"/>
      <c r="DL753" s="0"/>
      <c r="DM753" s="0"/>
      <c r="DN753" s="0"/>
      <c r="DO753" s="0"/>
      <c r="DP753" s="0"/>
      <c r="DQ753" s="0"/>
      <c r="DR753" s="0"/>
      <c r="DS753" s="0"/>
      <c r="DT753" s="0"/>
      <c r="DU753" s="0"/>
      <c r="DV753" s="0"/>
      <c r="DW753" s="0"/>
      <c r="DX753" s="0"/>
      <c r="DY753" s="0"/>
      <c r="DZ753" s="0"/>
      <c r="EA753" s="0"/>
      <c r="EB753" s="0"/>
      <c r="EC753" s="0"/>
      <c r="ED753" s="0"/>
      <c r="EE753" s="0"/>
      <c r="EF753" s="0"/>
      <c r="EG753" s="0"/>
      <c r="EH753" s="0"/>
      <c r="EI753" s="0"/>
      <c r="EJ753" s="0"/>
      <c r="EK753" s="0"/>
      <c r="EL753" s="0"/>
      <c r="EM753" s="0"/>
      <c r="EN753" s="0"/>
      <c r="EO753" s="0"/>
      <c r="EP753" s="0"/>
      <c r="EQ753" s="0"/>
      <c r="ER753" s="0"/>
      <c r="ES753" s="0"/>
      <c r="ET753" s="0"/>
      <c r="EU753" s="0"/>
      <c r="EV753" s="0"/>
      <c r="EW753" s="0"/>
      <c r="EX753" s="0"/>
      <c r="EY753" s="0"/>
      <c r="EZ753" s="0"/>
      <c r="FA753" s="0"/>
      <c r="FB753" s="0"/>
      <c r="FC753" s="0"/>
      <c r="FD753" s="0"/>
      <c r="FE753" s="0"/>
      <c r="FF753" s="0"/>
      <c r="FG753" s="0"/>
      <c r="FH753" s="0"/>
      <c r="FI753" s="0"/>
      <c r="FJ753" s="0"/>
      <c r="FK753" s="0"/>
      <c r="FL753" s="0"/>
      <c r="FM753" s="0"/>
      <c r="FN753" s="0"/>
      <c r="FO753" s="0"/>
      <c r="FP753" s="0"/>
      <c r="FQ753" s="0"/>
      <c r="FR753" s="0"/>
      <c r="FS753" s="0"/>
      <c r="FT753" s="0"/>
      <c r="FU753" s="0"/>
      <c r="FV753" s="0"/>
      <c r="FW753" s="0"/>
      <c r="FX753" s="0"/>
      <c r="FY753" s="0"/>
      <c r="FZ753" s="0"/>
      <c r="GA753" s="0"/>
      <c r="GB753" s="0"/>
      <c r="GC753" s="0"/>
      <c r="GD753" s="0"/>
      <c r="GE753" s="0"/>
      <c r="GF753" s="0"/>
      <c r="GG753" s="0"/>
      <c r="GH753" s="0"/>
      <c r="GI753" s="0"/>
      <c r="GJ753" s="0"/>
      <c r="GK753" s="0"/>
      <c r="GL753" s="0"/>
      <c r="GM753" s="0"/>
      <c r="GN753" s="0"/>
      <c r="GO753" s="0"/>
      <c r="GP753" s="0"/>
      <c r="GQ753" s="0"/>
      <c r="GR753" s="0"/>
      <c r="GS753" s="0"/>
      <c r="GT753" s="0"/>
      <c r="GU753" s="0"/>
      <c r="GV753" s="0"/>
      <c r="GW753" s="0"/>
      <c r="GX753" s="0"/>
      <c r="GY753" s="0"/>
      <c r="GZ753" s="0"/>
      <c r="HA753" s="0"/>
      <c r="HB753" s="0"/>
      <c r="HC753" s="0"/>
      <c r="HD753" s="0"/>
      <c r="HE753" s="0"/>
      <c r="HF753" s="0"/>
      <c r="HG753" s="0"/>
      <c r="HH753" s="0"/>
      <c r="HI753" s="0"/>
      <c r="HJ753" s="0"/>
      <c r="HK753" s="0"/>
      <c r="HL753" s="0"/>
      <c r="HM753" s="0"/>
      <c r="HN753" s="0"/>
      <c r="HO753" s="0"/>
      <c r="HP753" s="0"/>
      <c r="HQ753" s="0"/>
      <c r="HR753" s="0"/>
      <c r="HS753" s="0"/>
      <c r="HT753" s="0"/>
      <c r="HU753" s="0"/>
      <c r="HV753" s="0"/>
      <c r="HW753" s="0"/>
      <c r="HX753" s="0"/>
      <c r="HY753" s="0"/>
      <c r="HZ753" s="0"/>
      <c r="IA753" s="0"/>
      <c r="IB753" s="0"/>
      <c r="IC753" s="0"/>
      <c r="ID753" s="0"/>
      <c r="IE753" s="0"/>
      <c r="IF753" s="0"/>
      <c r="IG753" s="0"/>
      <c r="IH753" s="0"/>
      <c r="II753" s="0"/>
      <c r="IJ753" s="0"/>
      <c r="IK753" s="0"/>
      <c r="IL753" s="0"/>
      <c r="IM753" s="0"/>
      <c r="IN753" s="0"/>
      <c r="IO753" s="0"/>
      <c r="IP753" s="0"/>
      <c r="IQ753" s="0"/>
      <c r="IR753" s="0"/>
      <c r="IS753" s="0"/>
      <c r="IT753" s="0"/>
      <c r="IU753" s="0"/>
      <c r="IV753" s="0"/>
    </row>
    <row r="754" customFormat="false" ht="18.75" hidden="false" customHeight="true" outlineLevel="0" collapsed="false">
      <c r="A754" s="1148" t="s">
        <v>1515</v>
      </c>
      <c r="B754" s="1148"/>
      <c r="C754" s="1148"/>
      <c r="D754" s="1148"/>
      <c r="E754" s="1148"/>
      <c r="F754" s="55"/>
      <c r="G754" s="446"/>
      <c r="H754" s="19"/>
      <c r="I754" s="19"/>
      <c r="J754" s="667"/>
      <c r="K754" s="903"/>
      <c r="L754" s="877"/>
      <c r="M754" s="0"/>
      <c r="N754" s="0"/>
      <c r="O754" s="0"/>
      <c r="P754" s="0"/>
      <c r="Q754" s="0"/>
      <c r="R754" s="0"/>
      <c r="S754" s="0"/>
      <c r="T754" s="0"/>
      <c r="U754" s="0"/>
      <c r="V754" s="0"/>
      <c r="W754" s="0"/>
      <c r="X754" s="0"/>
      <c r="Y754" s="0"/>
      <c r="Z754" s="0"/>
      <c r="AA754" s="0"/>
      <c r="AB754" s="0"/>
      <c r="AC754" s="0"/>
      <c r="AD754" s="0"/>
      <c r="AE754" s="0"/>
      <c r="AF754" s="0"/>
      <c r="AG754" s="0"/>
      <c r="AH754" s="0"/>
      <c r="AI754" s="0"/>
      <c r="AJ754" s="0"/>
      <c r="AK754" s="0"/>
      <c r="AL754" s="0"/>
      <c r="AM754" s="0"/>
      <c r="AN754" s="0"/>
      <c r="AO754" s="0"/>
      <c r="AP754" s="0"/>
      <c r="AQ754" s="0"/>
      <c r="AR754" s="0"/>
      <c r="AS754" s="0"/>
      <c r="AT754" s="0"/>
      <c r="BS754" s="0"/>
      <c r="BT754" s="0"/>
      <c r="BU754" s="0"/>
      <c r="BV754" s="0"/>
      <c r="BW754" s="0"/>
      <c r="BX754" s="0"/>
      <c r="BY754" s="0"/>
      <c r="BZ754" s="0"/>
      <c r="CA754" s="0"/>
      <c r="CB754" s="0"/>
      <c r="CC754" s="0"/>
      <c r="CD754" s="0"/>
      <c r="CE754" s="0"/>
      <c r="CF754" s="0"/>
      <c r="CG754" s="0"/>
      <c r="CH754" s="0"/>
      <c r="CI754" s="0"/>
      <c r="CJ754" s="0"/>
      <c r="CK754" s="0"/>
      <c r="CL754" s="0"/>
      <c r="CM754" s="0"/>
      <c r="CN754" s="0"/>
      <c r="CO754" s="0"/>
      <c r="CP754" s="0"/>
      <c r="CQ754" s="0"/>
      <c r="CR754" s="0"/>
      <c r="CS754" s="0"/>
      <c r="CT754" s="0"/>
      <c r="CU754" s="0"/>
      <c r="CV754" s="0"/>
      <c r="CW754" s="0"/>
      <c r="CX754" s="0"/>
      <c r="CY754" s="0"/>
      <c r="CZ754" s="0"/>
      <c r="DA754" s="0"/>
      <c r="DB754" s="0"/>
      <c r="DC754" s="0"/>
      <c r="DD754" s="0"/>
      <c r="DE754" s="0"/>
      <c r="DF754" s="0"/>
      <c r="DG754" s="0"/>
      <c r="DH754" s="0"/>
      <c r="DI754" s="0"/>
      <c r="DJ754" s="0"/>
      <c r="DK754" s="0"/>
      <c r="DL754" s="0"/>
      <c r="DM754" s="0"/>
      <c r="DN754" s="0"/>
      <c r="DO754" s="0"/>
      <c r="DP754" s="0"/>
      <c r="DQ754" s="0"/>
      <c r="DR754" s="0"/>
      <c r="DS754" s="0"/>
      <c r="DT754" s="0"/>
      <c r="DU754" s="0"/>
      <c r="DV754" s="0"/>
      <c r="DW754" s="0"/>
      <c r="DX754" s="0"/>
      <c r="DY754" s="0"/>
      <c r="DZ754" s="0"/>
      <c r="EA754" s="0"/>
      <c r="EB754" s="0"/>
      <c r="EC754" s="0"/>
      <c r="ED754" s="0"/>
      <c r="EE754" s="0"/>
      <c r="EF754" s="0"/>
      <c r="EG754" s="0"/>
      <c r="EH754" s="0"/>
      <c r="EI754" s="0"/>
      <c r="EJ754" s="0"/>
      <c r="EK754" s="0"/>
      <c r="EL754" s="0"/>
      <c r="EM754" s="0"/>
      <c r="EN754" s="0"/>
      <c r="EO754" s="0"/>
      <c r="EP754" s="0"/>
      <c r="EQ754" s="0"/>
      <c r="ER754" s="0"/>
      <c r="ES754" s="0"/>
      <c r="ET754" s="0"/>
      <c r="EU754" s="0"/>
      <c r="EV754" s="0"/>
      <c r="EW754" s="0"/>
      <c r="EX754" s="0"/>
      <c r="EY754" s="0"/>
      <c r="EZ754" s="0"/>
      <c r="FA754" s="0"/>
      <c r="FB754" s="0"/>
      <c r="FC754" s="0"/>
      <c r="FD754" s="0"/>
      <c r="FE754" s="0"/>
      <c r="FF754" s="0"/>
      <c r="FG754" s="0"/>
      <c r="FH754" s="0"/>
      <c r="FI754" s="0"/>
      <c r="FJ754" s="0"/>
      <c r="FK754" s="0"/>
      <c r="FL754" s="0"/>
      <c r="FM754" s="0"/>
      <c r="FN754" s="0"/>
      <c r="FO754" s="0"/>
      <c r="FP754" s="0"/>
      <c r="FQ754" s="0"/>
      <c r="FR754" s="0"/>
      <c r="FS754" s="0"/>
      <c r="FT754" s="0"/>
      <c r="FU754" s="0"/>
      <c r="FV754" s="0"/>
      <c r="FW754" s="0"/>
      <c r="FX754" s="0"/>
      <c r="FY754" s="0"/>
      <c r="FZ754" s="0"/>
      <c r="GA754" s="0"/>
      <c r="GB754" s="0"/>
      <c r="GC754" s="0"/>
      <c r="GD754" s="0"/>
      <c r="GE754" s="0"/>
      <c r="GF754" s="0"/>
      <c r="GG754" s="0"/>
      <c r="GH754" s="0"/>
      <c r="GI754" s="0"/>
      <c r="GJ754" s="0"/>
      <c r="GK754" s="0"/>
      <c r="GL754" s="0"/>
      <c r="GM754" s="0"/>
      <c r="GN754" s="0"/>
      <c r="GO754" s="0"/>
      <c r="GP754" s="0"/>
      <c r="GQ754" s="0"/>
      <c r="GR754" s="0"/>
      <c r="GS754" s="0"/>
      <c r="GT754" s="0"/>
      <c r="GU754" s="0"/>
      <c r="GV754" s="0"/>
      <c r="GW754" s="0"/>
      <c r="GX754" s="0"/>
      <c r="GY754" s="0"/>
      <c r="GZ754" s="0"/>
      <c r="HA754" s="0"/>
      <c r="HB754" s="0"/>
      <c r="HC754" s="0"/>
      <c r="HD754" s="0"/>
      <c r="HE754" s="0"/>
      <c r="HF754" s="0"/>
      <c r="HG754" s="0"/>
      <c r="HH754" s="0"/>
      <c r="HI754" s="0"/>
      <c r="HJ754" s="0"/>
      <c r="HK754" s="0"/>
      <c r="HL754" s="0"/>
      <c r="HM754" s="0"/>
      <c r="HN754" s="0"/>
      <c r="HO754" s="0"/>
      <c r="HP754" s="0"/>
      <c r="HQ754" s="0"/>
      <c r="HR754" s="0"/>
      <c r="HS754" s="0"/>
      <c r="HT754" s="0"/>
      <c r="HU754" s="0"/>
      <c r="HV754" s="0"/>
      <c r="HW754" s="0"/>
      <c r="HX754" s="0"/>
      <c r="HY754" s="0"/>
      <c r="HZ754" s="0"/>
      <c r="IA754" s="0"/>
      <c r="IB754" s="0"/>
      <c r="IC754" s="0"/>
      <c r="ID754" s="0"/>
      <c r="IE754" s="0"/>
      <c r="IF754" s="0"/>
      <c r="IG754" s="0"/>
      <c r="IH754" s="0"/>
      <c r="II754" s="0"/>
      <c r="IJ754" s="0"/>
      <c r="IK754" s="0"/>
      <c r="IL754" s="0"/>
      <c r="IM754" s="0"/>
      <c r="IN754" s="0"/>
      <c r="IO754" s="0"/>
      <c r="IP754" s="0"/>
      <c r="IQ754" s="0"/>
      <c r="IR754" s="0"/>
      <c r="IS754" s="0"/>
      <c r="IT754" s="0"/>
      <c r="IU754" s="0"/>
      <c r="IV754" s="0"/>
    </row>
    <row r="755" customFormat="false" ht="15.75" hidden="false" customHeight="true" outlineLevel="0" collapsed="false">
      <c r="J755" s="11"/>
      <c r="N755" s="0"/>
      <c r="O755" s="0"/>
      <c r="P755" s="0"/>
      <c r="Q755" s="0"/>
      <c r="R755" s="0"/>
      <c r="S755" s="0"/>
      <c r="T755" s="0"/>
      <c r="U755" s="0"/>
      <c r="V755" s="0"/>
      <c r="W755" s="0"/>
      <c r="X755" s="0"/>
    </row>
    <row r="756" customFormat="false" ht="15.75" hidden="false" customHeight="true" outlineLevel="0" collapsed="false">
      <c r="J756" s="11"/>
      <c r="N756" s="0"/>
      <c r="O756" s="0"/>
      <c r="P756" s="0"/>
      <c r="Q756" s="0"/>
      <c r="R756" s="0"/>
      <c r="S756" s="0"/>
      <c r="T756" s="0"/>
      <c r="U756" s="0"/>
      <c r="V756" s="0"/>
      <c r="W756" s="0"/>
      <c r="X756" s="0"/>
    </row>
    <row r="757" customFormat="false" ht="20.1" hidden="false" customHeight="true" outlineLevel="0" collapsed="false">
      <c r="A757" s="869" t="s">
        <v>1516</v>
      </c>
      <c r="B757" s="869"/>
      <c r="C757" s="869"/>
      <c r="D757" s="869"/>
      <c r="E757" s="869"/>
      <c r="F757" s="869"/>
      <c r="G757" s="869"/>
      <c r="H757" s="53"/>
      <c r="I757" s="53"/>
      <c r="J757" s="53"/>
      <c r="K757" s="870"/>
      <c r="L757" s="871" t="s">
        <v>1517</v>
      </c>
      <c r="M757" s="0"/>
      <c r="N757" s="0"/>
      <c r="O757" s="0"/>
      <c r="P757" s="0"/>
      <c r="Q757" s="0"/>
      <c r="R757" s="0"/>
      <c r="S757" s="0"/>
      <c r="T757" s="0"/>
      <c r="U757" s="0"/>
      <c r="V757" s="0"/>
      <c r="W757" s="0"/>
      <c r="X757" s="0"/>
      <c r="Y757" s="0"/>
      <c r="Z757" s="0"/>
      <c r="AA757" s="0"/>
      <c r="AB757" s="0"/>
      <c r="AC757" s="0"/>
      <c r="AD757" s="0"/>
      <c r="AE757" s="0"/>
      <c r="AF757" s="0"/>
      <c r="AG757" s="0"/>
      <c r="AH757" s="0"/>
      <c r="AI757" s="0"/>
      <c r="AJ757" s="0"/>
      <c r="AK757" s="0"/>
      <c r="AL757" s="0"/>
      <c r="AM757" s="0"/>
      <c r="AN757" s="0"/>
      <c r="AO757" s="0"/>
      <c r="AP757" s="0"/>
      <c r="AQ757" s="0"/>
      <c r="AR757" s="0"/>
      <c r="AS757" s="0"/>
      <c r="AT757" s="0"/>
      <c r="BS757" s="0"/>
      <c r="BT757" s="0"/>
      <c r="BU757" s="0"/>
      <c r="BV757" s="0"/>
      <c r="BW757" s="0"/>
      <c r="BX757" s="0"/>
      <c r="BY757" s="0"/>
      <c r="BZ757" s="0"/>
      <c r="CA757" s="0"/>
      <c r="CB757" s="0"/>
      <c r="CC757" s="0"/>
      <c r="CD757" s="0"/>
      <c r="CE757" s="0"/>
      <c r="CF757" s="0"/>
      <c r="CG757" s="0"/>
      <c r="CH757" s="0"/>
      <c r="CI757" s="0"/>
      <c r="CJ757" s="0"/>
      <c r="CK757" s="0"/>
      <c r="CL757" s="0"/>
      <c r="CM757" s="0"/>
      <c r="CN757" s="0"/>
      <c r="CO757" s="0"/>
      <c r="CP757" s="0"/>
      <c r="CQ757" s="0"/>
      <c r="CR757" s="0"/>
      <c r="CS757" s="0"/>
      <c r="CT757" s="0"/>
      <c r="CU757" s="0"/>
      <c r="CV757" s="0"/>
      <c r="CW757" s="0"/>
      <c r="CX757" s="0"/>
      <c r="CY757" s="0"/>
      <c r="CZ757" s="0"/>
      <c r="DA757" s="0"/>
      <c r="DB757" s="0"/>
      <c r="DC757" s="0"/>
      <c r="DD757" s="0"/>
      <c r="DE757" s="0"/>
      <c r="DF757" s="0"/>
      <c r="DG757" s="0"/>
      <c r="DH757" s="0"/>
      <c r="DI757" s="0"/>
      <c r="DJ757" s="0"/>
      <c r="DK757" s="0"/>
      <c r="DL757" s="0"/>
      <c r="DM757" s="0"/>
      <c r="DN757" s="0"/>
      <c r="DO757" s="0"/>
      <c r="DP757" s="0"/>
      <c r="DQ757" s="0"/>
      <c r="DR757" s="0"/>
      <c r="DS757" s="0"/>
      <c r="DT757" s="0"/>
      <c r="DU757" s="0"/>
      <c r="DV757" s="0"/>
      <c r="DW757" s="0"/>
      <c r="DX757" s="0"/>
      <c r="DY757" s="0"/>
      <c r="DZ757" s="0"/>
      <c r="EA757" s="0"/>
      <c r="EB757" s="0"/>
      <c r="EC757" s="0"/>
      <c r="ED757" s="0"/>
      <c r="EE757" s="0"/>
      <c r="EF757" s="0"/>
      <c r="EG757" s="0"/>
      <c r="EH757" s="0"/>
      <c r="EI757" s="0"/>
      <c r="EJ757" s="0"/>
      <c r="EK757" s="0"/>
      <c r="EL757" s="0"/>
      <c r="EM757" s="0"/>
      <c r="EN757" s="0"/>
      <c r="EO757" s="0"/>
      <c r="EP757" s="0"/>
      <c r="EQ757" s="0"/>
      <c r="ER757" s="0"/>
      <c r="ES757" s="0"/>
      <c r="ET757" s="0"/>
      <c r="EU757" s="0"/>
      <c r="EV757" s="0"/>
      <c r="EW757" s="0"/>
      <c r="EX757" s="0"/>
      <c r="EY757" s="0"/>
      <c r="EZ757" s="0"/>
      <c r="FA757" s="0"/>
      <c r="FB757" s="0"/>
      <c r="FC757" s="0"/>
      <c r="FD757" s="0"/>
      <c r="FE757" s="0"/>
      <c r="FF757" s="0"/>
      <c r="FG757" s="0"/>
      <c r="FH757" s="0"/>
      <c r="FI757" s="0"/>
      <c r="FJ757" s="0"/>
      <c r="FK757" s="0"/>
      <c r="FL757" s="0"/>
      <c r="FM757" s="0"/>
      <c r="FN757" s="0"/>
      <c r="FO757" s="0"/>
      <c r="FP757" s="0"/>
      <c r="FQ757" s="0"/>
      <c r="FR757" s="0"/>
      <c r="FS757" s="0"/>
      <c r="FT757" s="0"/>
      <c r="FU757" s="0"/>
      <c r="FV757" s="0"/>
      <c r="FW757" s="0"/>
      <c r="FX757" s="0"/>
      <c r="FY757" s="0"/>
      <c r="FZ757" s="0"/>
      <c r="GA757" s="0"/>
      <c r="GB757" s="0"/>
      <c r="GC757" s="0"/>
      <c r="GD757" s="0"/>
      <c r="GE757" s="0"/>
      <c r="GF757" s="0"/>
      <c r="GG757" s="0"/>
      <c r="GH757" s="0"/>
      <c r="GI757" s="0"/>
      <c r="GJ757" s="0"/>
      <c r="GK757" s="0"/>
      <c r="GL757" s="0"/>
      <c r="GM757" s="0"/>
      <c r="GN757" s="0"/>
      <c r="GO757" s="0"/>
      <c r="GP757" s="0"/>
      <c r="GQ757" s="0"/>
      <c r="GR757" s="0"/>
      <c r="GS757" s="0"/>
      <c r="GT757" s="0"/>
      <c r="GU757" s="0"/>
      <c r="GV757" s="0"/>
      <c r="GW757" s="0"/>
      <c r="GX757" s="0"/>
      <c r="GY757" s="0"/>
      <c r="GZ757" s="0"/>
      <c r="HA757" s="0"/>
      <c r="HB757" s="0"/>
      <c r="HC757" s="0"/>
      <c r="HD757" s="0"/>
      <c r="HE757" s="0"/>
      <c r="HF757" s="0"/>
      <c r="HG757" s="0"/>
      <c r="HH757" s="0"/>
      <c r="HI757" s="0"/>
      <c r="HJ757" s="0"/>
      <c r="HK757" s="0"/>
      <c r="HL757" s="0"/>
      <c r="HM757" s="0"/>
      <c r="HN757" s="0"/>
      <c r="HO757" s="0"/>
      <c r="HP757" s="0"/>
      <c r="HQ757" s="0"/>
      <c r="HR757" s="0"/>
      <c r="HS757" s="0"/>
      <c r="HT757" s="0"/>
      <c r="HU757" s="0"/>
      <c r="HV757" s="0"/>
      <c r="HW757" s="0"/>
      <c r="HX757" s="0"/>
      <c r="HY757" s="0"/>
      <c r="HZ757" s="0"/>
      <c r="IA757" s="0"/>
      <c r="IB757" s="0"/>
      <c r="IC757" s="0"/>
      <c r="ID757" s="0"/>
      <c r="IE757" s="0"/>
      <c r="IF757" s="0"/>
      <c r="IG757" s="0"/>
      <c r="IH757" s="0"/>
      <c r="II757" s="0"/>
      <c r="IJ757" s="0"/>
      <c r="IK757" s="0"/>
      <c r="IL757" s="0"/>
      <c r="IM757" s="0"/>
      <c r="IN757" s="0"/>
      <c r="IO757" s="0"/>
      <c r="IP757" s="0"/>
      <c r="IQ757" s="0"/>
      <c r="IR757" s="0"/>
      <c r="IS757" s="0"/>
      <c r="IT757" s="0"/>
      <c r="IU757" s="0"/>
      <c r="IV757" s="0"/>
    </row>
    <row r="758" customFormat="false" ht="19.5" hidden="false" customHeight="true" outlineLevel="0" collapsed="false">
      <c r="A758" s="433"/>
      <c r="B758" s="19"/>
      <c r="C758" s="19"/>
      <c r="D758" s="0"/>
      <c r="E758" s="0"/>
      <c r="F758" s="0"/>
      <c r="G758" s="0"/>
      <c r="H758" s="0"/>
      <c r="I758" s="0"/>
      <c r="J758" s="0"/>
      <c r="K758" s="0"/>
      <c r="L758" s="0"/>
      <c r="M758" s="0"/>
      <c r="N758" s="0"/>
      <c r="O758" s="0"/>
      <c r="P758" s="0"/>
      <c r="Q758" s="0"/>
      <c r="R758" s="0"/>
      <c r="S758" s="0"/>
      <c r="T758" s="0"/>
      <c r="U758" s="0"/>
      <c r="V758" s="0"/>
      <c r="W758" s="0"/>
      <c r="X758" s="0"/>
      <c r="Y758" s="0"/>
      <c r="Z758" s="0"/>
      <c r="AA758" s="0"/>
      <c r="AB758" s="0"/>
      <c r="AC758" s="0"/>
      <c r="AD758" s="0"/>
      <c r="AE758" s="0"/>
      <c r="AF758" s="0"/>
      <c r="AG758" s="0"/>
      <c r="AH758" s="0"/>
      <c r="AI758" s="0"/>
      <c r="AJ758" s="0"/>
      <c r="AK758" s="0"/>
      <c r="AL758" s="0"/>
      <c r="AM758" s="0"/>
      <c r="AN758" s="0"/>
      <c r="AO758" s="0"/>
      <c r="AP758" s="0"/>
      <c r="AQ758" s="0"/>
      <c r="AR758" s="0"/>
      <c r="AS758" s="0"/>
      <c r="AT758" s="0"/>
      <c r="BS758" s="0"/>
      <c r="BT758" s="0"/>
      <c r="BU758" s="0"/>
      <c r="BV758" s="0"/>
      <c r="BW758" s="0"/>
      <c r="BX758" s="0"/>
      <c r="BY758" s="0"/>
      <c r="BZ758" s="0"/>
      <c r="CA758" s="0"/>
      <c r="CB758" s="0"/>
      <c r="CC758" s="0"/>
      <c r="CD758" s="0"/>
      <c r="CE758" s="0"/>
      <c r="CF758" s="0"/>
      <c r="CG758" s="0"/>
      <c r="CH758" s="0"/>
      <c r="CI758" s="0"/>
      <c r="CJ758" s="0"/>
      <c r="CK758" s="0"/>
      <c r="CL758" s="0"/>
      <c r="CM758" s="0"/>
      <c r="CN758" s="0"/>
      <c r="CO758" s="0"/>
      <c r="CP758" s="0"/>
      <c r="CQ758" s="0"/>
      <c r="CR758" s="0"/>
      <c r="CS758" s="0"/>
      <c r="CT758" s="0"/>
      <c r="CU758" s="0"/>
      <c r="CV758" s="0"/>
      <c r="CW758" s="0"/>
      <c r="CX758" s="0"/>
      <c r="CY758" s="0"/>
      <c r="CZ758" s="0"/>
      <c r="DA758" s="0"/>
      <c r="DB758" s="0"/>
      <c r="DC758" s="0"/>
      <c r="DD758" s="0"/>
      <c r="DE758" s="0"/>
      <c r="DF758" s="0"/>
      <c r="DG758" s="0"/>
      <c r="DH758" s="0"/>
      <c r="DI758" s="0"/>
      <c r="DJ758" s="0"/>
      <c r="DK758" s="0"/>
      <c r="DL758" s="0"/>
      <c r="DM758" s="0"/>
      <c r="DN758" s="0"/>
      <c r="DO758" s="0"/>
      <c r="DP758" s="0"/>
      <c r="DQ758" s="0"/>
      <c r="DR758" s="0"/>
      <c r="DS758" s="0"/>
      <c r="DT758" s="0"/>
      <c r="DU758" s="0"/>
      <c r="DV758" s="0"/>
      <c r="DW758" s="0"/>
      <c r="DX758" s="0"/>
      <c r="DY758" s="0"/>
      <c r="DZ758" s="0"/>
      <c r="EA758" s="0"/>
      <c r="EB758" s="0"/>
      <c r="EC758" s="0"/>
      <c r="ED758" s="0"/>
      <c r="EE758" s="0"/>
      <c r="EF758" s="0"/>
      <c r="EG758" s="0"/>
      <c r="EH758" s="0"/>
      <c r="EI758" s="0"/>
      <c r="EJ758" s="0"/>
      <c r="EK758" s="0"/>
      <c r="EL758" s="0"/>
      <c r="EM758" s="0"/>
      <c r="EN758" s="0"/>
      <c r="EO758" s="0"/>
      <c r="EP758" s="0"/>
      <c r="EQ758" s="0"/>
      <c r="ER758" s="0"/>
      <c r="ES758" s="0"/>
      <c r="ET758" s="0"/>
      <c r="EU758" s="0"/>
      <c r="EV758" s="0"/>
      <c r="EW758" s="0"/>
      <c r="EX758" s="0"/>
      <c r="EY758" s="0"/>
      <c r="EZ758" s="0"/>
      <c r="FA758" s="0"/>
      <c r="FB758" s="0"/>
      <c r="FC758" s="0"/>
      <c r="FD758" s="0"/>
      <c r="FE758" s="0"/>
      <c r="FF758" s="0"/>
      <c r="FG758" s="0"/>
      <c r="FH758" s="0"/>
      <c r="FI758" s="0"/>
      <c r="FJ758" s="0"/>
      <c r="FK758" s="0"/>
      <c r="FL758" s="0"/>
      <c r="FM758" s="0"/>
      <c r="FN758" s="0"/>
      <c r="FO758" s="0"/>
      <c r="FP758" s="0"/>
      <c r="FQ758" s="0"/>
      <c r="FR758" s="0"/>
      <c r="FS758" s="0"/>
      <c r="FT758" s="0"/>
      <c r="FU758" s="0"/>
      <c r="FV758" s="0"/>
      <c r="FW758" s="0"/>
      <c r="FX758" s="0"/>
      <c r="FY758" s="0"/>
      <c r="FZ758" s="0"/>
      <c r="GA758" s="0"/>
      <c r="GB758" s="0"/>
      <c r="GC758" s="0"/>
      <c r="GD758" s="0"/>
      <c r="GE758" s="0"/>
      <c r="GF758" s="0"/>
      <c r="GG758" s="0"/>
      <c r="GH758" s="0"/>
      <c r="GI758" s="0"/>
      <c r="GJ758" s="0"/>
      <c r="GK758" s="0"/>
      <c r="GL758" s="0"/>
      <c r="GM758" s="0"/>
      <c r="GN758" s="0"/>
      <c r="GO758" s="0"/>
      <c r="GP758" s="0"/>
      <c r="GQ758" s="0"/>
      <c r="GR758" s="0"/>
      <c r="GS758" s="0"/>
      <c r="GT758" s="0"/>
      <c r="GU758" s="0"/>
      <c r="GV758" s="0"/>
      <c r="GW758" s="0"/>
      <c r="GX758" s="0"/>
      <c r="GY758" s="0"/>
      <c r="GZ758" s="0"/>
      <c r="HA758" s="0"/>
      <c r="HB758" s="0"/>
      <c r="HC758" s="0"/>
      <c r="HD758" s="0"/>
      <c r="HE758" s="0"/>
      <c r="HF758" s="0"/>
      <c r="HG758" s="0"/>
      <c r="HH758" s="0"/>
      <c r="HI758" s="0"/>
      <c r="HJ758" s="0"/>
      <c r="HK758" s="0"/>
      <c r="HL758" s="0"/>
      <c r="HM758" s="0"/>
      <c r="HN758" s="0"/>
      <c r="HO758" s="0"/>
      <c r="HP758" s="0"/>
      <c r="HQ758" s="0"/>
      <c r="HR758" s="0"/>
      <c r="HS758" s="0"/>
      <c r="HT758" s="0"/>
      <c r="HU758" s="0"/>
      <c r="HV758" s="0"/>
      <c r="HW758" s="0"/>
      <c r="HX758" s="0"/>
      <c r="HY758" s="0"/>
      <c r="HZ758" s="0"/>
      <c r="IA758" s="0"/>
      <c r="IB758" s="0"/>
      <c r="IC758" s="0"/>
      <c r="ID758" s="0"/>
      <c r="IE758" s="0"/>
      <c r="IF758" s="0"/>
      <c r="IG758" s="0"/>
      <c r="IH758" s="0"/>
      <c r="II758" s="0"/>
      <c r="IJ758" s="0"/>
      <c r="IK758" s="0"/>
      <c r="IL758" s="0"/>
      <c r="IM758" s="0"/>
      <c r="IN758" s="0"/>
      <c r="IO758" s="0"/>
      <c r="IP758" s="0"/>
      <c r="IQ758" s="0"/>
      <c r="IR758" s="0"/>
      <c r="IS758" s="0"/>
      <c r="IT758" s="0"/>
      <c r="IU758" s="0"/>
      <c r="IV758" s="0"/>
    </row>
    <row r="759" customFormat="false" ht="36.75" hidden="false" customHeight="true" outlineLevel="0" collapsed="false">
      <c r="A759" s="1012" t="s">
        <v>1518</v>
      </c>
      <c r="B759" s="1012"/>
      <c r="C759" s="1012"/>
      <c r="D759" s="1012"/>
      <c r="E759" s="1048" t="n">
        <v>3</v>
      </c>
      <c r="F759" s="0"/>
      <c r="G759" s="55"/>
      <c r="H759" s="55"/>
      <c r="I759" s="14"/>
      <c r="J759" s="620"/>
      <c r="K759" s="903"/>
      <c r="L759" s="877" t="s">
        <v>1519</v>
      </c>
      <c r="M759" s="0"/>
      <c r="N759" s="0"/>
      <c r="O759" s="0"/>
      <c r="P759" s="0"/>
      <c r="Q759" s="0"/>
      <c r="R759" s="0"/>
      <c r="S759" s="0"/>
      <c r="T759" s="0"/>
      <c r="U759" s="0"/>
      <c r="V759" s="0"/>
      <c r="W759" s="0"/>
      <c r="X759" s="0"/>
      <c r="Y759" s="0"/>
      <c r="Z759" s="0"/>
      <c r="AA759" s="0"/>
      <c r="AB759" s="0"/>
      <c r="AC759" s="0"/>
      <c r="AD759" s="0"/>
      <c r="AE759" s="0"/>
      <c r="AF759" s="0"/>
      <c r="AG759" s="0"/>
      <c r="AH759" s="0"/>
      <c r="AI759" s="0"/>
      <c r="AJ759" s="0"/>
      <c r="AK759" s="0"/>
      <c r="AL759" s="0"/>
      <c r="AM759" s="0"/>
      <c r="AN759" s="0"/>
      <c r="AO759" s="0"/>
      <c r="AP759" s="0"/>
      <c r="AQ759" s="0"/>
      <c r="AR759" s="0"/>
      <c r="AS759" s="0"/>
      <c r="AT759" s="0"/>
      <c r="BS759" s="0"/>
      <c r="BT759" s="0"/>
      <c r="BU759" s="0"/>
      <c r="BV759" s="0"/>
      <c r="BW759" s="0"/>
      <c r="BX759" s="0"/>
      <c r="BY759" s="0"/>
      <c r="BZ759" s="0"/>
      <c r="CA759" s="0"/>
      <c r="CB759" s="0"/>
      <c r="CC759" s="0"/>
      <c r="CD759" s="0"/>
      <c r="CE759" s="0"/>
      <c r="CF759" s="0"/>
      <c r="CG759" s="0"/>
      <c r="CH759" s="0"/>
      <c r="CI759" s="0"/>
      <c r="CJ759" s="0"/>
      <c r="CK759" s="0"/>
      <c r="CL759" s="0"/>
      <c r="CM759" s="0"/>
      <c r="CN759" s="0"/>
      <c r="CO759" s="0"/>
      <c r="CP759" s="0"/>
      <c r="CQ759" s="0"/>
      <c r="CR759" s="0"/>
      <c r="CS759" s="0"/>
      <c r="CT759" s="0"/>
      <c r="CU759" s="0"/>
      <c r="CV759" s="0"/>
      <c r="CW759" s="0"/>
      <c r="CX759" s="0"/>
      <c r="CY759" s="0"/>
      <c r="CZ759" s="0"/>
      <c r="DA759" s="0"/>
      <c r="DB759" s="0"/>
      <c r="DC759" s="0"/>
      <c r="DD759" s="0"/>
      <c r="DE759" s="0"/>
      <c r="DF759" s="0"/>
      <c r="DG759" s="0"/>
      <c r="DH759" s="0"/>
      <c r="DI759" s="0"/>
      <c r="DJ759" s="0"/>
      <c r="DK759" s="0"/>
      <c r="DL759" s="0"/>
      <c r="DM759" s="0"/>
      <c r="DN759" s="0"/>
      <c r="DO759" s="0"/>
      <c r="DP759" s="0"/>
      <c r="DQ759" s="0"/>
      <c r="DR759" s="0"/>
      <c r="DS759" s="0"/>
      <c r="DT759" s="0"/>
      <c r="DU759" s="0"/>
      <c r="DV759" s="0"/>
      <c r="DW759" s="0"/>
      <c r="DX759" s="0"/>
      <c r="DY759" s="0"/>
      <c r="DZ759" s="0"/>
      <c r="EA759" s="0"/>
      <c r="EB759" s="0"/>
      <c r="EC759" s="0"/>
      <c r="ED759" s="0"/>
      <c r="EE759" s="0"/>
      <c r="EF759" s="0"/>
      <c r="EG759" s="0"/>
      <c r="EH759" s="0"/>
      <c r="EI759" s="0"/>
      <c r="EJ759" s="0"/>
      <c r="EK759" s="0"/>
      <c r="EL759" s="0"/>
      <c r="EM759" s="0"/>
      <c r="EN759" s="0"/>
      <c r="EO759" s="0"/>
      <c r="EP759" s="0"/>
      <c r="EQ759" s="0"/>
      <c r="ER759" s="0"/>
      <c r="ES759" s="0"/>
      <c r="ET759" s="0"/>
      <c r="EU759" s="0"/>
      <c r="EV759" s="0"/>
      <c r="EW759" s="0"/>
      <c r="EX759" s="0"/>
      <c r="EY759" s="0"/>
      <c r="EZ759" s="0"/>
      <c r="FA759" s="0"/>
      <c r="FB759" s="0"/>
      <c r="FC759" s="0"/>
      <c r="FD759" s="0"/>
      <c r="FE759" s="0"/>
      <c r="FF759" s="0"/>
      <c r="FG759" s="0"/>
      <c r="FH759" s="0"/>
      <c r="FI759" s="0"/>
      <c r="FJ759" s="0"/>
      <c r="FK759" s="0"/>
      <c r="FL759" s="0"/>
      <c r="FM759" s="0"/>
      <c r="FN759" s="0"/>
      <c r="FO759" s="0"/>
      <c r="FP759" s="0"/>
      <c r="FQ759" s="0"/>
      <c r="FR759" s="0"/>
      <c r="FS759" s="0"/>
      <c r="FT759" s="0"/>
      <c r="FU759" s="0"/>
      <c r="FV759" s="0"/>
      <c r="FW759" s="0"/>
      <c r="FX759" s="0"/>
      <c r="FY759" s="0"/>
      <c r="FZ759" s="0"/>
      <c r="GA759" s="0"/>
      <c r="GB759" s="0"/>
      <c r="GC759" s="0"/>
      <c r="GD759" s="0"/>
      <c r="GE759" s="0"/>
      <c r="GF759" s="0"/>
      <c r="GG759" s="0"/>
      <c r="GH759" s="0"/>
      <c r="GI759" s="0"/>
      <c r="GJ759" s="0"/>
      <c r="GK759" s="0"/>
      <c r="GL759" s="0"/>
      <c r="GM759" s="0"/>
      <c r="GN759" s="0"/>
      <c r="GO759" s="0"/>
      <c r="GP759" s="0"/>
      <c r="GQ759" s="0"/>
      <c r="GR759" s="0"/>
      <c r="GS759" s="0"/>
      <c r="GT759" s="0"/>
      <c r="GU759" s="0"/>
      <c r="GV759" s="0"/>
      <c r="GW759" s="0"/>
      <c r="GX759" s="0"/>
      <c r="GY759" s="0"/>
      <c r="GZ759" s="0"/>
      <c r="HA759" s="0"/>
      <c r="HB759" s="0"/>
      <c r="HC759" s="0"/>
      <c r="HD759" s="0"/>
      <c r="HE759" s="0"/>
      <c r="HF759" s="0"/>
      <c r="HG759" s="0"/>
      <c r="HH759" s="0"/>
      <c r="HI759" s="0"/>
      <c r="HJ759" s="0"/>
      <c r="HK759" s="0"/>
      <c r="HL759" s="0"/>
      <c r="HM759" s="0"/>
      <c r="HN759" s="0"/>
      <c r="HO759" s="0"/>
      <c r="HP759" s="0"/>
      <c r="HQ759" s="0"/>
      <c r="HR759" s="0"/>
      <c r="HS759" s="0"/>
      <c r="HT759" s="0"/>
      <c r="HU759" s="0"/>
      <c r="HV759" s="0"/>
      <c r="HW759" s="0"/>
      <c r="HX759" s="0"/>
      <c r="HY759" s="0"/>
      <c r="HZ759" s="0"/>
      <c r="IA759" s="0"/>
      <c r="IB759" s="0"/>
      <c r="IC759" s="0"/>
      <c r="ID759" s="0"/>
      <c r="IE759" s="0"/>
      <c r="IF759" s="0"/>
      <c r="IG759" s="0"/>
      <c r="IH759" s="0"/>
      <c r="II759" s="0"/>
      <c r="IJ759" s="0"/>
      <c r="IK759" s="0"/>
      <c r="IL759" s="0"/>
      <c r="IM759" s="0"/>
      <c r="IN759" s="0"/>
      <c r="IO759" s="0"/>
      <c r="IP759" s="0"/>
      <c r="IQ759" s="0"/>
      <c r="IR759" s="0"/>
      <c r="IS759" s="0"/>
      <c r="IT759" s="0"/>
      <c r="IU759" s="0"/>
      <c r="IV759" s="0"/>
    </row>
    <row r="760" customFormat="false" ht="20.1" hidden="false" customHeight="true" outlineLevel="0" collapsed="false">
      <c r="A760" s="1148" t="s">
        <v>1520</v>
      </c>
      <c r="B760" s="1148"/>
      <c r="C760" s="1148"/>
      <c r="D760" s="1148"/>
      <c r="E760" s="1148"/>
      <c r="F760" s="55"/>
      <c r="G760" s="55"/>
      <c r="H760" s="55"/>
      <c r="I760" s="14"/>
      <c r="J760" s="620"/>
      <c r="K760" s="903"/>
      <c r="L760" s="877"/>
      <c r="M760" s="0"/>
      <c r="N760" s="0"/>
      <c r="O760" s="0"/>
      <c r="P760" s="0"/>
      <c r="Q760" s="0"/>
      <c r="R760" s="0"/>
      <c r="S760" s="0"/>
      <c r="T760" s="0"/>
      <c r="U760" s="0"/>
      <c r="V760" s="0"/>
      <c r="W760" s="0"/>
      <c r="X760" s="0"/>
      <c r="Y760" s="0"/>
      <c r="Z760" s="0"/>
      <c r="AA760" s="0"/>
      <c r="AB760" s="0"/>
      <c r="AC760" s="0"/>
      <c r="AD760" s="0"/>
      <c r="AE760" s="0"/>
      <c r="AF760" s="0"/>
      <c r="AG760" s="0"/>
      <c r="AH760" s="0"/>
      <c r="AI760" s="0"/>
      <c r="AJ760" s="0"/>
      <c r="AK760" s="0"/>
      <c r="AL760" s="0"/>
      <c r="AM760" s="0"/>
      <c r="AN760" s="0"/>
      <c r="AO760" s="0"/>
      <c r="AP760" s="0"/>
      <c r="AQ760" s="0"/>
      <c r="AR760" s="0"/>
      <c r="AS760" s="0"/>
      <c r="AT760" s="0"/>
      <c r="BS760" s="0"/>
      <c r="BT760" s="0"/>
      <c r="BU760" s="0"/>
      <c r="BV760" s="0"/>
      <c r="BW760" s="0"/>
      <c r="BX760" s="0"/>
      <c r="BY760" s="0"/>
      <c r="BZ760" s="0"/>
      <c r="CA760" s="0"/>
      <c r="CB760" s="0"/>
      <c r="CC760" s="0"/>
      <c r="CD760" s="0"/>
      <c r="CE760" s="0"/>
      <c r="CF760" s="0"/>
      <c r="CG760" s="0"/>
      <c r="CH760" s="0"/>
      <c r="CI760" s="0"/>
      <c r="CJ760" s="0"/>
      <c r="CK760" s="0"/>
      <c r="CL760" s="0"/>
      <c r="CM760" s="0"/>
      <c r="CN760" s="0"/>
      <c r="CO760" s="0"/>
      <c r="CP760" s="0"/>
      <c r="CQ760" s="0"/>
      <c r="CR760" s="0"/>
      <c r="CS760" s="0"/>
      <c r="CT760" s="0"/>
      <c r="CU760" s="0"/>
      <c r="CV760" s="0"/>
      <c r="CW760" s="0"/>
      <c r="CX760" s="0"/>
      <c r="CY760" s="0"/>
      <c r="CZ760" s="0"/>
      <c r="DA760" s="0"/>
      <c r="DB760" s="0"/>
      <c r="DC760" s="0"/>
      <c r="DD760" s="0"/>
      <c r="DE760" s="0"/>
      <c r="DF760" s="0"/>
      <c r="DG760" s="0"/>
      <c r="DH760" s="0"/>
      <c r="DI760" s="0"/>
      <c r="DJ760" s="0"/>
      <c r="DK760" s="0"/>
      <c r="DL760" s="0"/>
      <c r="DM760" s="0"/>
      <c r="DN760" s="0"/>
      <c r="DO760" s="0"/>
      <c r="DP760" s="0"/>
      <c r="DQ760" s="0"/>
      <c r="DR760" s="0"/>
      <c r="DS760" s="0"/>
      <c r="DT760" s="0"/>
      <c r="DU760" s="0"/>
      <c r="DV760" s="0"/>
      <c r="DW760" s="0"/>
      <c r="DX760" s="0"/>
      <c r="DY760" s="0"/>
      <c r="DZ760" s="0"/>
      <c r="EA760" s="0"/>
      <c r="EB760" s="0"/>
      <c r="EC760" s="0"/>
      <c r="ED760" s="0"/>
      <c r="EE760" s="0"/>
      <c r="EF760" s="0"/>
      <c r="EG760" s="0"/>
      <c r="EH760" s="0"/>
      <c r="EI760" s="0"/>
      <c r="EJ760" s="0"/>
      <c r="EK760" s="0"/>
      <c r="EL760" s="0"/>
      <c r="EM760" s="0"/>
      <c r="EN760" s="0"/>
      <c r="EO760" s="0"/>
      <c r="EP760" s="0"/>
      <c r="EQ760" s="0"/>
      <c r="ER760" s="0"/>
      <c r="ES760" s="0"/>
      <c r="ET760" s="0"/>
      <c r="EU760" s="0"/>
      <c r="EV760" s="0"/>
      <c r="EW760" s="0"/>
      <c r="EX760" s="0"/>
      <c r="EY760" s="0"/>
      <c r="EZ760" s="0"/>
      <c r="FA760" s="0"/>
      <c r="FB760" s="0"/>
      <c r="FC760" s="0"/>
      <c r="FD760" s="0"/>
      <c r="FE760" s="0"/>
      <c r="FF760" s="0"/>
      <c r="FG760" s="0"/>
      <c r="FH760" s="0"/>
      <c r="FI760" s="0"/>
      <c r="FJ760" s="0"/>
      <c r="FK760" s="0"/>
      <c r="FL760" s="0"/>
      <c r="FM760" s="0"/>
      <c r="FN760" s="0"/>
      <c r="FO760" s="0"/>
      <c r="FP760" s="0"/>
      <c r="FQ760" s="0"/>
      <c r="FR760" s="0"/>
      <c r="FS760" s="0"/>
      <c r="FT760" s="0"/>
      <c r="FU760" s="0"/>
      <c r="FV760" s="0"/>
      <c r="FW760" s="0"/>
      <c r="FX760" s="0"/>
      <c r="FY760" s="0"/>
      <c r="FZ760" s="0"/>
      <c r="GA760" s="0"/>
      <c r="GB760" s="0"/>
      <c r="GC760" s="0"/>
      <c r="GD760" s="0"/>
      <c r="GE760" s="0"/>
      <c r="GF760" s="0"/>
      <c r="GG760" s="0"/>
      <c r="GH760" s="0"/>
      <c r="GI760" s="0"/>
      <c r="GJ760" s="0"/>
      <c r="GK760" s="0"/>
      <c r="GL760" s="0"/>
      <c r="GM760" s="0"/>
      <c r="GN760" s="0"/>
      <c r="GO760" s="0"/>
      <c r="GP760" s="0"/>
      <c r="GQ760" s="0"/>
      <c r="GR760" s="0"/>
      <c r="GS760" s="0"/>
      <c r="GT760" s="0"/>
      <c r="GU760" s="0"/>
      <c r="GV760" s="0"/>
      <c r="GW760" s="0"/>
      <c r="GX760" s="0"/>
      <c r="GY760" s="0"/>
      <c r="GZ760" s="0"/>
      <c r="HA760" s="0"/>
      <c r="HB760" s="0"/>
      <c r="HC760" s="0"/>
      <c r="HD760" s="0"/>
      <c r="HE760" s="0"/>
      <c r="HF760" s="0"/>
      <c r="HG760" s="0"/>
      <c r="HH760" s="0"/>
      <c r="HI760" s="0"/>
      <c r="HJ760" s="0"/>
      <c r="HK760" s="0"/>
      <c r="HL760" s="0"/>
      <c r="HM760" s="0"/>
      <c r="HN760" s="0"/>
      <c r="HO760" s="0"/>
      <c r="HP760" s="0"/>
      <c r="HQ760" s="0"/>
      <c r="HR760" s="0"/>
      <c r="HS760" s="0"/>
      <c r="HT760" s="0"/>
      <c r="HU760" s="0"/>
      <c r="HV760" s="0"/>
      <c r="HW760" s="0"/>
      <c r="HX760" s="0"/>
      <c r="HY760" s="0"/>
      <c r="HZ760" s="0"/>
      <c r="IA760" s="0"/>
      <c r="IB760" s="0"/>
      <c r="IC760" s="0"/>
      <c r="ID760" s="0"/>
      <c r="IE760" s="0"/>
      <c r="IF760" s="0"/>
      <c r="IG760" s="0"/>
      <c r="IH760" s="0"/>
      <c r="II760" s="0"/>
      <c r="IJ760" s="0"/>
      <c r="IK760" s="0"/>
      <c r="IL760" s="0"/>
      <c r="IM760" s="0"/>
      <c r="IN760" s="0"/>
      <c r="IO760" s="0"/>
      <c r="IP760" s="0"/>
      <c r="IQ760" s="0"/>
      <c r="IR760" s="0"/>
      <c r="IS760" s="0"/>
      <c r="IT760" s="0"/>
      <c r="IU760" s="0"/>
      <c r="IV760" s="0"/>
    </row>
    <row r="761" s="55" customFormat="true" ht="15.75" hidden="false" customHeight="true" outlineLevel="0" collapsed="false">
      <c r="A761" s="1148"/>
      <c r="B761" s="1148"/>
      <c r="C761" s="1148"/>
      <c r="D761" s="1148"/>
      <c r="E761" s="1148"/>
      <c r="I761" s="14"/>
      <c r="J761" s="620"/>
      <c r="K761" s="903"/>
      <c r="L761" s="877"/>
      <c r="M761" s="0"/>
      <c r="N761" s="0"/>
      <c r="O761" s="0"/>
      <c r="P761" s="0"/>
      <c r="Q761" s="0"/>
      <c r="R761" s="0"/>
      <c r="S761" s="0"/>
      <c r="T761" s="0"/>
      <c r="U761" s="0"/>
      <c r="V761" s="0"/>
      <c r="W761" s="0"/>
      <c r="X761" s="0"/>
    </row>
    <row r="762" s="55" customFormat="true" ht="15" hidden="false" customHeight="true" outlineLevel="0" collapsed="false">
      <c r="A762" s="443"/>
      <c r="B762" s="0"/>
      <c r="C762" s="0"/>
      <c r="D762" s="1179"/>
      <c r="E762" s="935"/>
      <c r="I762" s="14"/>
      <c r="J762" s="620"/>
      <c r="K762" s="903"/>
      <c r="L762" s="877"/>
      <c r="M762" s="0"/>
      <c r="N762" s="0"/>
      <c r="O762" s="0"/>
      <c r="P762" s="0"/>
      <c r="Q762" s="0"/>
      <c r="R762" s="0"/>
      <c r="S762" s="0"/>
      <c r="T762" s="0"/>
      <c r="U762" s="0"/>
      <c r="V762" s="0"/>
      <c r="W762" s="0"/>
      <c r="X762" s="0"/>
    </row>
    <row r="763" s="55" customFormat="true" ht="33" hidden="false" customHeight="true" outlineLevel="0" collapsed="false">
      <c r="A763" s="1012" t="s">
        <v>1521</v>
      </c>
      <c r="B763" s="1012"/>
      <c r="C763" s="1012"/>
      <c r="D763" s="1012"/>
      <c r="E763" s="1048" t="n">
        <v>1</v>
      </c>
      <c r="F763" s="0"/>
      <c r="G763" s="1180"/>
      <c r="H763" s="1181"/>
      <c r="I763" s="0"/>
      <c r="J763" s="0"/>
      <c r="K763" s="903"/>
      <c r="L763" s="877" t="s">
        <v>1519</v>
      </c>
      <c r="M763" s="0"/>
      <c r="N763" s="0"/>
      <c r="O763" s="0"/>
      <c r="P763" s="0"/>
      <c r="Q763" s="0"/>
      <c r="R763" s="0"/>
      <c r="S763" s="0"/>
      <c r="T763" s="0"/>
      <c r="U763" s="0"/>
      <c r="V763" s="0"/>
      <c r="W763" s="0"/>
      <c r="X763" s="0"/>
    </row>
    <row r="764" customFormat="false" ht="19.5" hidden="false" customHeight="true" outlineLevel="0" collapsed="false">
      <c r="A764" s="1148" t="s">
        <v>1522</v>
      </c>
      <c r="B764" s="1148"/>
      <c r="C764" s="1148"/>
      <c r="D764" s="1148"/>
      <c r="E764" s="1148"/>
      <c r="F764" s="0"/>
      <c r="G764" s="0"/>
      <c r="H764" s="1181"/>
      <c r="I764" s="0"/>
      <c r="J764" s="0"/>
      <c r="K764" s="903"/>
      <c r="L764" s="877"/>
      <c r="M764" s="0"/>
      <c r="N764" s="0"/>
      <c r="O764" s="0"/>
      <c r="P764" s="0"/>
      <c r="Q764" s="0"/>
      <c r="R764" s="0"/>
      <c r="S764" s="0"/>
      <c r="T764" s="0"/>
      <c r="U764" s="0"/>
      <c r="V764" s="0"/>
      <c r="W764" s="0"/>
      <c r="X764" s="0"/>
      <c r="Y764" s="19"/>
      <c r="Z764" s="0"/>
      <c r="AA764" s="0"/>
      <c r="AB764" s="0"/>
      <c r="AC764" s="0"/>
      <c r="AD764" s="0"/>
      <c r="AE764" s="0"/>
      <c r="AF764" s="0"/>
      <c r="AG764" s="0"/>
      <c r="AH764" s="0"/>
      <c r="AI764" s="0"/>
      <c r="AJ764" s="0"/>
      <c r="AK764" s="0"/>
      <c r="AL764" s="0"/>
      <c r="AM764" s="0"/>
      <c r="AN764" s="0"/>
      <c r="AO764" s="0"/>
      <c r="AP764" s="0"/>
      <c r="AQ764" s="0"/>
      <c r="AR764" s="0"/>
      <c r="AS764" s="0"/>
      <c r="AT764" s="0"/>
      <c r="BS764" s="0"/>
      <c r="BT764" s="0"/>
      <c r="BU764" s="0"/>
      <c r="BV764" s="0"/>
      <c r="BW764" s="0"/>
      <c r="BX764" s="0"/>
      <c r="BY764" s="0"/>
      <c r="BZ764" s="0"/>
      <c r="CA764" s="0"/>
      <c r="CB764" s="0"/>
      <c r="CC764" s="0"/>
      <c r="CD764" s="0"/>
      <c r="CE764" s="0"/>
      <c r="CF764" s="0"/>
      <c r="CG764" s="0"/>
      <c r="CH764" s="0"/>
      <c r="CI764" s="0"/>
      <c r="CJ764" s="0"/>
      <c r="CK764" s="0"/>
      <c r="CL764" s="0"/>
      <c r="CM764" s="0"/>
      <c r="CN764" s="0"/>
      <c r="CO764" s="0"/>
      <c r="CP764" s="0"/>
      <c r="CQ764" s="0"/>
      <c r="CR764" s="0"/>
      <c r="CS764" s="0"/>
      <c r="CT764" s="0"/>
      <c r="CU764" s="0"/>
      <c r="CV764" s="0"/>
      <c r="CW764" s="0"/>
      <c r="CX764" s="0"/>
      <c r="CY764" s="0"/>
      <c r="CZ764" s="0"/>
      <c r="DA764" s="0"/>
      <c r="DB764" s="0"/>
      <c r="DC764" s="0"/>
      <c r="DD764" s="0"/>
      <c r="DE764" s="0"/>
      <c r="DF764" s="0"/>
      <c r="DG764" s="0"/>
      <c r="DH764" s="0"/>
      <c r="DI764" s="0"/>
      <c r="DJ764" s="0"/>
      <c r="DK764" s="0"/>
      <c r="DL764" s="0"/>
      <c r="DM764" s="0"/>
      <c r="DN764" s="0"/>
      <c r="DO764" s="0"/>
      <c r="DP764" s="0"/>
      <c r="DQ764" s="0"/>
      <c r="DR764" s="0"/>
      <c r="DS764" s="0"/>
      <c r="DT764" s="0"/>
      <c r="DU764" s="0"/>
      <c r="DV764" s="0"/>
      <c r="DW764" s="0"/>
      <c r="DX764" s="0"/>
      <c r="DY764" s="0"/>
      <c r="DZ764" s="0"/>
      <c r="EA764" s="0"/>
      <c r="EB764" s="0"/>
      <c r="EC764" s="0"/>
      <c r="ED764" s="0"/>
      <c r="EE764" s="0"/>
      <c r="EF764" s="0"/>
      <c r="EG764" s="0"/>
      <c r="EH764" s="0"/>
      <c r="EI764" s="0"/>
      <c r="EJ764" s="0"/>
      <c r="EK764" s="0"/>
      <c r="EL764" s="0"/>
      <c r="EM764" s="0"/>
      <c r="EN764" s="0"/>
      <c r="EO764" s="0"/>
      <c r="EP764" s="0"/>
      <c r="EQ764" s="0"/>
      <c r="ER764" s="0"/>
      <c r="ES764" s="0"/>
      <c r="ET764" s="0"/>
      <c r="EU764" s="0"/>
      <c r="EV764" s="0"/>
      <c r="EW764" s="0"/>
      <c r="EX764" s="0"/>
      <c r="EY764" s="0"/>
      <c r="EZ764" s="0"/>
      <c r="FA764" s="0"/>
      <c r="FB764" s="0"/>
      <c r="FC764" s="0"/>
      <c r="FD764" s="0"/>
      <c r="FE764" s="0"/>
      <c r="FF764" s="0"/>
      <c r="FG764" s="0"/>
      <c r="FH764" s="0"/>
      <c r="FI764" s="0"/>
      <c r="FJ764" s="0"/>
      <c r="FK764" s="0"/>
      <c r="FL764" s="0"/>
      <c r="FM764" s="0"/>
      <c r="FN764" s="0"/>
      <c r="FO764" s="0"/>
      <c r="FP764" s="0"/>
      <c r="FQ764" s="0"/>
      <c r="FR764" s="0"/>
      <c r="FS764" s="0"/>
      <c r="FT764" s="0"/>
      <c r="FU764" s="0"/>
      <c r="FV764" s="0"/>
      <c r="FW764" s="0"/>
      <c r="FX764" s="0"/>
      <c r="FY764" s="0"/>
      <c r="FZ764" s="0"/>
      <c r="GA764" s="0"/>
      <c r="GB764" s="0"/>
      <c r="GC764" s="0"/>
      <c r="GD764" s="0"/>
      <c r="GE764" s="0"/>
      <c r="GF764" s="0"/>
      <c r="GG764" s="0"/>
      <c r="GH764" s="0"/>
      <c r="GI764" s="0"/>
      <c r="GJ764" s="0"/>
      <c r="GK764" s="0"/>
      <c r="GL764" s="0"/>
      <c r="GM764" s="0"/>
      <c r="GN764" s="0"/>
      <c r="GO764" s="0"/>
      <c r="GP764" s="0"/>
      <c r="GQ764" s="0"/>
      <c r="GR764" s="0"/>
      <c r="GS764" s="0"/>
      <c r="GT764" s="0"/>
      <c r="GU764" s="0"/>
      <c r="GV764" s="0"/>
      <c r="GW764" s="0"/>
      <c r="GX764" s="0"/>
      <c r="GY764" s="0"/>
      <c r="GZ764" s="0"/>
      <c r="HA764" s="0"/>
      <c r="HB764" s="0"/>
      <c r="HC764" s="0"/>
      <c r="HD764" s="0"/>
      <c r="HE764" s="0"/>
      <c r="HF764" s="0"/>
      <c r="HG764" s="0"/>
      <c r="HH764" s="0"/>
      <c r="HI764" s="0"/>
      <c r="HJ764" s="0"/>
      <c r="HK764" s="0"/>
      <c r="HL764" s="0"/>
      <c r="HM764" s="0"/>
      <c r="HN764" s="0"/>
      <c r="HO764" s="0"/>
      <c r="HP764" s="0"/>
      <c r="HQ764" s="0"/>
      <c r="HR764" s="0"/>
      <c r="HS764" s="0"/>
      <c r="HT764" s="0"/>
      <c r="HU764" s="0"/>
      <c r="HV764" s="0"/>
      <c r="HW764" s="0"/>
      <c r="HX764" s="0"/>
      <c r="HY764" s="0"/>
      <c r="HZ764" s="0"/>
      <c r="IA764" s="0"/>
      <c r="IB764" s="0"/>
      <c r="IC764" s="0"/>
      <c r="ID764" s="0"/>
      <c r="IE764" s="0"/>
      <c r="IF764" s="0"/>
      <c r="IG764" s="0"/>
      <c r="IH764" s="0"/>
      <c r="II764" s="0"/>
      <c r="IJ764" s="0"/>
      <c r="IK764" s="0"/>
      <c r="IL764" s="0"/>
      <c r="IM764" s="0"/>
      <c r="IN764" s="0"/>
      <c r="IO764" s="0"/>
      <c r="IP764" s="0"/>
      <c r="IQ764" s="0"/>
      <c r="IR764" s="0"/>
      <c r="IS764" s="0"/>
      <c r="IT764" s="0"/>
      <c r="IU764" s="0"/>
      <c r="IV764" s="0"/>
    </row>
    <row r="765" customFormat="false" ht="20.1" hidden="false" customHeight="true" outlineLevel="0" collapsed="false">
      <c r="A765" s="1148" t="s">
        <v>1523</v>
      </c>
      <c r="B765" s="1148"/>
      <c r="C765" s="1148"/>
      <c r="D765" s="1148"/>
      <c r="E765" s="1148"/>
      <c r="F765" s="0"/>
      <c r="G765" s="0"/>
      <c r="H765" s="1181"/>
      <c r="I765" s="0"/>
      <c r="J765" s="0"/>
      <c r="K765" s="903"/>
      <c r="L765" s="877"/>
      <c r="M765" s="0"/>
      <c r="N765" s="0"/>
      <c r="O765" s="0"/>
      <c r="P765" s="0"/>
      <c r="Q765" s="0"/>
      <c r="R765" s="0"/>
      <c r="S765" s="0"/>
      <c r="T765" s="0"/>
      <c r="U765" s="0"/>
      <c r="V765" s="0"/>
      <c r="W765" s="0"/>
      <c r="X765" s="0"/>
      <c r="Y765" s="19"/>
      <c r="Z765" s="0"/>
      <c r="AA765" s="0"/>
      <c r="AB765" s="0"/>
      <c r="AC765" s="0"/>
      <c r="AD765" s="0"/>
      <c r="AE765" s="0"/>
      <c r="AF765" s="0"/>
      <c r="AG765" s="0"/>
      <c r="AH765" s="0"/>
      <c r="AI765" s="0"/>
      <c r="AJ765" s="0"/>
      <c r="AK765" s="0"/>
      <c r="AL765" s="0"/>
      <c r="AM765" s="0"/>
      <c r="AN765" s="0"/>
      <c r="AO765" s="0"/>
      <c r="AP765" s="0"/>
      <c r="AQ765" s="0"/>
      <c r="AR765" s="0"/>
      <c r="AS765" s="0"/>
      <c r="AT765" s="0"/>
      <c r="BS765" s="0"/>
      <c r="BT765" s="0"/>
      <c r="BU765" s="0"/>
      <c r="BV765" s="0"/>
      <c r="BW765" s="0"/>
      <c r="BX765" s="0"/>
      <c r="BY765" s="0"/>
      <c r="BZ765" s="0"/>
      <c r="CA765" s="0"/>
      <c r="CB765" s="0"/>
      <c r="CC765" s="0"/>
      <c r="CD765" s="0"/>
      <c r="CE765" s="0"/>
      <c r="CF765" s="0"/>
      <c r="CG765" s="0"/>
      <c r="CH765" s="0"/>
      <c r="CI765" s="0"/>
      <c r="CJ765" s="0"/>
      <c r="CK765" s="0"/>
      <c r="CL765" s="0"/>
      <c r="CM765" s="0"/>
      <c r="CN765" s="0"/>
      <c r="CO765" s="0"/>
      <c r="CP765" s="0"/>
      <c r="CQ765" s="0"/>
      <c r="CR765" s="0"/>
      <c r="CS765" s="0"/>
      <c r="CT765" s="0"/>
      <c r="CU765" s="0"/>
      <c r="CV765" s="0"/>
      <c r="CW765" s="0"/>
      <c r="CX765" s="0"/>
      <c r="CY765" s="0"/>
      <c r="CZ765" s="0"/>
      <c r="DA765" s="0"/>
      <c r="DB765" s="0"/>
      <c r="DC765" s="0"/>
      <c r="DD765" s="0"/>
      <c r="DE765" s="0"/>
      <c r="DF765" s="0"/>
      <c r="DG765" s="0"/>
      <c r="DH765" s="0"/>
      <c r="DI765" s="0"/>
      <c r="DJ765" s="0"/>
      <c r="DK765" s="0"/>
      <c r="DL765" s="0"/>
      <c r="DM765" s="0"/>
      <c r="DN765" s="0"/>
      <c r="DO765" s="0"/>
      <c r="DP765" s="0"/>
      <c r="DQ765" s="0"/>
      <c r="DR765" s="0"/>
      <c r="DS765" s="0"/>
      <c r="DT765" s="0"/>
      <c r="DU765" s="0"/>
      <c r="DV765" s="0"/>
      <c r="DW765" s="0"/>
      <c r="DX765" s="0"/>
      <c r="DY765" s="0"/>
      <c r="DZ765" s="0"/>
      <c r="EA765" s="0"/>
      <c r="EB765" s="0"/>
      <c r="EC765" s="0"/>
      <c r="ED765" s="0"/>
      <c r="EE765" s="0"/>
      <c r="EF765" s="0"/>
      <c r="EG765" s="0"/>
      <c r="EH765" s="0"/>
      <c r="EI765" s="0"/>
      <c r="EJ765" s="0"/>
      <c r="EK765" s="0"/>
      <c r="EL765" s="0"/>
      <c r="EM765" s="0"/>
      <c r="EN765" s="0"/>
      <c r="EO765" s="0"/>
      <c r="EP765" s="0"/>
      <c r="EQ765" s="0"/>
      <c r="ER765" s="0"/>
      <c r="ES765" s="0"/>
      <c r="ET765" s="0"/>
      <c r="EU765" s="0"/>
      <c r="EV765" s="0"/>
      <c r="EW765" s="0"/>
      <c r="EX765" s="0"/>
      <c r="EY765" s="0"/>
      <c r="EZ765" s="0"/>
      <c r="FA765" s="0"/>
      <c r="FB765" s="0"/>
      <c r="FC765" s="0"/>
      <c r="FD765" s="0"/>
      <c r="FE765" s="0"/>
      <c r="FF765" s="0"/>
      <c r="FG765" s="0"/>
      <c r="FH765" s="0"/>
      <c r="FI765" s="0"/>
      <c r="FJ765" s="0"/>
      <c r="FK765" s="0"/>
      <c r="FL765" s="0"/>
      <c r="FM765" s="0"/>
      <c r="FN765" s="0"/>
      <c r="FO765" s="0"/>
      <c r="FP765" s="0"/>
      <c r="FQ765" s="0"/>
      <c r="FR765" s="0"/>
      <c r="FS765" s="0"/>
      <c r="FT765" s="0"/>
      <c r="FU765" s="0"/>
      <c r="FV765" s="0"/>
      <c r="FW765" s="0"/>
      <c r="FX765" s="0"/>
      <c r="FY765" s="0"/>
      <c r="FZ765" s="0"/>
      <c r="GA765" s="0"/>
      <c r="GB765" s="0"/>
      <c r="GC765" s="0"/>
      <c r="GD765" s="0"/>
      <c r="GE765" s="0"/>
      <c r="GF765" s="0"/>
      <c r="GG765" s="0"/>
      <c r="GH765" s="0"/>
      <c r="GI765" s="0"/>
      <c r="GJ765" s="0"/>
      <c r="GK765" s="0"/>
      <c r="GL765" s="0"/>
      <c r="GM765" s="0"/>
      <c r="GN765" s="0"/>
      <c r="GO765" s="0"/>
      <c r="GP765" s="0"/>
      <c r="GQ765" s="0"/>
      <c r="GR765" s="0"/>
      <c r="GS765" s="0"/>
      <c r="GT765" s="0"/>
      <c r="GU765" s="0"/>
      <c r="GV765" s="0"/>
      <c r="GW765" s="0"/>
      <c r="GX765" s="0"/>
      <c r="GY765" s="0"/>
      <c r="GZ765" s="0"/>
      <c r="HA765" s="0"/>
      <c r="HB765" s="0"/>
      <c r="HC765" s="0"/>
      <c r="HD765" s="0"/>
      <c r="HE765" s="0"/>
      <c r="HF765" s="0"/>
      <c r="HG765" s="0"/>
      <c r="HH765" s="0"/>
      <c r="HI765" s="0"/>
      <c r="HJ765" s="0"/>
      <c r="HK765" s="0"/>
      <c r="HL765" s="0"/>
      <c r="HM765" s="0"/>
      <c r="HN765" s="0"/>
      <c r="HO765" s="0"/>
      <c r="HP765" s="0"/>
      <c r="HQ765" s="0"/>
      <c r="HR765" s="0"/>
      <c r="HS765" s="0"/>
      <c r="HT765" s="0"/>
      <c r="HU765" s="0"/>
      <c r="HV765" s="0"/>
      <c r="HW765" s="0"/>
      <c r="HX765" s="0"/>
      <c r="HY765" s="0"/>
      <c r="HZ765" s="0"/>
      <c r="IA765" s="0"/>
      <c r="IB765" s="0"/>
      <c r="IC765" s="0"/>
      <c r="ID765" s="0"/>
      <c r="IE765" s="0"/>
      <c r="IF765" s="0"/>
      <c r="IG765" s="0"/>
      <c r="IH765" s="0"/>
      <c r="II765" s="0"/>
      <c r="IJ765" s="0"/>
      <c r="IK765" s="0"/>
      <c r="IL765" s="0"/>
      <c r="IM765" s="0"/>
      <c r="IN765" s="0"/>
      <c r="IO765" s="0"/>
      <c r="IP765" s="0"/>
      <c r="IQ765" s="0"/>
      <c r="IR765" s="0"/>
      <c r="IS765" s="0"/>
      <c r="IT765" s="0"/>
      <c r="IU765" s="0"/>
      <c r="IV765" s="0"/>
    </row>
    <row r="766" customFormat="false" ht="20.1" hidden="false" customHeight="true" outlineLevel="0" collapsed="false">
      <c r="A766" s="1148" t="s">
        <v>1524</v>
      </c>
      <c r="B766" s="1148"/>
      <c r="C766" s="0"/>
      <c r="D766" s="0"/>
      <c r="H766" s="0"/>
      <c r="I766" s="14"/>
      <c r="J766" s="620"/>
      <c r="K766" s="903"/>
      <c r="L766" s="877"/>
      <c r="M766" s="0"/>
      <c r="N766" s="0"/>
      <c r="O766" s="0"/>
      <c r="P766" s="0"/>
      <c r="Q766" s="0"/>
      <c r="R766" s="0"/>
      <c r="S766" s="0"/>
      <c r="T766" s="0"/>
      <c r="U766" s="0"/>
      <c r="V766" s="0"/>
      <c r="W766" s="0"/>
      <c r="X766" s="0"/>
      <c r="Y766" s="19"/>
      <c r="Z766" s="0"/>
      <c r="AA766" s="0"/>
      <c r="AB766" s="0"/>
      <c r="AC766" s="0"/>
      <c r="AD766" s="0"/>
      <c r="AE766" s="0"/>
      <c r="AF766" s="0"/>
      <c r="AG766" s="0"/>
      <c r="AH766" s="0"/>
      <c r="AI766" s="0"/>
      <c r="AJ766" s="0"/>
      <c r="AK766" s="0"/>
      <c r="AL766" s="0"/>
      <c r="AM766" s="0"/>
      <c r="AN766" s="0"/>
      <c r="AO766" s="0"/>
      <c r="AP766" s="0"/>
      <c r="AQ766" s="0"/>
      <c r="AR766" s="0"/>
      <c r="AS766" s="0"/>
      <c r="AT766" s="0"/>
      <c r="BS766" s="0"/>
      <c r="BT766" s="0"/>
      <c r="BU766" s="0"/>
      <c r="BV766" s="0"/>
      <c r="BW766" s="0"/>
      <c r="BX766" s="0"/>
      <c r="BY766" s="0"/>
      <c r="BZ766" s="0"/>
      <c r="CA766" s="0"/>
      <c r="CB766" s="0"/>
      <c r="CC766" s="0"/>
      <c r="CD766" s="0"/>
      <c r="CE766" s="0"/>
      <c r="CF766" s="0"/>
      <c r="CG766" s="0"/>
      <c r="CH766" s="0"/>
      <c r="CI766" s="0"/>
      <c r="CJ766" s="0"/>
      <c r="CK766" s="0"/>
      <c r="CL766" s="0"/>
      <c r="CM766" s="0"/>
      <c r="CN766" s="0"/>
      <c r="CO766" s="0"/>
      <c r="CP766" s="0"/>
      <c r="CQ766" s="0"/>
      <c r="CR766" s="0"/>
      <c r="CS766" s="0"/>
      <c r="CT766" s="0"/>
      <c r="CU766" s="0"/>
      <c r="CV766" s="0"/>
      <c r="CW766" s="0"/>
      <c r="CX766" s="0"/>
      <c r="CY766" s="0"/>
      <c r="CZ766" s="0"/>
      <c r="DA766" s="0"/>
      <c r="DB766" s="0"/>
      <c r="DC766" s="0"/>
      <c r="DD766" s="0"/>
      <c r="DE766" s="0"/>
      <c r="DF766" s="0"/>
      <c r="DG766" s="0"/>
      <c r="DH766" s="0"/>
      <c r="DI766" s="0"/>
      <c r="DJ766" s="0"/>
      <c r="DK766" s="0"/>
      <c r="DL766" s="0"/>
      <c r="DM766" s="0"/>
      <c r="DN766" s="0"/>
      <c r="DO766" s="0"/>
      <c r="DP766" s="0"/>
      <c r="DQ766" s="0"/>
      <c r="DR766" s="0"/>
      <c r="DS766" s="0"/>
      <c r="DT766" s="0"/>
      <c r="DU766" s="0"/>
      <c r="DV766" s="0"/>
      <c r="DW766" s="0"/>
      <c r="DX766" s="0"/>
      <c r="DY766" s="0"/>
      <c r="DZ766" s="0"/>
      <c r="EA766" s="0"/>
      <c r="EB766" s="0"/>
      <c r="EC766" s="0"/>
      <c r="ED766" s="0"/>
      <c r="EE766" s="0"/>
      <c r="EF766" s="0"/>
      <c r="EG766" s="0"/>
      <c r="EH766" s="0"/>
      <c r="EI766" s="0"/>
      <c r="EJ766" s="0"/>
      <c r="EK766" s="0"/>
      <c r="EL766" s="0"/>
      <c r="EM766" s="0"/>
      <c r="EN766" s="0"/>
      <c r="EO766" s="0"/>
      <c r="EP766" s="0"/>
      <c r="EQ766" s="0"/>
      <c r="ER766" s="0"/>
      <c r="ES766" s="0"/>
      <c r="ET766" s="0"/>
      <c r="EU766" s="0"/>
      <c r="EV766" s="0"/>
      <c r="EW766" s="0"/>
      <c r="EX766" s="0"/>
      <c r="EY766" s="0"/>
      <c r="EZ766" s="0"/>
      <c r="FA766" s="0"/>
      <c r="FB766" s="0"/>
      <c r="FC766" s="0"/>
      <c r="FD766" s="0"/>
      <c r="FE766" s="0"/>
      <c r="FF766" s="0"/>
      <c r="FG766" s="0"/>
      <c r="FH766" s="0"/>
      <c r="FI766" s="0"/>
      <c r="FJ766" s="0"/>
      <c r="FK766" s="0"/>
      <c r="FL766" s="0"/>
      <c r="FM766" s="0"/>
      <c r="FN766" s="0"/>
      <c r="FO766" s="0"/>
      <c r="FP766" s="0"/>
      <c r="FQ766" s="0"/>
      <c r="FR766" s="0"/>
      <c r="FS766" s="0"/>
      <c r="FT766" s="0"/>
      <c r="FU766" s="0"/>
      <c r="FV766" s="0"/>
      <c r="FW766" s="0"/>
      <c r="FX766" s="0"/>
      <c r="FY766" s="0"/>
      <c r="FZ766" s="0"/>
      <c r="GA766" s="0"/>
      <c r="GB766" s="0"/>
      <c r="GC766" s="0"/>
      <c r="GD766" s="0"/>
      <c r="GE766" s="0"/>
      <c r="GF766" s="0"/>
      <c r="GG766" s="0"/>
      <c r="GH766" s="0"/>
      <c r="GI766" s="0"/>
      <c r="GJ766" s="0"/>
      <c r="GK766" s="0"/>
      <c r="GL766" s="0"/>
      <c r="GM766" s="0"/>
      <c r="GN766" s="0"/>
      <c r="GO766" s="0"/>
      <c r="GP766" s="0"/>
      <c r="GQ766" s="0"/>
      <c r="GR766" s="0"/>
      <c r="GS766" s="0"/>
      <c r="GT766" s="0"/>
      <c r="GU766" s="0"/>
      <c r="GV766" s="0"/>
      <c r="GW766" s="0"/>
      <c r="GX766" s="0"/>
      <c r="GY766" s="0"/>
      <c r="GZ766" s="0"/>
      <c r="HA766" s="0"/>
      <c r="HB766" s="0"/>
      <c r="HC766" s="0"/>
      <c r="HD766" s="0"/>
      <c r="HE766" s="0"/>
      <c r="HF766" s="0"/>
      <c r="HG766" s="0"/>
      <c r="HH766" s="0"/>
      <c r="HI766" s="0"/>
      <c r="HJ766" s="0"/>
      <c r="HK766" s="0"/>
      <c r="HL766" s="0"/>
      <c r="HM766" s="0"/>
      <c r="HN766" s="0"/>
      <c r="HO766" s="0"/>
      <c r="HP766" s="0"/>
      <c r="HQ766" s="0"/>
      <c r="HR766" s="0"/>
      <c r="HS766" s="0"/>
      <c r="HT766" s="0"/>
      <c r="HU766" s="0"/>
      <c r="HV766" s="0"/>
      <c r="HW766" s="0"/>
      <c r="HX766" s="0"/>
      <c r="HY766" s="0"/>
      <c r="HZ766" s="0"/>
      <c r="IA766" s="0"/>
      <c r="IB766" s="0"/>
      <c r="IC766" s="0"/>
      <c r="ID766" s="0"/>
      <c r="IE766" s="0"/>
      <c r="IF766" s="0"/>
      <c r="IG766" s="0"/>
      <c r="IH766" s="0"/>
      <c r="II766" s="0"/>
      <c r="IJ766" s="0"/>
      <c r="IK766" s="0"/>
      <c r="IL766" s="0"/>
      <c r="IM766" s="0"/>
      <c r="IN766" s="0"/>
      <c r="IO766" s="0"/>
      <c r="IP766" s="0"/>
      <c r="IQ766" s="0"/>
      <c r="IR766" s="0"/>
      <c r="IS766" s="0"/>
      <c r="IT766" s="0"/>
      <c r="IU766" s="0"/>
      <c r="IV766" s="0"/>
    </row>
    <row r="767" customFormat="false" ht="20.1" hidden="false" customHeight="true" outlineLevel="0" collapsed="false">
      <c r="C767" s="0"/>
      <c r="D767" s="1182" t="s">
        <v>1525</v>
      </c>
      <c r="E767" s="1182"/>
      <c r="F767" s="619" t="n">
        <f aca="false">D817</f>
        <v>4.17</v>
      </c>
      <c r="G767" s="1183"/>
      <c r="H767" s="1183"/>
      <c r="I767" s="14"/>
      <c r="J767" s="620"/>
      <c r="K767" s="903"/>
      <c r="L767" s="877"/>
      <c r="M767" s="0"/>
      <c r="N767" s="0"/>
      <c r="O767" s="0"/>
      <c r="P767" s="0"/>
      <c r="Q767" s="0"/>
      <c r="R767" s="0"/>
      <c r="S767" s="0"/>
      <c r="T767" s="0"/>
      <c r="U767" s="0"/>
      <c r="V767" s="0"/>
      <c r="W767" s="0"/>
      <c r="X767" s="0"/>
      <c r="Y767" s="19"/>
      <c r="Z767" s="0"/>
      <c r="AA767" s="0"/>
      <c r="AB767" s="0"/>
      <c r="AC767" s="0"/>
      <c r="AD767" s="0"/>
      <c r="AE767" s="0"/>
      <c r="AF767" s="0"/>
      <c r="AG767" s="0"/>
      <c r="AH767" s="0"/>
      <c r="AI767" s="0"/>
      <c r="AJ767" s="0"/>
      <c r="AK767" s="0"/>
      <c r="AL767" s="0"/>
      <c r="AM767" s="0"/>
      <c r="AN767" s="0"/>
      <c r="AO767" s="0"/>
      <c r="AP767" s="0"/>
      <c r="AQ767" s="0"/>
      <c r="AR767" s="0"/>
      <c r="AS767" s="0"/>
      <c r="AT767" s="0"/>
      <c r="BS767" s="0"/>
      <c r="BT767" s="0"/>
      <c r="BU767" s="0"/>
      <c r="BV767" s="0"/>
      <c r="BW767" s="0"/>
      <c r="BX767" s="0"/>
      <c r="BY767" s="0"/>
      <c r="BZ767" s="0"/>
      <c r="CA767" s="0"/>
      <c r="CB767" s="0"/>
      <c r="CC767" s="0"/>
      <c r="CD767" s="0"/>
      <c r="CE767" s="0"/>
      <c r="CF767" s="0"/>
      <c r="CG767" s="0"/>
      <c r="CH767" s="0"/>
      <c r="CI767" s="0"/>
      <c r="CJ767" s="0"/>
      <c r="CK767" s="0"/>
      <c r="CL767" s="0"/>
      <c r="CM767" s="0"/>
      <c r="CN767" s="0"/>
      <c r="CO767" s="0"/>
      <c r="CP767" s="0"/>
      <c r="CQ767" s="0"/>
      <c r="CR767" s="0"/>
      <c r="CS767" s="0"/>
      <c r="CT767" s="0"/>
      <c r="CU767" s="0"/>
      <c r="CV767" s="0"/>
      <c r="CW767" s="0"/>
      <c r="CX767" s="0"/>
      <c r="CY767" s="0"/>
      <c r="CZ767" s="0"/>
      <c r="DA767" s="0"/>
      <c r="DB767" s="0"/>
      <c r="DC767" s="0"/>
      <c r="DD767" s="0"/>
      <c r="DE767" s="0"/>
      <c r="DF767" s="0"/>
      <c r="DG767" s="0"/>
      <c r="DH767" s="0"/>
      <c r="DI767" s="0"/>
      <c r="DJ767" s="0"/>
      <c r="DK767" s="0"/>
      <c r="DL767" s="0"/>
      <c r="DM767" s="0"/>
      <c r="DN767" s="0"/>
      <c r="DO767" s="0"/>
      <c r="DP767" s="0"/>
      <c r="DQ767" s="0"/>
      <c r="DR767" s="0"/>
      <c r="DS767" s="0"/>
      <c r="DT767" s="0"/>
      <c r="DU767" s="0"/>
      <c r="DV767" s="0"/>
      <c r="DW767" s="0"/>
      <c r="DX767" s="0"/>
      <c r="DY767" s="0"/>
      <c r="DZ767" s="0"/>
      <c r="EA767" s="0"/>
      <c r="EB767" s="0"/>
      <c r="EC767" s="0"/>
      <c r="ED767" s="0"/>
      <c r="EE767" s="0"/>
      <c r="EF767" s="0"/>
      <c r="EG767" s="0"/>
      <c r="EH767" s="0"/>
      <c r="EI767" s="0"/>
      <c r="EJ767" s="0"/>
      <c r="EK767" s="0"/>
      <c r="EL767" s="0"/>
      <c r="EM767" s="0"/>
      <c r="EN767" s="0"/>
      <c r="EO767" s="0"/>
      <c r="EP767" s="0"/>
      <c r="EQ767" s="0"/>
      <c r="ER767" s="0"/>
      <c r="ES767" s="0"/>
      <c r="ET767" s="0"/>
      <c r="EU767" s="0"/>
      <c r="EV767" s="0"/>
      <c r="EW767" s="0"/>
      <c r="EX767" s="0"/>
      <c r="EY767" s="0"/>
      <c r="EZ767" s="0"/>
      <c r="FA767" s="0"/>
      <c r="FB767" s="0"/>
      <c r="FC767" s="0"/>
      <c r="FD767" s="0"/>
      <c r="FE767" s="0"/>
      <c r="FF767" s="0"/>
      <c r="FG767" s="0"/>
      <c r="FH767" s="0"/>
      <c r="FI767" s="0"/>
      <c r="FJ767" s="0"/>
      <c r="FK767" s="0"/>
      <c r="FL767" s="0"/>
      <c r="FM767" s="0"/>
      <c r="FN767" s="0"/>
      <c r="FO767" s="0"/>
      <c r="FP767" s="0"/>
      <c r="FQ767" s="0"/>
      <c r="FR767" s="0"/>
      <c r="FS767" s="0"/>
      <c r="FT767" s="0"/>
      <c r="FU767" s="0"/>
      <c r="FV767" s="0"/>
      <c r="FW767" s="0"/>
      <c r="FX767" s="0"/>
      <c r="FY767" s="0"/>
      <c r="FZ767" s="0"/>
      <c r="GA767" s="0"/>
      <c r="GB767" s="0"/>
      <c r="GC767" s="0"/>
      <c r="GD767" s="0"/>
      <c r="GE767" s="0"/>
      <c r="GF767" s="0"/>
      <c r="GG767" s="0"/>
      <c r="GH767" s="0"/>
      <c r="GI767" s="0"/>
      <c r="GJ767" s="0"/>
      <c r="GK767" s="0"/>
      <c r="GL767" s="0"/>
      <c r="GM767" s="0"/>
      <c r="GN767" s="0"/>
      <c r="GO767" s="0"/>
      <c r="GP767" s="0"/>
      <c r="GQ767" s="0"/>
      <c r="GR767" s="0"/>
      <c r="GS767" s="0"/>
      <c r="GT767" s="0"/>
      <c r="GU767" s="0"/>
      <c r="GV767" s="0"/>
      <c r="GW767" s="0"/>
      <c r="GX767" s="0"/>
      <c r="GY767" s="0"/>
      <c r="GZ767" s="0"/>
      <c r="HA767" s="0"/>
      <c r="HB767" s="0"/>
      <c r="HC767" s="0"/>
      <c r="HD767" s="0"/>
      <c r="HE767" s="0"/>
      <c r="HF767" s="0"/>
      <c r="HG767" s="0"/>
      <c r="HH767" s="0"/>
      <c r="HI767" s="0"/>
      <c r="HJ767" s="0"/>
      <c r="HK767" s="0"/>
      <c r="HL767" s="0"/>
      <c r="HM767" s="0"/>
      <c r="HN767" s="0"/>
      <c r="HO767" s="0"/>
      <c r="HP767" s="0"/>
      <c r="HQ767" s="0"/>
      <c r="HR767" s="0"/>
      <c r="HS767" s="0"/>
      <c r="HT767" s="0"/>
      <c r="HU767" s="0"/>
      <c r="HV767" s="0"/>
      <c r="HW767" s="0"/>
      <c r="HX767" s="0"/>
      <c r="HY767" s="0"/>
      <c r="HZ767" s="0"/>
      <c r="IA767" s="0"/>
      <c r="IB767" s="0"/>
      <c r="IC767" s="0"/>
      <c r="ID767" s="0"/>
      <c r="IE767" s="0"/>
      <c r="IF767" s="0"/>
      <c r="IG767" s="0"/>
      <c r="IH767" s="0"/>
      <c r="II767" s="0"/>
      <c r="IJ767" s="0"/>
      <c r="IK767" s="0"/>
      <c r="IL767" s="0"/>
      <c r="IM767" s="0"/>
      <c r="IN767" s="0"/>
      <c r="IO767" s="0"/>
      <c r="IP767" s="0"/>
      <c r="IQ767" s="0"/>
      <c r="IR767" s="0"/>
      <c r="IS767" s="0"/>
      <c r="IT767" s="0"/>
      <c r="IU767" s="0"/>
      <c r="IV767" s="0"/>
    </row>
    <row r="768" customFormat="false" ht="22.5" hidden="false" customHeight="true" outlineLevel="0" collapsed="false">
      <c r="A768" s="19"/>
      <c r="B768" s="0"/>
      <c r="C768" s="0"/>
      <c r="D768" s="1184"/>
      <c r="E768" s="964" t="s">
        <v>1526</v>
      </c>
      <c r="F768" s="964"/>
      <c r="G768" s="964"/>
      <c r="H768" s="19"/>
      <c r="I768" s="14"/>
      <c r="J768" s="620"/>
      <c r="K768" s="903"/>
      <c r="L768" s="877"/>
      <c r="M768" s="0"/>
      <c r="Y768" s="19"/>
      <c r="Z768" s="0"/>
      <c r="AA768" s="0"/>
      <c r="AB768" s="0"/>
      <c r="AC768" s="0"/>
      <c r="AD768" s="0"/>
      <c r="AE768" s="0"/>
      <c r="AF768" s="0"/>
      <c r="AG768" s="0"/>
      <c r="AH768" s="0"/>
      <c r="AI768" s="0"/>
      <c r="AJ768" s="0"/>
      <c r="AK768" s="0"/>
      <c r="AL768" s="0"/>
      <c r="AM768" s="0"/>
      <c r="AN768" s="0"/>
      <c r="AO768" s="0"/>
      <c r="AP768" s="0"/>
      <c r="AQ768" s="0"/>
      <c r="AR768" s="0"/>
      <c r="AS768" s="0"/>
      <c r="AT768" s="0"/>
      <c r="BS768" s="0"/>
      <c r="BT768" s="0"/>
      <c r="BU768" s="0"/>
      <c r="BV768" s="0"/>
      <c r="BW768" s="0"/>
      <c r="BX768" s="0"/>
      <c r="BY768" s="0"/>
      <c r="BZ768" s="0"/>
      <c r="CA768" s="0"/>
      <c r="CB768" s="0"/>
      <c r="CC768" s="0"/>
      <c r="CD768" s="0"/>
      <c r="CE768" s="0"/>
      <c r="CF768" s="0"/>
      <c r="CG768" s="0"/>
      <c r="CH768" s="0"/>
      <c r="CI768" s="0"/>
      <c r="CJ768" s="0"/>
      <c r="CK768" s="0"/>
      <c r="CL768" s="0"/>
      <c r="CM768" s="0"/>
      <c r="CN768" s="0"/>
      <c r="CO768" s="0"/>
      <c r="CP768" s="0"/>
      <c r="CQ768" s="0"/>
      <c r="CR768" s="0"/>
      <c r="CS768" s="0"/>
      <c r="CT768" s="0"/>
      <c r="CU768" s="0"/>
      <c r="CV768" s="0"/>
      <c r="CW768" s="0"/>
      <c r="CX768" s="0"/>
      <c r="CY768" s="0"/>
      <c r="CZ768" s="0"/>
      <c r="DA768" s="0"/>
      <c r="DB768" s="0"/>
      <c r="DC768" s="0"/>
      <c r="DD768" s="0"/>
      <c r="DE768" s="0"/>
      <c r="DF768" s="0"/>
      <c r="DG768" s="0"/>
      <c r="DH768" s="0"/>
      <c r="DI768" s="0"/>
      <c r="DJ768" s="0"/>
      <c r="DK768" s="0"/>
      <c r="DL768" s="0"/>
      <c r="DM768" s="0"/>
      <c r="DN768" s="0"/>
      <c r="DO768" s="0"/>
      <c r="DP768" s="0"/>
      <c r="DQ768" s="0"/>
      <c r="DR768" s="0"/>
      <c r="DS768" s="0"/>
      <c r="DT768" s="0"/>
      <c r="DU768" s="0"/>
      <c r="DV768" s="0"/>
      <c r="DW768" s="0"/>
      <c r="DX768" s="0"/>
      <c r="DY768" s="0"/>
      <c r="DZ768" s="0"/>
      <c r="EA768" s="0"/>
      <c r="EB768" s="0"/>
      <c r="EC768" s="0"/>
      <c r="ED768" s="0"/>
      <c r="EE768" s="0"/>
      <c r="EF768" s="0"/>
      <c r="EG768" s="0"/>
      <c r="EH768" s="0"/>
      <c r="EI768" s="0"/>
      <c r="EJ768" s="0"/>
      <c r="EK768" s="0"/>
      <c r="EL768" s="0"/>
      <c r="EM768" s="0"/>
      <c r="EN768" s="0"/>
      <c r="EO768" s="0"/>
      <c r="EP768" s="0"/>
      <c r="EQ768" s="0"/>
      <c r="ER768" s="0"/>
      <c r="ES768" s="0"/>
      <c r="ET768" s="0"/>
      <c r="EU768" s="0"/>
      <c r="EV768" s="0"/>
      <c r="EW768" s="0"/>
      <c r="EX768" s="0"/>
      <c r="EY768" s="0"/>
      <c r="EZ768" s="0"/>
      <c r="FA768" s="0"/>
      <c r="FB768" s="0"/>
      <c r="FC768" s="0"/>
      <c r="FD768" s="0"/>
      <c r="FE768" s="0"/>
      <c r="FF768" s="0"/>
      <c r="FG768" s="0"/>
      <c r="FH768" s="0"/>
      <c r="FI768" s="0"/>
      <c r="FJ768" s="0"/>
      <c r="FK768" s="0"/>
      <c r="FL768" s="0"/>
      <c r="FM768" s="0"/>
      <c r="FN768" s="0"/>
      <c r="FO768" s="0"/>
      <c r="FP768" s="0"/>
      <c r="FQ768" s="0"/>
      <c r="FR768" s="0"/>
      <c r="FS768" s="0"/>
      <c r="FT768" s="0"/>
      <c r="FU768" s="0"/>
      <c r="FV768" s="0"/>
      <c r="FW768" s="0"/>
      <c r="FX768" s="0"/>
      <c r="FY768" s="0"/>
      <c r="FZ768" s="0"/>
      <c r="GA768" s="0"/>
      <c r="GB768" s="0"/>
      <c r="GC768" s="0"/>
      <c r="GD768" s="0"/>
      <c r="GE768" s="0"/>
      <c r="GF768" s="0"/>
      <c r="GG768" s="0"/>
      <c r="GH768" s="0"/>
      <c r="GI768" s="0"/>
      <c r="GJ768" s="0"/>
      <c r="GK768" s="0"/>
      <c r="GL768" s="0"/>
      <c r="GM768" s="0"/>
      <c r="GN768" s="0"/>
      <c r="GO768" s="0"/>
      <c r="GP768" s="0"/>
      <c r="GQ768" s="0"/>
      <c r="GR768" s="0"/>
      <c r="GS768" s="0"/>
      <c r="GT768" s="0"/>
      <c r="GU768" s="0"/>
      <c r="GV768" s="0"/>
      <c r="GW768" s="0"/>
      <c r="GX768" s="0"/>
      <c r="GY768" s="0"/>
      <c r="GZ768" s="0"/>
      <c r="HA768" s="0"/>
      <c r="HB768" s="0"/>
      <c r="HC768" s="0"/>
      <c r="HD768" s="0"/>
      <c r="HE768" s="0"/>
      <c r="HF768" s="0"/>
      <c r="HG768" s="0"/>
      <c r="HH768" s="0"/>
      <c r="HI768" s="0"/>
      <c r="HJ768" s="0"/>
      <c r="HK768" s="0"/>
      <c r="HL768" s="0"/>
      <c r="HM768" s="0"/>
      <c r="HN768" s="0"/>
      <c r="HO768" s="0"/>
      <c r="HP768" s="0"/>
      <c r="HQ768" s="0"/>
      <c r="HR768" s="0"/>
      <c r="HS768" s="0"/>
      <c r="HT768" s="0"/>
      <c r="HU768" s="0"/>
      <c r="HV768" s="0"/>
      <c r="HW768" s="0"/>
      <c r="HX768" s="0"/>
      <c r="HY768" s="0"/>
      <c r="HZ768" s="0"/>
      <c r="IA768" s="0"/>
      <c r="IB768" s="0"/>
      <c r="IC768" s="0"/>
      <c r="ID768" s="0"/>
      <c r="IE768" s="0"/>
      <c r="IF768" s="0"/>
      <c r="IG768" s="0"/>
      <c r="IH768" s="0"/>
      <c r="II768" s="0"/>
      <c r="IJ768" s="0"/>
      <c r="IK768" s="0"/>
      <c r="IL768" s="0"/>
      <c r="IM768" s="0"/>
      <c r="IN768" s="0"/>
      <c r="IO768" s="0"/>
      <c r="IP768" s="0"/>
      <c r="IQ768" s="0"/>
      <c r="IR768" s="0"/>
      <c r="IS768" s="0"/>
      <c r="IT768" s="0"/>
      <c r="IU768" s="0"/>
      <c r="IV768" s="0"/>
    </row>
    <row r="769" customFormat="false" ht="20.1" hidden="false" customHeight="true" outlineLevel="0" collapsed="false">
      <c r="A769" s="0"/>
      <c r="B769" s="0"/>
      <c r="C769" s="0"/>
      <c r="D769" s="1185"/>
      <c r="E769" s="1186" t="s">
        <v>1527</v>
      </c>
      <c r="F769" s="1186" t="s">
        <v>1528</v>
      </c>
      <c r="G769" s="1186" t="s">
        <v>1529</v>
      </c>
      <c r="H769" s="55"/>
      <c r="I769" s="14"/>
      <c r="J769" s="620"/>
      <c r="K769" s="903"/>
      <c r="L769" s="877"/>
      <c r="M769" s="0"/>
      <c r="N769" s="0"/>
      <c r="O769" s="0"/>
      <c r="P769" s="0"/>
      <c r="Q769" s="0"/>
      <c r="R769" s="0"/>
      <c r="S769" s="0"/>
      <c r="T769" s="0"/>
      <c r="U769" s="0"/>
      <c r="V769" s="0"/>
      <c r="W769" s="0"/>
      <c r="X769" s="0"/>
      <c r="Y769" s="19"/>
      <c r="Z769" s="0"/>
      <c r="AA769" s="0"/>
      <c r="AB769" s="0"/>
      <c r="AC769" s="0"/>
      <c r="AD769" s="0"/>
      <c r="AE769" s="0"/>
      <c r="AF769" s="0"/>
      <c r="AG769" s="0"/>
      <c r="AH769" s="0"/>
      <c r="AI769" s="0"/>
      <c r="AJ769" s="0"/>
      <c r="AK769" s="0"/>
      <c r="AL769" s="0"/>
      <c r="AM769" s="0"/>
      <c r="AN769" s="0"/>
      <c r="AO769" s="0"/>
      <c r="AP769" s="0"/>
      <c r="AQ769" s="0"/>
      <c r="AR769" s="0"/>
      <c r="AS769" s="0"/>
      <c r="AT769" s="0"/>
      <c r="BS769" s="0"/>
      <c r="BT769" s="0"/>
      <c r="BU769" s="0"/>
      <c r="BV769" s="0"/>
      <c r="BW769" s="0"/>
      <c r="BX769" s="0"/>
      <c r="BY769" s="0"/>
      <c r="BZ769" s="0"/>
      <c r="CA769" s="0"/>
      <c r="CB769" s="0"/>
      <c r="CC769" s="0"/>
      <c r="CD769" s="0"/>
      <c r="CE769" s="0"/>
      <c r="CF769" s="0"/>
      <c r="CG769" s="0"/>
      <c r="CH769" s="0"/>
      <c r="CI769" s="0"/>
      <c r="CJ769" s="0"/>
      <c r="CK769" s="0"/>
      <c r="CL769" s="0"/>
      <c r="CM769" s="0"/>
      <c r="CN769" s="0"/>
      <c r="CO769" s="0"/>
      <c r="CP769" s="0"/>
      <c r="CQ769" s="0"/>
      <c r="CR769" s="0"/>
      <c r="CS769" s="0"/>
      <c r="CT769" s="0"/>
      <c r="CU769" s="0"/>
      <c r="CV769" s="0"/>
      <c r="CW769" s="0"/>
      <c r="CX769" s="0"/>
      <c r="CY769" s="0"/>
      <c r="CZ769" s="0"/>
      <c r="DA769" s="0"/>
      <c r="DB769" s="0"/>
      <c r="DC769" s="0"/>
      <c r="DD769" s="0"/>
      <c r="DE769" s="0"/>
      <c r="DF769" s="0"/>
      <c r="DG769" s="0"/>
      <c r="DH769" s="0"/>
      <c r="DI769" s="0"/>
      <c r="DJ769" s="0"/>
      <c r="DK769" s="0"/>
      <c r="DL769" s="0"/>
      <c r="DM769" s="0"/>
      <c r="DN769" s="0"/>
      <c r="DO769" s="0"/>
      <c r="DP769" s="0"/>
      <c r="DQ769" s="0"/>
      <c r="DR769" s="0"/>
      <c r="DS769" s="0"/>
      <c r="DT769" s="0"/>
      <c r="DU769" s="0"/>
      <c r="DV769" s="0"/>
      <c r="DW769" s="0"/>
      <c r="DX769" s="0"/>
      <c r="DY769" s="0"/>
      <c r="DZ769" s="0"/>
      <c r="EA769" s="0"/>
      <c r="EB769" s="0"/>
      <c r="EC769" s="0"/>
      <c r="ED769" s="0"/>
      <c r="EE769" s="0"/>
      <c r="EF769" s="0"/>
      <c r="EG769" s="0"/>
      <c r="EH769" s="0"/>
      <c r="EI769" s="0"/>
      <c r="EJ769" s="0"/>
      <c r="EK769" s="0"/>
      <c r="EL769" s="0"/>
      <c r="EM769" s="0"/>
      <c r="EN769" s="0"/>
      <c r="EO769" s="0"/>
      <c r="EP769" s="0"/>
      <c r="EQ769" s="0"/>
      <c r="ER769" s="0"/>
      <c r="ES769" s="0"/>
      <c r="ET769" s="0"/>
      <c r="EU769" s="0"/>
      <c r="EV769" s="0"/>
      <c r="EW769" s="0"/>
      <c r="EX769" s="0"/>
      <c r="EY769" s="0"/>
      <c r="EZ769" s="0"/>
      <c r="FA769" s="0"/>
      <c r="FB769" s="0"/>
      <c r="FC769" s="0"/>
      <c r="FD769" s="0"/>
      <c r="FE769" s="0"/>
      <c r="FF769" s="0"/>
      <c r="FG769" s="0"/>
      <c r="FH769" s="0"/>
      <c r="FI769" s="0"/>
      <c r="FJ769" s="0"/>
      <c r="FK769" s="0"/>
      <c r="FL769" s="0"/>
      <c r="FM769" s="0"/>
      <c r="FN769" s="0"/>
      <c r="FO769" s="0"/>
      <c r="FP769" s="0"/>
      <c r="FQ769" s="0"/>
      <c r="FR769" s="0"/>
      <c r="FS769" s="0"/>
      <c r="FT769" s="0"/>
      <c r="FU769" s="0"/>
      <c r="FV769" s="0"/>
      <c r="FW769" s="0"/>
      <c r="FX769" s="0"/>
      <c r="FY769" s="0"/>
      <c r="FZ769" s="0"/>
      <c r="GA769" s="0"/>
      <c r="GB769" s="0"/>
      <c r="GC769" s="0"/>
      <c r="GD769" s="0"/>
      <c r="GE769" s="0"/>
      <c r="GF769" s="0"/>
      <c r="GG769" s="0"/>
      <c r="GH769" s="0"/>
      <c r="GI769" s="0"/>
      <c r="GJ769" s="0"/>
      <c r="GK769" s="0"/>
      <c r="GL769" s="0"/>
      <c r="GM769" s="0"/>
      <c r="GN769" s="0"/>
      <c r="GO769" s="0"/>
      <c r="GP769" s="0"/>
      <c r="GQ769" s="0"/>
      <c r="GR769" s="0"/>
      <c r="GS769" s="0"/>
      <c r="GT769" s="0"/>
      <c r="GU769" s="0"/>
      <c r="GV769" s="0"/>
      <c r="GW769" s="0"/>
      <c r="GX769" s="0"/>
      <c r="GY769" s="0"/>
      <c r="GZ769" s="0"/>
      <c r="HA769" s="0"/>
      <c r="HB769" s="0"/>
      <c r="HC769" s="0"/>
      <c r="HD769" s="0"/>
      <c r="HE769" s="0"/>
      <c r="HF769" s="0"/>
      <c r="HG769" s="0"/>
      <c r="HH769" s="0"/>
      <c r="HI769" s="0"/>
      <c r="HJ769" s="0"/>
      <c r="HK769" s="0"/>
      <c r="HL769" s="0"/>
      <c r="HM769" s="0"/>
      <c r="HN769" s="0"/>
      <c r="HO769" s="0"/>
      <c r="HP769" s="0"/>
      <c r="HQ769" s="0"/>
      <c r="HR769" s="0"/>
      <c r="HS769" s="0"/>
      <c r="HT769" s="0"/>
      <c r="HU769" s="0"/>
      <c r="HV769" s="0"/>
      <c r="HW769" s="0"/>
      <c r="HX769" s="0"/>
      <c r="HY769" s="0"/>
      <c r="HZ769" s="0"/>
      <c r="IA769" s="0"/>
      <c r="IB769" s="0"/>
      <c r="IC769" s="0"/>
      <c r="ID769" s="0"/>
      <c r="IE769" s="0"/>
      <c r="IF769" s="0"/>
      <c r="IG769" s="0"/>
      <c r="IH769" s="0"/>
      <c r="II769" s="0"/>
      <c r="IJ769" s="0"/>
      <c r="IK769" s="0"/>
      <c r="IL769" s="0"/>
      <c r="IM769" s="0"/>
      <c r="IN769" s="0"/>
      <c r="IO769" s="0"/>
      <c r="IP769" s="0"/>
      <c r="IQ769" s="0"/>
      <c r="IR769" s="0"/>
      <c r="IS769" s="0"/>
      <c r="IT769" s="0"/>
      <c r="IU769" s="0"/>
      <c r="IV769" s="0"/>
    </row>
    <row r="770" customFormat="false" ht="20.1" hidden="false" customHeight="true" outlineLevel="0" collapsed="false">
      <c r="A770" s="1146" t="s">
        <v>494</v>
      </c>
      <c r="B770" s="824" t="s">
        <v>253</v>
      </c>
      <c r="C770" s="964" t="s">
        <v>1530</v>
      </c>
      <c r="D770" s="941" t="s">
        <v>1347</v>
      </c>
      <c r="E770" s="1187" t="n">
        <v>3</v>
      </c>
      <c r="F770" s="1187" t="n">
        <v>2</v>
      </c>
      <c r="G770" s="1187" t="n">
        <v>1</v>
      </c>
      <c r="H770" s="55"/>
      <c r="I770" s="1063" t="s">
        <v>1401</v>
      </c>
      <c r="J770" s="1064" t="n">
        <v>1</v>
      </c>
      <c r="K770" s="903"/>
      <c r="L770" s="877" t="s">
        <v>1319</v>
      </c>
      <c r="M770" s="0"/>
      <c r="N770" s="0"/>
      <c r="O770" s="0"/>
      <c r="P770" s="0"/>
      <c r="Q770" s="0"/>
      <c r="R770" s="0"/>
      <c r="S770" s="0"/>
      <c r="T770" s="0"/>
      <c r="U770" s="0"/>
      <c r="V770" s="0"/>
      <c r="W770" s="0"/>
      <c r="X770" s="0"/>
      <c r="Y770" s="19"/>
      <c r="Z770" s="0"/>
      <c r="AA770" s="0"/>
      <c r="AB770" s="0"/>
      <c r="AC770" s="0"/>
      <c r="AD770" s="0"/>
      <c r="AE770" s="0"/>
      <c r="AF770" s="0"/>
      <c r="AG770" s="0"/>
      <c r="AH770" s="0"/>
      <c r="AI770" s="0"/>
      <c r="AJ770" s="0"/>
      <c r="AK770" s="0"/>
      <c r="AL770" s="0"/>
      <c r="AM770" s="0"/>
      <c r="AN770" s="0"/>
      <c r="AO770" s="0"/>
      <c r="AP770" s="0"/>
      <c r="AQ770" s="0"/>
      <c r="AR770" s="0"/>
      <c r="AS770" s="0"/>
      <c r="AT770" s="0"/>
      <c r="BS770" s="0"/>
      <c r="BT770" s="0"/>
      <c r="BU770" s="0"/>
      <c r="BV770" s="0"/>
      <c r="BW770" s="0"/>
      <c r="BX770" s="0"/>
      <c r="BY770" s="0"/>
      <c r="BZ770" s="0"/>
      <c r="CA770" s="0"/>
      <c r="CB770" s="0"/>
      <c r="CC770" s="0"/>
      <c r="CD770" s="0"/>
      <c r="CE770" s="0"/>
      <c r="CF770" s="0"/>
      <c r="CG770" s="0"/>
      <c r="CH770" s="0"/>
      <c r="CI770" s="0"/>
      <c r="CJ770" s="0"/>
      <c r="CK770" s="0"/>
      <c r="CL770" s="0"/>
      <c r="CM770" s="0"/>
      <c r="CN770" s="0"/>
      <c r="CO770" s="0"/>
      <c r="CP770" s="0"/>
      <c r="CQ770" s="0"/>
      <c r="CR770" s="0"/>
      <c r="CS770" s="0"/>
      <c r="CT770" s="0"/>
      <c r="CU770" s="0"/>
      <c r="CV770" s="0"/>
      <c r="CW770" s="0"/>
      <c r="CX770" s="0"/>
      <c r="CY770" s="0"/>
      <c r="CZ770" s="0"/>
      <c r="DA770" s="0"/>
      <c r="DB770" s="0"/>
      <c r="DC770" s="0"/>
      <c r="DD770" s="0"/>
      <c r="DE770" s="0"/>
      <c r="DF770" s="0"/>
      <c r="DG770" s="0"/>
      <c r="DH770" s="0"/>
      <c r="DI770" s="0"/>
      <c r="DJ770" s="0"/>
      <c r="DK770" s="0"/>
      <c r="DL770" s="0"/>
      <c r="DM770" s="0"/>
      <c r="DN770" s="0"/>
      <c r="DO770" s="0"/>
      <c r="DP770" s="0"/>
      <c r="DQ770" s="0"/>
      <c r="DR770" s="0"/>
      <c r="DS770" s="0"/>
      <c r="DT770" s="0"/>
      <c r="DU770" s="0"/>
      <c r="DV770" s="0"/>
      <c r="DW770" s="0"/>
      <c r="DX770" s="0"/>
      <c r="DY770" s="0"/>
      <c r="DZ770" s="0"/>
      <c r="EA770" s="0"/>
      <c r="EB770" s="0"/>
      <c r="EC770" s="0"/>
      <c r="ED770" s="0"/>
      <c r="EE770" s="0"/>
      <c r="EF770" s="0"/>
      <c r="EG770" s="0"/>
      <c r="EH770" s="0"/>
      <c r="EI770" s="0"/>
      <c r="EJ770" s="0"/>
      <c r="EK770" s="0"/>
      <c r="EL770" s="0"/>
      <c r="EM770" s="0"/>
      <c r="EN770" s="0"/>
      <c r="EO770" s="0"/>
      <c r="EP770" s="0"/>
      <c r="EQ770" s="0"/>
      <c r="ER770" s="0"/>
      <c r="ES770" s="0"/>
      <c r="ET770" s="0"/>
      <c r="EU770" s="0"/>
      <c r="EV770" s="0"/>
      <c r="EW770" s="0"/>
      <c r="EX770" s="0"/>
      <c r="EY770" s="0"/>
      <c r="EZ770" s="0"/>
      <c r="FA770" s="0"/>
      <c r="FB770" s="0"/>
      <c r="FC770" s="0"/>
      <c r="FD770" s="0"/>
      <c r="FE770" s="0"/>
      <c r="FF770" s="0"/>
      <c r="FG770" s="0"/>
      <c r="FH770" s="0"/>
      <c r="FI770" s="0"/>
      <c r="FJ770" s="0"/>
      <c r="FK770" s="0"/>
      <c r="FL770" s="0"/>
      <c r="FM770" s="0"/>
      <c r="FN770" s="0"/>
      <c r="FO770" s="0"/>
      <c r="FP770" s="0"/>
      <c r="FQ770" s="0"/>
      <c r="FR770" s="0"/>
      <c r="FS770" s="0"/>
      <c r="FT770" s="0"/>
      <c r="FU770" s="0"/>
      <c r="FV770" s="0"/>
      <c r="FW770" s="0"/>
      <c r="FX770" s="0"/>
      <c r="FY770" s="0"/>
      <c r="FZ770" s="0"/>
      <c r="GA770" s="0"/>
      <c r="GB770" s="0"/>
      <c r="GC770" s="0"/>
      <c r="GD770" s="0"/>
      <c r="GE770" s="0"/>
      <c r="GF770" s="0"/>
      <c r="GG770" s="0"/>
      <c r="GH770" s="0"/>
      <c r="GI770" s="0"/>
      <c r="GJ770" s="0"/>
      <c r="GK770" s="0"/>
      <c r="GL770" s="0"/>
      <c r="GM770" s="0"/>
      <c r="GN770" s="0"/>
      <c r="GO770" s="0"/>
      <c r="GP770" s="0"/>
      <c r="GQ770" s="0"/>
      <c r="GR770" s="0"/>
      <c r="GS770" s="0"/>
      <c r="GT770" s="0"/>
      <c r="GU770" s="0"/>
      <c r="GV770" s="0"/>
      <c r="GW770" s="0"/>
      <c r="GX770" s="0"/>
      <c r="GY770" s="0"/>
      <c r="GZ770" s="0"/>
      <c r="HA770" s="0"/>
      <c r="HB770" s="0"/>
      <c r="HC770" s="0"/>
      <c r="HD770" s="0"/>
      <c r="HE770" s="0"/>
      <c r="HF770" s="0"/>
      <c r="HG770" s="0"/>
      <c r="HH770" s="0"/>
      <c r="HI770" s="0"/>
      <c r="HJ770" s="0"/>
      <c r="HK770" s="0"/>
      <c r="HL770" s="0"/>
      <c r="HM770" s="0"/>
      <c r="HN770" s="0"/>
      <c r="HO770" s="0"/>
      <c r="HP770" s="0"/>
      <c r="HQ770" s="0"/>
      <c r="HR770" s="0"/>
      <c r="HS770" s="0"/>
      <c r="HT770" s="0"/>
      <c r="HU770" s="0"/>
      <c r="HV770" s="0"/>
      <c r="HW770" s="0"/>
      <c r="HX770" s="0"/>
      <c r="HY770" s="0"/>
      <c r="HZ770" s="0"/>
      <c r="IA770" s="0"/>
      <c r="IB770" s="0"/>
      <c r="IC770" s="0"/>
      <c r="ID770" s="0"/>
      <c r="IE770" s="0"/>
      <c r="IF770" s="0"/>
      <c r="IG770" s="0"/>
      <c r="IH770" s="0"/>
      <c r="II770" s="0"/>
      <c r="IJ770" s="0"/>
      <c r="IK770" s="0"/>
      <c r="IL770" s="0"/>
      <c r="IM770" s="0"/>
      <c r="IN770" s="0"/>
      <c r="IO770" s="0"/>
      <c r="IP770" s="0"/>
      <c r="IQ770" s="0"/>
      <c r="IR770" s="0"/>
      <c r="IS770" s="0"/>
      <c r="IT770" s="0"/>
      <c r="IU770" s="0"/>
      <c r="IV770" s="0"/>
    </row>
    <row r="771" customFormat="false" ht="20.1" hidden="false" customHeight="true" outlineLevel="0" collapsed="false">
      <c r="A771" s="0"/>
      <c r="B771" s="0"/>
      <c r="C771" s="964"/>
      <c r="D771" s="1186" t="s">
        <v>1346</v>
      </c>
      <c r="E771" s="1188" t="n">
        <v>2</v>
      </c>
      <c r="F771" s="1188" t="n">
        <v>1</v>
      </c>
      <c r="G771" s="1188" t="n">
        <v>0</v>
      </c>
      <c r="H771" s="0"/>
      <c r="I771" s="1063"/>
      <c r="J771" s="1064"/>
      <c r="K771" s="903"/>
      <c r="L771" s="877"/>
      <c r="M771" s="0"/>
      <c r="N771" s="0"/>
      <c r="O771" s="0"/>
      <c r="P771" s="0"/>
      <c r="Q771" s="0"/>
      <c r="R771" s="0"/>
      <c r="S771" s="0"/>
      <c r="T771" s="0"/>
      <c r="U771" s="0"/>
      <c r="V771" s="0"/>
      <c r="W771" s="0"/>
      <c r="X771" s="0"/>
      <c r="Y771" s="19"/>
      <c r="Z771" s="0"/>
      <c r="AA771" s="0"/>
      <c r="AB771" s="0"/>
      <c r="AC771" s="0"/>
      <c r="AD771" s="0"/>
      <c r="AE771" s="0"/>
      <c r="AF771" s="0"/>
      <c r="AG771" s="0"/>
      <c r="AH771" s="0"/>
      <c r="AI771" s="0"/>
      <c r="AJ771" s="0"/>
      <c r="AK771" s="0"/>
      <c r="AL771" s="0"/>
      <c r="AM771" s="0"/>
      <c r="AN771" s="0"/>
      <c r="AO771" s="0"/>
      <c r="AP771" s="0"/>
      <c r="AQ771" s="0"/>
      <c r="AR771" s="0"/>
      <c r="AS771" s="0"/>
      <c r="AT771" s="0"/>
      <c r="BS771" s="0"/>
      <c r="BT771" s="0"/>
      <c r="BU771" s="0"/>
      <c r="BV771" s="0"/>
      <c r="BW771" s="0"/>
      <c r="BX771" s="0"/>
      <c r="BY771" s="0"/>
      <c r="BZ771" s="0"/>
      <c r="CA771" s="0"/>
      <c r="CB771" s="0"/>
      <c r="CC771" s="0"/>
      <c r="CD771" s="0"/>
      <c r="CE771" s="0"/>
      <c r="CF771" s="0"/>
      <c r="CG771" s="0"/>
      <c r="CH771" s="0"/>
      <c r="CI771" s="0"/>
      <c r="CJ771" s="0"/>
      <c r="CK771" s="0"/>
      <c r="CL771" s="0"/>
      <c r="CM771" s="0"/>
      <c r="CN771" s="0"/>
      <c r="CO771" s="0"/>
      <c r="CP771" s="0"/>
      <c r="CQ771" s="0"/>
      <c r="CR771" s="0"/>
      <c r="CS771" s="0"/>
      <c r="CT771" s="0"/>
      <c r="CU771" s="0"/>
      <c r="CV771" s="0"/>
      <c r="CW771" s="0"/>
      <c r="CX771" s="0"/>
      <c r="CY771" s="0"/>
      <c r="CZ771" s="0"/>
      <c r="DA771" s="0"/>
      <c r="DB771" s="0"/>
      <c r="DC771" s="0"/>
      <c r="DD771" s="0"/>
      <c r="DE771" s="0"/>
      <c r="DF771" s="0"/>
      <c r="DG771" s="0"/>
      <c r="DH771" s="0"/>
      <c r="DI771" s="0"/>
      <c r="DJ771" s="0"/>
      <c r="DK771" s="0"/>
      <c r="DL771" s="0"/>
      <c r="DM771" s="0"/>
      <c r="DN771" s="0"/>
      <c r="DO771" s="0"/>
      <c r="DP771" s="0"/>
      <c r="DQ771" s="0"/>
      <c r="DR771" s="0"/>
      <c r="DS771" s="0"/>
      <c r="DT771" s="0"/>
      <c r="DU771" s="0"/>
      <c r="DV771" s="0"/>
      <c r="DW771" s="0"/>
      <c r="DX771" s="0"/>
      <c r="DY771" s="0"/>
      <c r="DZ771" s="0"/>
      <c r="EA771" s="0"/>
      <c r="EB771" s="0"/>
      <c r="EC771" s="0"/>
      <c r="ED771" s="0"/>
      <c r="EE771" s="0"/>
      <c r="EF771" s="0"/>
      <c r="EG771" s="0"/>
      <c r="EH771" s="0"/>
      <c r="EI771" s="0"/>
      <c r="EJ771" s="0"/>
      <c r="EK771" s="0"/>
      <c r="EL771" s="0"/>
      <c r="EM771" s="0"/>
      <c r="EN771" s="0"/>
      <c r="EO771" s="0"/>
      <c r="EP771" s="0"/>
      <c r="EQ771" s="0"/>
      <c r="ER771" s="0"/>
      <c r="ES771" s="0"/>
      <c r="ET771" s="0"/>
      <c r="EU771" s="0"/>
      <c r="EV771" s="0"/>
      <c r="EW771" s="0"/>
      <c r="EX771" s="0"/>
      <c r="EY771" s="0"/>
      <c r="EZ771" s="0"/>
      <c r="FA771" s="0"/>
      <c r="FB771" s="0"/>
      <c r="FC771" s="0"/>
      <c r="FD771" s="0"/>
      <c r="FE771" s="0"/>
      <c r="FF771" s="0"/>
      <c r="FG771" s="0"/>
      <c r="FH771" s="0"/>
      <c r="FI771" s="0"/>
      <c r="FJ771" s="0"/>
      <c r="FK771" s="0"/>
      <c r="FL771" s="0"/>
      <c r="FM771" s="0"/>
      <c r="FN771" s="0"/>
      <c r="FO771" s="0"/>
      <c r="FP771" s="0"/>
      <c r="FQ771" s="0"/>
      <c r="FR771" s="0"/>
      <c r="FS771" s="0"/>
      <c r="FT771" s="0"/>
      <c r="FU771" s="0"/>
      <c r="FV771" s="0"/>
      <c r="FW771" s="0"/>
      <c r="FX771" s="0"/>
      <c r="FY771" s="0"/>
      <c r="FZ771" s="0"/>
      <c r="GA771" s="0"/>
      <c r="GB771" s="0"/>
      <c r="GC771" s="0"/>
      <c r="GD771" s="0"/>
      <c r="GE771" s="0"/>
      <c r="GF771" s="0"/>
      <c r="GG771" s="0"/>
      <c r="GH771" s="0"/>
      <c r="GI771" s="0"/>
      <c r="GJ771" s="0"/>
      <c r="GK771" s="0"/>
      <c r="GL771" s="0"/>
      <c r="GM771" s="0"/>
      <c r="GN771" s="0"/>
      <c r="GO771" s="0"/>
      <c r="GP771" s="0"/>
      <c r="GQ771" s="0"/>
      <c r="GR771" s="0"/>
      <c r="GS771" s="0"/>
      <c r="GT771" s="0"/>
      <c r="GU771" s="0"/>
      <c r="GV771" s="0"/>
      <c r="GW771" s="0"/>
      <c r="GX771" s="0"/>
      <c r="GY771" s="0"/>
      <c r="GZ771" s="0"/>
      <c r="HA771" s="0"/>
      <c r="HB771" s="0"/>
      <c r="HC771" s="0"/>
      <c r="HD771" s="0"/>
      <c r="HE771" s="0"/>
      <c r="HF771" s="0"/>
      <c r="HG771" s="0"/>
      <c r="HH771" s="0"/>
      <c r="HI771" s="0"/>
      <c r="HJ771" s="0"/>
      <c r="HK771" s="0"/>
      <c r="HL771" s="0"/>
      <c r="HM771" s="0"/>
      <c r="HN771" s="0"/>
      <c r="HO771" s="0"/>
      <c r="HP771" s="0"/>
      <c r="HQ771" s="0"/>
      <c r="HR771" s="0"/>
      <c r="HS771" s="0"/>
      <c r="HT771" s="0"/>
      <c r="HU771" s="0"/>
      <c r="HV771" s="0"/>
      <c r="HW771" s="0"/>
      <c r="HX771" s="0"/>
      <c r="HY771" s="0"/>
      <c r="HZ771" s="0"/>
      <c r="IA771" s="0"/>
      <c r="IB771" s="0"/>
      <c r="IC771" s="0"/>
      <c r="ID771" s="0"/>
      <c r="IE771" s="0"/>
      <c r="IF771" s="0"/>
      <c r="IG771" s="0"/>
      <c r="IH771" s="0"/>
      <c r="II771" s="0"/>
      <c r="IJ771" s="0"/>
      <c r="IK771" s="0"/>
      <c r="IL771" s="0"/>
      <c r="IM771" s="0"/>
      <c r="IN771" s="0"/>
      <c r="IO771" s="0"/>
      <c r="IP771" s="0"/>
      <c r="IQ771" s="0"/>
      <c r="IR771" s="0"/>
      <c r="IS771" s="0"/>
      <c r="IT771" s="0"/>
      <c r="IU771" s="0"/>
      <c r="IV771" s="0"/>
    </row>
    <row r="772" customFormat="false" ht="20.1" hidden="false" customHeight="true" outlineLevel="0" collapsed="false">
      <c r="A772" s="0"/>
      <c r="B772" s="0"/>
      <c r="C772" s="1189" t="s">
        <v>1531</v>
      </c>
      <c r="D772" s="1189"/>
      <c r="E772" s="1190" t="n">
        <v>3</v>
      </c>
      <c r="F772" s="1190"/>
      <c r="G772" s="1190"/>
      <c r="H772" s="55"/>
      <c r="I772" s="1063" t="s">
        <v>1401</v>
      </c>
      <c r="J772" s="1064"/>
      <c r="K772" s="620"/>
      <c r="L772" s="620"/>
      <c r="M772" s="0"/>
      <c r="Y772" s="19"/>
      <c r="Z772" s="0"/>
      <c r="AA772" s="0"/>
      <c r="AB772" s="0"/>
      <c r="AC772" s="0"/>
      <c r="AD772" s="0"/>
      <c r="AE772" s="0"/>
      <c r="AF772" s="0"/>
      <c r="AG772" s="0"/>
      <c r="AH772" s="0"/>
      <c r="AI772" s="0"/>
      <c r="AJ772" s="0"/>
      <c r="AK772" s="0"/>
      <c r="AL772" s="0"/>
      <c r="AM772" s="0"/>
      <c r="AN772" s="0"/>
      <c r="AO772" s="0"/>
      <c r="AP772" s="0"/>
      <c r="AQ772" s="0"/>
      <c r="AR772" s="0"/>
      <c r="AS772" s="0"/>
      <c r="AT772" s="0"/>
      <c r="BS772" s="0"/>
      <c r="BT772" s="0"/>
      <c r="BU772" s="0"/>
      <c r="BV772" s="0"/>
      <c r="BW772" s="0"/>
      <c r="BX772" s="0"/>
      <c r="BY772" s="0"/>
      <c r="BZ772" s="0"/>
      <c r="CA772" s="0"/>
      <c r="CB772" s="0"/>
      <c r="CC772" s="0"/>
      <c r="CD772" s="0"/>
      <c r="CE772" s="0"/>
      <c r="CF772" s="0"/>
      <c r="CG772" s="0"/>
      <c r="CH772" s="0"/>
      <c r="CI772" s="0"/>
      <c r="CJ772" s="0"/>
      <c r="CK772" s="0"/>
      <c r="CL772" s="0"/>
      <c r="CM772" s="0"/>
      <c r="CN772" s="0"/>
      <c r="CO772" s="0"/>
      <c r="CP772" s="0"/>
      <c r="CQ772" s="0"/>
      <c r="CR772" s="0"/>
      <c r="CS772" s="0"/>
      <c r="CT772" s="0"/>
      <c r="CU772" s="0"/>
      <c r="CV772" s="0"/>
      <c r="CW772" s="0"/>
      <c r="CX772" s="0"/>
      <c r="CY772" s="0"/>
      <c r="CZ772" s="0"/>
      <c r="DA772" s="0"/>
      <c r="DB772" s="0"/>
      <c r="DC772" s="0"/>
      <c r="DD772" s="0"/>
      <c r="DE772" s="0"/>
      <c r="DF772" s="0"/>
      <c r="DG772" s="0"/>
      <c r="DH772" s="0"/>
      <c r="DI772" s="0"/>
      <c r="DJ772" s="0"/>
      <c r="DK772" s="0"/>
      <c r="DL772" s="0"/>
      <c r="DM772" s="0"/>
      <c r="DN772" s="0"/>
      <c r="DO772" s="0"/>
      <c r="DP772" s="0"/>
      <c r="DQ772" s="0"/>
      <c r="DR772" s="0"/>
      <c r="DS772" s="0"/>
      <c r="DT772" s="0"/>
      <c r="DU772" s="0"/>
      <c r="DV772" s="0"/>
      <c r="DW772" s="0"/>
      <c r="DX772" s="0"/>
      <c r="DY772" s="0"/>
      <c r="DZ772" s="0"/>
      <c r="EA772" s="0"/>
      <c r="EB772" s="0"/>
      <c r="EC772" s="0"/>
      <c r="ED772" s="0"/>
      <c r="EE772" s="0"/>
      <c r="EF772" s="0"/>
      <c r="EG772" s="0"/>
      <c r="EH772" s="0"/>
      <c r="EI772" s="0"/>
      <c r="EJ772" s="0"/>
      <c r="EK772" s="0"/>
      <c r="EL772" s="0"/>
      <c r="EM772" s="0"/>
      <c r="EN772" s="0"/>
      <c r="EO772" s="0"/>
      <c r="EP772" s="0"/>
      <c r="EQ772" s="0"/>
      <c r="ER772" s="0"/>
      <c r="ES772" s="0"/>
      <c r="ET772" s="0"/>
      <c r="EU772" s="0"/>
      <c r="EV772" s="0"/>
      <c r="EW772" s="0"/>
      <c r="EX772" s="0"/>
      <c r="EY772" s="0"/>
      <c r="EZ772" s="0"/>
      <c r="FA772" s="0"/>
      <c r="FB772" s="0"/>
      <c r="FC772" s="0"/>
      <c r="FD772" s="0"/>
      <c r="FE772" s="0"/>
      <c r="FF772" s="0"/>
      <c r="FG772" s="0"/>
      <c r="FH772" s="0"/>
      <c r="FI772" s="0"/>
      <c r="FJ772" s="0"/>
      <c r="FK772" s="0"/>
      <c r="FL772" s="0"/>
      <c r="FM772" s="0"/>
      <c r="FN772" s="0"/>
      <c r="FO772" s="0"/>
      <c r="FP772" s="0"/>
      <c r="FQ772" s="0"/>
      <c r="FR772" s="0"/>
      <c r="FS772" s="0"/>
      <c r="FT772" s="0"/>
      <c r="FU772" s="0"/>
      <c r="FV772" s="0"/>
      <c r="FW772" s="0"/>
      <c r="FX772" s="0"/>
      <c r="FY772" s="0"/>
      <c r="FZ772" s="0"/>
      <c r="GA772" s="0"/>
      <c r="GB772" s="0"/>
      <c r="GC772" s="0"/>
      <c r="GD772" s="0"/>
      <c r="GE772" s="0"/>
      <c r="GF772" s="0"/>
      <c r="GG772" s="0"/>
      <c r="GH772" s="0"/>
      <c r="GI772" s="0"/>
      <c r="GJ772" s="0"/>
      <c r="GK772" s="0"/>
      <c r="GL772" s="0"/>
      <c r="GM772" s="0"/>
      <c r="GN772" s="0"/>
      <c r="GO772" s="0"/>
      <c r="GP772" s="0"/>
      <c r="GQ772" s="0"/>
      <c r="GR772" s="0"/>
      <c r="GS772" s="0"/>
      <c r="GT772" s="0"/>
      <c r="GU772" s="0"/>
      <c r="GV772" s="0"/>
      <c r="GW772" s="0"/>
      <c r="GX772" s="0"/>
      <c r="GY772" s="0"/>
      <c r="GZ772" s="0"/>
      <c r="HA772" s="0"/>
      <c r="HB772" s="0"/>
      <c r="HC772" s="0"/>
      <c r="HD772" s="0"/>
      <c r="HE772" s="0"/>
      <c r="HF772" s="0"/>
      <c r="HG772" s="0"/>
      <c r="HH772" s="0"/>
      <c r="HI772" s="0"/>
      <c r="HJ772" s="0"/>
      <c r="HK772" s="0"/>
      <c r="HL772" s="0"/>
      <c r="HM772" s="0"/>
      <c r="HN772" s="0"/>
      <c r="HO772" s="0"/>
      <c r="HP772" s="0"/>
      <c r="HQ772" s="0"/>
      <c r="HR772" s="0"/>
      <c r="HS772" s="0"/>
      <c r="HT772" s="0"/>
      <c r="HU772" s="0"/>
      <c r="HV772" s="0"/>
      <c r="HW772" s="0"/>
      <c r="HX772" s="0"/>
      <c r="HY772" s="0"/>
      <c r="HZ772" s="0"/>
      <c r="IA772" s="0"/>
      <c r="IB772" s="0"/>
      <c r="IC772" s="0"/>
      <c r="ID772" s="0"/>
      <c r="IE772" s="0"/>
      <c r="IF772" s="0"/>
      <c r="IG772" s="0"/>
      <c r="IH772" s="0"/>
      <c r="II772" s="0"/>
      <c r="IJ772" s="0"/>
      <c r="IK772" s="0"/>
      <c r="IL772" s="0"/>
      <c r="IM772" s="0"/>
      <c r="IN772" s="0"/>
      <c r="IO772" s="0"/>
      <c r="IP772" s="0"/>
      <c r="IQ772" s="0"/>
      <c r="IR772" s="0"/>
      <c r="IS772" s="0"/>
      <c r="IT772" s="0"/>
      <c r="IU772" s="0"/>
      <c r="IV772" s="0"/>
    </row>
    <row r="773" customFormat="false" ht="20.1" hidden="false" customHeight="true" outlineLevel="0" collapsed="false">
      <c r="A773" s="19"/>
      <c r="B773" s="0"/>
      <c r="C773" s="0"/>
      <c r="D773" s="1179"/>
      <c r="E773" s="935"/>
      <c r="F773" s="55"/>
      <c r="G773" s="55"/>
      <c r="H773" s="55"/>
      <c r="I773" s="620"/>
      <c r="J773" s="620"/>
      <c r="K773" s="620"/>
      <c r="L773" s="620"/>
      <c r="M773" s="0"/>
      <c r="N773" s="0"/>
      <c r="O773" s="0"/>
      <c r="P773" s="0"/>
      <c r="Q773" s="0"/>
      <c r="R773" s="0"/>
      <c r="S773" s="0"/>
      <c r="T773" s="0"/>
      <c r="U773" s="0"/>
      <c r="V773" s="0"/>
      <c r="W773" s="0"/>
      <c r="X773" s="0"/>
      <c r="Y773" s="19"/>
      <c r="Z773" s="0"/>
      <c r="AA773" s="0"/>
      <c r="AB773" s="0"/>
      <c r="AC773" s="0"/>
      <c r="AD773" s="0"/>
      <c r="AE773" s="0"/>
      <c r="AF773" s="0"/>
      <c r="AG773" s="0"/>
      <c r="AH773" s="0"/>
      <c r="AI773" s="0"/>
      <c r="AJ773" s="0"/>
      <c r="AK773" s="0"/>
      <c r="AL773" s="0"/>
      <c r="AM773" s="0"/>
      <c r="AN773" s="0"/>
      <c r="AO773" s="0"/>
      <c r="AP773" s="0"/>
      <c r="AQ773" s="0"/>
      <c r="AR773" s="0"/>
      <c r="AS773" s="0"/>
      <c r="AT773" s="0"/>
      <c r="BS773" s="0"/>
      <c r="BT773" s="0"/>
      <c r="BU773" s="0"/>
      <c r="BV773" s="0"/>
      <c r="BW773" s="0"/>
      <c r="BX773" s="0"/>
      <c r="BY773" s="0"/>
      <c r="BZ773" s="0"/>
      <c r="CA773" s="0"/>
      <c r="CB773" s="0"/>
      <c r="CC773" s="0"/>
      <c r="CD773" s="0"/>
      <c r="CE773" s="0"/>
      <c r="CF773" s="0"/>
      <c r="CG773" s="0"/>
      <c r="CH773" s="0"/>
      <c r="CI773" s="0"/>
      <c r="CJ773" s="0"/>
      <c r="CK773" s="0"/>
      <c r="CL773" s="0"/>
      <c r="CM773" s="0"/>
      <c r="CN773" s="0"/>
      <c r="CO773" s="0"/>
      <c r="CP773" s="0"/>
      <c r="CQ773" s="0"/>
      <c r="CR773" s="0"/>
      <c r="CS773" s="0"/>
      <c r="CT773" s="0"/>
      <c r="CU773" s="0"/>
      <c r="CV773" s="0"/>
      <c r="CW773" s="0"/>
      <c r="CX773" s="0"/>
      <c r="CY773" s="0"/>
      <c r="CZ773" s="0"/>
      <c r="DA773" s="0"/>
      <c r="DB773" s="0"/>
      <c r="DC773" s="0"/>
      <c r="DD773" s="0"/>
      <c r="DE773" s="0"/>
      <c r="DF773" s="0"/>
      <c r="DG773" s="0"/>
      <c r="DH773" s="0"/>
      <c r="DI773" s="0"/>
      <c r="DJ773" s="0"/>
      <c r="DK773" s="0"/>
      <c r="DL773" s="0"/>
      <c r="DM773" s="0"/>
      <c r="DN773" s="0"/>
      <c r="DO773" s="0"/>
      <c r="DP773" s="0"/>
      <c r="DQ773" s="0"/>
      <c r="DR773" s="0"/>
      <c r="DS773" s="0"/>
      <c r="DT773" s="0"/>
      <c r="DU773" s="0"/>
      <c r="DV773" s="0"/>
      <c r="DW773" s="0"/>
      <c r="DX773" s="0"/>
      <c r="DY773" s="0"/>
      <c r="DZ773" s="0"/>
      <c r="EA773" s="0"/>
      <c r="EB773" s="0"/>
      <c r="EC773" s="0"/>
      <c r="ED773" s="0"/>
      <c r="EE773" s="0"/>
      <c r="EF773" s="0"/>
      <c r="EG773" s="0"/>
      <c r="EH773" s="0"/>
      <c r="EI773" s="0"/>
      <c r="EJ773" s="0"/>
      <c r="EK773" s="0"/>
      <c r="EL773" s="0"/>
      <c r="EM773" s="0"/>
      <c r="EN773" s="0"/>
      <c r="EO773" s="0"/>
      <c r="EP773" s="0"/>
      <c r="EQ773" s="0"/>
      <c r="ER773" s="0"/>
      <c r="ES773" s="0"/>
      <c r="ET773" s="0"/>
      <c r="EU773" s="0"/>
      <c r="EV773" s="0"/>
      <c r="EW773" s="0"/>
      <c r="EX773" s="0"/>
      <c r="EY773" s="0"/>
      <c r="EZ773" s="0"/>
      <c r="FA773" s="0"/>
      <c r="FB773" s="0"/>
      <c r="FC773" s="0"/>
      <c r="FD773" s="0"/>
      <c r="FE773" s="0"/>
      <c r="FF773" s="0"/>
      <c r="FG773" s="0"/>
      <c r="FH773" s="0"/>
      <c r="FI773" s="0"/>
      <c r="FJ773" s="0"/>
      <c r="FK773" s="0"/>
      <c r="FL773" s="0"/>
      <c r="FM773" s="0"/>
      <c r="FN773" s="0"/>
      <c r="FO773" s="0"/>
      <c r="FP773" s="0"/>
      <c r="FQ773" s="0"/>
      <c r="FR773" s="0"/>
      <c r="FS773" s="0"/>
      <c r="FT773" s="0"/>
      <c r="FU773" s="0"/>
      <c r="FV773" s="0"/>
      <c r="FW773" s="0"/>
      <c r="FX773" s="0"/>
      <c r="FY773" s="0"/>
      <c r="FZ773" s="0"/>
      <c r="GA773" s="0"/>
      <c r="GB773" s="0"/>
      <c r="GC773" s="0"/>
      <c r="GD773" s="0"/>
      <c r="GE773" s="0"/>
      <c r="GF773" s="0"/>
      <c r="GG773" s="0"/>
      <c r="GH773" s="0"/>
      <c r="GI773" s="0"/>
      <c r="GJ773" s="0"/>
      <c r="GK773" s="0"/>
      <c r="GL773" s="0"/>
      <c r="GM773" s="0"/>
      <c r="GN773" s="0"/>
      <c r="GO773" s="0"/>
      <c r="GP773" s="0"/>
      <c r="GQ773" s="0"/>
      <c r="GR773" s="0"/>
      <c r="GS773" s="0"/>
      <c r="GT773" s="0"/>
      <c r="GU773" s="0"/>
      <c r="GV773" s="0"/>
      <c r="GW773" s="0"/>
      <c r="GX773" s="0"/>
      <c r="GY773" s="0"/>
      <c r="GZ773" s="0"/>
      <c r="HA773" s="0"/>
      <c r="HB773" s="0"/>
      <c r="HC773" s="0"/>
      <c r="HD773" s="0"/>
      <c r="HE773" s="0"/>
      <c r="HF773" s="0"/>
      <c r="HG773" s="0"/>
      <c r="HH773" s="0"/>
      <c r="HI773" s="0"/>
      <c r="HJ773" s="0"/>
      <c r="HK773" s="0"/>
      <c r="HL773" s="0"/>
      <c r="HM773" s="0"/>
      <c r="HN773" s="0"/>
      <c r="HO773" s="0"/>
      <c r="HP773" s="0"/>
      <c r="HQ773" s="0"/>
      <c r="HR773" s="0"/>
      <c r="HS773" s="0"/>
      <c r="HT773" s="0"/>
      <c r="HU773" s="0"/>
      <c r="HV773" s="0"/>
      <c r="HW773" s="0"/>
      <c r="HX773" s="0"/>
      <c r="HY773" s="0"/>
      <c r="HZ773" s="0"/>
      <c r="IA773" s="0"/>
      <c r="IB773" s="0"/>
      <c r="IC773" s="0"/>
      <c r="ID773" s="0"/>
      <c r="IE773" s="0"/>
      <c r="IF773" s="0"/>
      <c r="IG773" s="0"/>
      <c r="IH773" s="0"/>
      <c r="II773" s="0"/>
      <c r="IJ773" s="0"/>
      <c r="IK773" s="0"/>
      <c r="IL773" s="0"/>
      <c r="IM773" s="0"/>
      <c r="IN773" s="0"/>
      <c r="IO773" s="0"/>
      <c r="IP773" s="0"/>
      <c r="IQ773" s="0"/>
      <c r="IR773" s="0"/>
      <c r="IS773" s="0"/>
      <c r="IT773" s="0"/>
      <c r="IU773" s="0"/>
      <c r="IV773" s="0"/>
    </row>
    <row r="774" customFormat="false" ht="20.1" hidden="false" customHeight="true" outlineLevel="0" collapsed="false">
      <c r="A774" s="19"/>
      <c r="B774" s="0"/>
      <c r="C774" s="0"/>
      <c r="D774" s="1179"/>
      <c r="E774" s="935"/>
      <c r="F774" s="55"/>
      <c r="G774" s="55"/>
      <c r="H774" s="55"/>
      <c r="I774" s="14"/>
      <c r="J774" s="620"/>
      <c r="K774" s="903"/>
      <c r="L774" s="877"/>
      <c r="M774" s="0"/>
      <c r="N774" s="0"/>
      <c r="O774" s="0"/>
      <c r="P774" s="0"/>
      <c r="Q774" s="0"/>
      <c r="R774" s="0"/>
      <c r="S774" s="0"/>
      <c r="T774" s="0"/>
      <c r="U774" s="0"/>
      <c r="V774" s="0"/>
      <c r="W774" s="0"/>
      <c r="X774" s="0"/>
      <c r="Y774" s="19"/>
      <c r="Z774" s="0"/>
      <c r="AA774" s="0"/>
      <c r="AB774" s="0"/>
      <c r="AC774" s="0"/>
      <c r="AD774" s="0"/>
      <c r="AE774" s="0"/>
      <c r="AF774" s="0"/>
      <c r="AG774" s="0"/>
      <c r="AH774" s="0"/>
      <c r="AI774" s="0"/>
      <c r="AJ774" s="0"/>
      <c r="AK774" s="0"/>
      <c r="AL774" s="0"/>
      <c r="AM774" s="0"/>
      <c r="AN774" s="0"/>
      <c r="AO774" s="0"/>
      <c r="AP774" s="0"/>
      <c r="AQ774" s="0"/>
      <c r="AR774" s="0"/>
      <c r="AS774" s="0"/>
      <c r="AT774" s="0"/>
      <c r="BS774" s="0"/>
      <c r="BT774" s="0"/>
      <c r="BU774" s="0"/>
      <c r="BV774" s="0"/>
      <c r="BW774" s="0"/>
      <c r="BX774" s="0"/>
      <c r="BY774" s="0"/>
      <c r="BZ774" s="0"/>
      <c r="CA774" s="0"/>
      <c r="CB774" s="0"/>
      <c r="CC774" s="0"/>
      <c r="CD774" s="0"/>
      <c r="CE774" s="0"/>
      <c r="CF774" s="0"/>
      <c r="CG774" s="0"/>
      <c r="CH774" s="0"/>
      <c r="CI774" s="0"/>
      <c r="CJ774" s="0"/>
      <c r="CK774" s="0"/>
      <c r="CL774" s="0"/>
      <c r="CM774" s="0"/>
      <c r="CN774" s="0"/>
      <c r="CO774" s="0"/>
      <c r="CP774" s="0"/>
      <c r="CQ774" s="0"/>
      <c r="CR774" s="0"/>
      <c r="CS774" s="0"/>
      <c r="CT774" s="0"/>
      <c r="CU774" s="0"/>
      <c r="CV774" s="0"/>
      <c r="CW774" s="0"/>
      <c r="CX774" s="0"/>
      <c r="CY774" s="0"/>
      <c r="CZ774" s="0"/>
      <c r="DA774" s="0"/>
      <c r="DB774" s="0"/>
      <c r="DC774" s="0"/>
      <c r="DD774" s="0"/>
      <c r="DE774" s="0"/>
      <c r="DF774" s="0"/>
      <c r="DG774" s="0"/>
      <c r="DH774" s="0"/>
      <c r="DI774" s="0"/>
      <c r="DJ774" s="0"/>
      <c r="DK774" s="0"/>
      <c r="DL774" s="0"/>
      <c r="DM774" s="0"/>
      <c r="DN774" s="0"/>
      <c r="DO774" s="0"/>
      <c r="DP774" s="0"/>
      <c r="DQ774" s="0"/>
      <c r="DR774" s="0"/>
      <c r="DS774" s="0"/>
      <c r="DT774" s="0"/>
      <c r="DU774" s="0"/>
      <c r="DV774" s="0"/>
      <c r="DW774" s="0"/>
      <c r="DX774" s="0"/>
      <c r="DY774" s="0"/>
      <c r="DZ774" s="0"/>
      <c r="EA774" s="0"/>
      <c r="EB774" s="0"/>
      <c r="EC774" s="0"/>
      <c r="ED774" s="0"/>
      <c r="EE774" s="0"/>
      <c r="EF774" s="0"/>
      <c r="EG774" s="0"/>
      <c r="EH774" s="0"/>
      <c r="EI774" s="0"/>
      <c r="EJ774" s="0"/>
      <c r="EK774" s="0"/>
      <c r="EL774" s="0"/>
      <c r="EM774" s="0"/>
      <c r="EN774" s="0"/>
      <c r="EO774" s="0"/>
      <c r="EP774" s="0"/>
      <c r="EQ774" s="0"/>
      <c r="ER774" s="0"/>
      <c r="ES774" s="0"/>
      <c r="ET774" s="0"/>
      <c r="EU774" s="0"/>
      <c r="EV774" s="0"/>
      <c r="EW774" s="0"/>
      <c r="EX774" s="0"/>
      <c r="EY774" s="0"/>
      <c r="EZ774" s="0"/>
      <c r="FA774" s="0"/>
      <c r="FB774" s="0"/>
      <c r="FC774" s="0"/>
      <c r="FD774" s="0"/>
      <c r="FE774" s="0"/>
      <c r="FF774" s="0"/>
      <c r="FG774" s="0"/>
      <c r="FH774" s="0"/>
      <c r="FI774" s="0"/>
      <c r="FJ774" s="0"/>
      <c r="FK774" s="0"/>
      <c r="FL774" s="0"/>
      <c r="FM774" s="0"/>
      <c r="FN774" s="0"/>
      <c r="FO774" s="0"/>
      <c r="FP774" s="0"/>
      <c r="FQ774" s="0"/>
      <c r="FR774" s="0"/>
      <c r="FS774" s="0"/>
      <c r="FT774" s="0"/>
      <c r="FU774" s="0"/>
      <c r="FV774" s="0"/>
      <c r="FW774" s="0"/>
      <c r="FX774" s="0"/>
      <c r="FY774" s="0"/>
      <c r="FZ774" s="0"/>
      <c r="GA774" s="0"/>
      <c r="GB774" s="0"/>
      <c r="GC774" s="0"/>
      <c r="GD774" s="0"/>
      <c r="GE774" s="0"/>
      <c r="GF774" s="0"/>
      <c r="GG774" s="0"/>
      <c r="GH774" s="0"/>
      <c r="GI774" s="0"/>
      <c r="GJ774" s="0"/>
      <c r="GK774" s="0"/>
      <c r="GL774" s="0"/>
      <c r="GM774" s="0"/>
      <c r="GN774" s="0"/>
      <c r="GO774" s="0"/>
      <c r="GP774" s="0"/>
      <c r="GQ774" s="0"/>
      <c r="GR774" s="0"/>
      <c r="GS774" s="0"/>
      <c r="GT774" s="0"/>
      <c r="GU774" s="0"/>
      <c r="GV774" s="0"/>
      <c r="GW774" s="0"/>
      <c r="GX774" s="0"/>
      <c r="GY774" s="0"/>
      <c r="GZ774" s="0"/>
      <c r="HA774" s="0"/>
      <c r="HB774" s="0"/>
      <c r="HC774" s="0"/>
      <c r="HD774" s="0"/>
      <c r="HE774" s="0"/>
      <c r="HF774" s="0"/>
      <c r="HG774" s="0"/>
      <c r="HH774" s="0"/>
      <c r="HI774" s="0"/>
      <c r="HJ774" s="0"/>
      <c r="HK774" s="0"/>
      <c r="HL774" s="0"/>
      <c r="HM774" s="0"/>
      <c r="HN774" s="0"/>
      <c r="HO774" s="0"/>
      <c r="HP774" s="0"/>
      <c r="HQ774" s="0"/>
      <c r="HR774" s="0"/>
      <c r="HS774" s="0"/>
      <c r="HT774" s="0"/>
      <c r="HU774" s="0"/>
      <c r="HV774" s="0"/>
      <c r="HW774" s="0"/>
      <c r="HX774" s="0"/>
      <c r="HY774" s="0"/>
      <c r="HZ774" s="0"/>
      <c r="IA774" s="0"/>
      <c r="IB774" s="0"/>
      <c r="IC774" s="0"/>
      <c r="ID774" s="0"/>
      <c r="IE774" s="0"/>
      <c r="IF774" s="0"/>
      <c r="IG774" s="0"/>
      <c r="IH774" s="0"/>
      <c r="II774" s="0"/>
      <c r="IJ774" s="0"/>
      <c r="IK774" s="0"/>
      <c r="IL774" s="0"/>
      <c r="IM774" s="0"/>
      <c r="IN774" s="0"/>
      <c r="IO774" s="0"/>
      <c r="IP774" s="0"/>
      <c r="IQ774" s="0"/>
      <c r="IR774" s="0"/>
      <c r="IS774" s="0"/>
      <c r="IT774" s="0"/>
      <c r="IU774" s="0"/>
      <c r="IV774" s="0"/>
    </row>
    <row r="775" customFormat="false" ht="20.1" hidden="false" customHeight="true" outlineLevel="0" collapsed="false">
      <c r="A775" s="869" t="s">
        <v>1532</v>
      </c>
      <c r="B775" s="869"/>
      <c r="C775" s="869"/>
      <c r="D775" s="869"/>
      <c r="E775" s="869"/>
      <c r="F775" s="869"/>
      <c r="G775" s="869"/>
      <c r="H775" s="53"/>
      <c r="I775" s="53"/>
      <c r="J775" s="53"/>
      <c r="K775" s="870"/>
      <c r="L775" s="871" t="s">
        <v>1533</v>
      </c>
      <c r="M775" s="0"/>
      <c r="N775" s="0"/>
      <c r="O775" s="0"/>
      <c r="P775" s="0"/>
      <c r="Q775" s="0"/>
      <c r="R775" s="0"/>
      <c r="S775" s="0"/>
      <c r="T775" s="0"/>
      <c r="U775" s="0"/>
      <c r="V775" s="0"/>
      <c r="W775" s="0"/>
      <c r="X775" s="0"/>
      <c r="Y775" s="0"/>
      <c r="Z775" s="0"/>
      <c r="AA775" s="0"/>
      <c r="AB775" s="0"/>
      <c r="AC775" s="0"/>
      <c r="AD775" s="0"/>
      <c r="AE775" s="0"/>
      <c r="AF775" s="0"/>
      <c r="AG775" s="0"/>
      <c r="AH775" s="0"/>
      <c r="AI775" s="0"/>
      <c r="AJ775" s="0"/>
      <c r="AK775" s="0"/>
      <c r="AL775" s="0"/>
      <c r="AM775" s="0"/>
      <c r="AN775" s="0"/>
      <c r="AO775" s="0"/>
      <c r="AP775" s="0"/>
      <c r="AQ775" s="0"/>
      <c r="AR775" s="0"/>
      <c r="AS775" s="0"/>
      <c r="AT775" s="0"/>
      <c r="BS775" s="0"/>
      <c r="BT775" s="0"/>
      <c r="BU775" s="0"/>
      <c r="BV775" s="0"/>
      <c r="BW775" s="0"/>
      <c r="BX775" s="0"/>
      <c r="BY775" s="0"/>
      <c r="BZ775" s="0"/>
      <c r="CA775" s="0"/>
      <c r="CB775" s="0"/>
      <c r="CC775" s="0"/>
      <c r="CD775" s="0"/>
      <c r="CE775" s="0"/>
      <c r="CF775" s="0"/>
      <c r="CG775" s="0"/>
      <c r="CH775" s="0"/>
      <c r="CI775" s="0"/>
      <c r="CJ775" s="0"/>
      <c r="CK775" s="0"/>
      <c r="CL775" s="0"/>
      <c r="CM775" s="0"/>
      <c r="CN775" s="0"/>
      <c r="CO775" s="0"/>
      <c r="CP775" s="0"/>
      <c r="CQ775" s="0"/>
      <c r="CR775" s="0"/>
      <c r="CS775" s="0"/>
      <c r="CT775" s="0"/>
      <c r="CU775" s="0"/>
      <c r="CV775" s="0"/>
      <c r="CW775" s="0"/>
      <c r="CX775" s="0"/>
      <c r="CY775" s="0"/>
      <c r="CZ775" s="0"/>
      <c r="DA775" s="0"/>
      <c r="DB775" s="0"/>
      <c r="DC775" s="0"/>
      <c r="DD775" s="0"/>
      <c r="DE775" s="0"/>
      <c r="DF775" s="0"/>
      <c r="DG775" s="0"/>
      <c r="DH775" s="0"/>
      <c r="DI775" s="0"/>
      <c r="DJ775" s="0"/>
      <c r="DK775" s="0"/>
      <c r="DL775" s="0"/>
      <c r="DM775" s="0"/>
      <c r="DN775" s="0"/>
      <c r="DO775" s="0"/>
      <c r="DP775" s="0"/>
      <c r="DQ775" s="0"/>
      <c r="DR775" s="0"/>
      <c r="DS775" s="0"/>
      <c r="DT775" s="0"/>
      <c r="DU775" s="0"/>
      <c r="DV775" s="0"/>
      <c r="DW775" s="0"/>
      <c r="DX775" s="0"/>
      <c r="DY775" s="0"/>
      <c r="DZ775" s="0"/>
      <c r="EA775" s="0"/>
      <c r="EB775" s="0"/>
      <c r="EC775" s="0"/>
      <c r="ED775" s="0"/>
      <c r="EE775" s="0"/>
      <c r="EF775" s="0"/>
      <c r="EG775" s="0"/>
      <c r="EH775" s="0"/>
      <c r="EI775" s="0"/>
      <c r="EJ775" s="0"/>
      <c r="EK775" s="0"/>
      <c r="EL775" s="0"/>
      <c r="EM775" s="0"/>
      <c r="EN775" s="0"/>
      <c r="EO775" s="0"/>
      <c r="EP775" s="0"/>
      <c r="EQ775" s="0"/>
      <c r="ER775" s="0"/>
      <c r="ES775" s="0"/>
      <c r="ET775" s="0"/>
      <c r="EU775" s="0"/>
      <c r="EV775" s="0"/>
      <c r="EW775" s="0"/>
      <c r="EX775" s="0"/>
      <c r="EY775" s="0"/>
      <c r="EZ775" s="0"/>
      <c r="FA775" s="0"/>
      <c r="FB775" s="0"/>
      <c r="FC775" s="0"/>
      <c r="FD775" s="0"/>
      <c r="FE775" s="0"/>
      <c r="FF775" s="0"/>
      <c r="FG775" s="0"/>
      <c r="FH775" s="0"/>
      <c r="FI775" s="0"/>
      <c r="FJ775" s="0"/>
      <c r="FK775" s="0"/>
      <c r="FL775" s="0"/>
      <c r="FM775" s="0"/>
      <c r="FN775" s="0"/>
      <c r="FO775" s="0"/>
      <c r="FP775" s="0"/>
      <c r="FQ775" s="0"/>
      <c r="FR775" s="0"/>
      <c r="FS775" s="0"/>
      <c r="FT775" s="0"/>
      <c r="FU775" s="0"/>
      <c r="FV775" s="0"/>
      <c r="FW775" s="0"/>
      <c r="FX775" s="0"/>
      <c r="FY775" s="0"/>
      <c r="FZ775" s="0"/>
      <c r="GA775" s="0"/>
      <c r="GB775" s="0"/>
      <c r="GC775" s="0"/>
      <c r="GD775" s="0"/>
      <c r="GE775" s="0"/>
      <c r="GF775" s="0"/>
      <c r="GG775" s="0"/>
      <c r="GH775" s="0"/>
      <c r="GI775" s="0"/>
      <c r="GJ775" s="0"/>
      <c r="GK775" s="0"/>
      <c r="GL775" s="0"/>
      <c r="GM775" s="0"/>
      <c r="GN775" s="0"/>
      <c r="GO775" s="0"/>
      <c r="GP775" s="0"/>
      <c r="GQ775" s="0"/>
      <c r="GR775" s="0"/>
      <c r="GS775" s="0"/>
      <c r="GT775" s="0"/>
      <c r="GU775" s="0"/>
      <c r="GV775" s="0"/>
      <c r="GW775" s="0"/>
      <c r="GX775" s="0"/>
      <c r="GY775" s="0"/>
      <c r="GZ775" s="0"/>
      <c r="HA775" s="0"/>
      <c r="HB775" s="0"/>
      <c r="HC775" s="0"/>
      <c r="HD775" s="0"/>
      <c r="HE775" s="0"/>
      <c r="HF775" s="0"/>
      <c r="HG775" s="0"/>
      <c r="HH775" s="0"/>
      <c r="HI775" s="0"/>
      <c r="HJ775" s="0"/>
      <c r="HK775" s="0"/>
      <c r="HL775" s="0"/>
      <c r="HM775" s="0"/>
      <c r="HN775" s="0"/>
      <c r="HO775" s="0"/>
      <c r="HP775" s="0"/>
      <c r="HQ775" s="0"/>
      <c r="HR775" s="0"/>
      <c r="HS775" s="0"/>
      <c r="HT775" s="0"/>
      <c r="HU775" s="0"/>
      <c r="HV775" s="0"/>
      <c r="HW775" s="0"/>
      <c r="HX775" s="0"/>
      <c r="HY775" s="0"/>
      <c r="HZ775" s="0"/>
      <c r="IA775" s="0"/>
      <c r="IB775" s="0"/>
      <c r="IC775" s="0"/>
      <c r="ID775" s="0"/>
      <c r="IE775" s="0"/>
      <c r="IF775" s="0"/>
      <c r="IG775" s="0"/>
      <c r="IH775" s="0"/>
      <c r="II775" s="0"/>
      <c r="IJ775" s="0"/>
      <c r="IK775" s="0"/>
      <c r="IL775" s="0"/>
      <c r="IM775" s="0"/>
      <c r="IN775" s="0"/>
      <c r="IO775" s="0"/>
      <c r="IP775" s="0"/>
      <c r="IQ775" s="0"/>
      <c r="IR775" s="0"/>
      <c r="IS775" s="0"/>
      <c r="IT775" s="0"/>
      <c r="IU775" s="0"/>
      <c r="IV775" s="0"/>
    </row>
    <row r="776" s="55" customFormat="true" ht="20.1" hidden="false" customHeight="true" outlineLevel="0" collapsed="false">
      <c r="A776" s="1026"/>
      <c r="B776" s="1026"/>
      <c r="C776" s="1026"/>
      <c r="D776" s="1026"/>
      <c r="E776" s="1026"/>
      <c r="F776" s="1026"/>
      <c r="G776" s="1026"/>
      <c r="I776" s="14"/>
      <c r="J776" s="620"/>
      <c r="K776" s="903"/>
      <c r="L776" s="877"/>
      <c r="M776" s="0"/>
      <c r="N776" s="0"/>
      <c r="O776" s="0"/>
      <c r="P776" s="0"/>
      <c r="Q776" s="0"/>
      <c r="R776" s="0"/>
      <c r="S776" s="0"/>
      <c r="T776" s="0"/>
      <c r="U776" s="0"/>
      <c r="V776" s="0"/>
      <c r="W776" s="0"/>
      <c r="X776" s="0"/>
    </row>
    <row r="777" s="55" customFormat="true" ht="29.25" hidden="false" customHeight="true" outlineLevel="0" collapsed="false">
      <c r="A777" s="1191"/>
      <c r="B777" s="1192" t="s">
        <v>1534</v>
      </c>
      <c r="C777" s="1192" t="s">
        <v>1535</v>
      </c>
      <c r="D777" s="1192" t="s">
        <v>1536</v>
      </c>
      <c r="E777" s="1192" t="s">
        <v>1537</v>
      </c>
      <c r="F777" s="1193"/>
      <c r="G777" s="1193"/>
      <c r="H777" s="1194" t="s">
        <v>1538</v>
      </c>
      <c r="I777" s="0"/>
      <c r="J777" s="1195"/>
      <c r="K777" s="903"/>
      <c r="L777" s="877"/>
      <c r="M777" s="0"/>
    </row>
    <row r="778" customFormat="false" ht="20.1" hidden="false" customHeight="true" outlineLevel="0" collapsed="false">
      <c r="A778" s="1196" t="s">
        <v>1539</v>
      </c>
      <c r="B778" s="1197" t="s">
        <v>1540</v>
      </c>
      <c r="C778" s="1198" t="n">
        <f aca="false">D619</f>
        <v>5000</v>
      </c>
      <c r="D778" s="1199" t="s">
        <v>1043</v>
      </c>
      <c r="E778" s="1200" t="n">
        <v>3</v>
      </c>
      <c r="F778" s="1201"/>
      <c r="G778" s="1202"/>
      <c r="H778" s="1203" t="n">
        <f aca="false">C778*E778</f>
        <v>15000</v>
      </c>
      <c r="I778" s="0"/>
      <c r="J778" s="1204"/>
      <c r="K778" s="903"/>
      <c r="L778" s="877"/>
      <c r="M778" s="0"/>
      <c r="N778" s="55"/>
      <c r="O778" s="55"/>
      <c r="P778" s="55"/>
      <c r="Q778" s="55"/>
      <c r="R778" s="55"/>
      <c r="S778" s="55"/>
      <c r="T778" s="55"/>
      <c r="U778" s="55"/>
      <c r="V778" s="55"/>
      <c r="W778" s="55"/>
      <c r="X778" s="55"/>
      <c r="Y778" s="0"/>
      <c r="Z778" s="0"/>
      <c r="AA778" s="0"/>
      <c r="AB778" s="0"/>
      <c r="AC778" s="0"/>
      <c r="AD778" s="0"/>
      <c r="AE778" s="0"/>
      <c r="AF778" s="0"/>
      <c r="AG778" s="0"/>
      <c r="AH778" s="0"/>
      <c r="AI778" s="0"/>
      <c r="AJ778" s="0"/>
      <c r="AK778" s="0"/>
      <c r="AL778" s="0"/>
      <c r="AM778" s="0"/>
      <c r="AN778" s="0"/>
      <c r="AO778" s="0"/>
      <c r="AP778" s="0"/>
      <c r="AQ778" s="0"/>
      <c r="AR778" s="0"/>
      <c r="AS778" s="0"/>
      <c r="AT778" s="0"/>
      <c r="BS778" s="0"/>
      <c r="BT778" s="0"/>
      <c r="BU778" s="0"/>
      <c r="BV778" s="0"/>
      <c r="BW778" s="0"/>
      <c r="BX778" s="0"/>
      <c r="BY778" s="0"/>
      <c r="BZ778" s="0"/>
      <c r="CA778" s="0"/>
      <c r="CB778" s="0"/>
      <c r="CC778" s="0"/>
      <c r="CD778" s="0"/>
      <c r="CE778" s="0"/>
      <c r="CF778" s="0"/>
      <c r="CG778" s="0"/>
      <c r="CH778" s="0"/>
      <c r="CI778" s="0"/>
      <c r="CJ778" s="0"/>
      <c r="CK778" s="0"/>
      <c r="CL778" s="0"/>
      <c r="CM778" s="0"/>
      <c r="CN778" s="0"/>
      <c r="CO778" s="0"/>
      <c r="CP778" s="0"/>
      <c r="CQ778" s="0"/>
      <c r="CR778" s="0"/>
      <c r="CS778" s="0"/>
      <c r="CT778" s="0"/>
      <c r="CU778" s="0"/>
      <c r="CV778" s="0"/>
      <c r="CW778" s="0"/>
      <c r="CX778" s="0"/>
      <c r="CY778" s="0"/>
      <c r="CZ778" s="0"/>
      <c r="DA778" s="0"/>
      <c r="DB778" s="0"/>
      <c r="DC778" s="0"/>
      <c r="DD778" s="0"/>
      <c r="DE778" s="0"/>
      <c r="DF778" s="0"/>
      <c r="DG778" s="0"/>
      <c r="DH778" s="0"/>
      <c r="DI778" s="0"/>
      <c r="DJ778" s="0"/>
      <c r="DK778" s="0"/>
      <c r="DL778" s="0"/>
      <c r="DM778" s="0"/>
      <c r="DN778" s="0"/>
      <c r="DO778" s="0"/>
      <c r="DP778" s="0"/>
      <c r="DQ778" s="0"/>
      <c r="DR778" s="0"/>
      <c r="DS778" s="0"/>
      <c r="DT778" s="0"/>
      <c r="DU778" s="0"/>
      <c r="DV778" s="0"/>
      <c r="DW778" s="0"/>
      <c r="DX778" s="0"/>
      <c r="DY778" s="0"/>
      <c r="DZ778" s="0"/>
      <c r="EA778" s="0"/>
      <c r="EB778" s="0"/>
      <c r="EC778" s="0"/>
      <c r="ED778" s="0"/>
      <c r="EE778" s="0"/>
      <c r="EF778" s="0"/>
      <c r="EG778" s="0"/>
      <c r="EH778" s="0"/>
      <c r="EI778" s="0"/>
      <c r="EJ778" s="0"/>
      <c r="EK778" s="0"/>
      <c r="EL778" s="0"/>
      <c r="EM778" s="0"/>
      <c r="EN778" s="0"/>
      <c r="EO778" s="0"/>
      <c r="EP778" s="0"/>
      <c r="EQ778" s="0"/>
      <c r="ER778" s="0"/>
      <c r="ES778" s="0"/>
      <c r="ET778" s="0"/>
      <c r="EU778" s="0"/>
      <c r="EV778" s="0"/>
      <c r="EW778" s="0"/>
      <c r="EX778" s="0"/>
      <c r="EY778" s="0"/>
      <c r="EZ778" s="0"/>
      <c r="FA778" s="0"/>
      <c r="FB778" s="0"/>
      <c r="FC778" s="0"/>
      <c r="FD778" s="0"/>
      <c r="FE778" s="0"/>
      <c r="FF778" s="0"/>
      <c r="FG778" s="0"/>
      <c r="FH778" s="0"/>
      <c r="FI778" s="0"/>
      <c r="FJ778" s="0"/>
      <c r="FK778" s="0"/>
      <c r="FL778" s="0"/>
      <c r="FM778" s="0"/>
      <c r="FN778" s="0"/>
      <c r="FO778" s="0"/>
      <c r="FP778" s="0"/>
      <c r="FQ778" s="0"/>
      <c r="FR778" s="0"/>
      <c r="FS778" s="0"/>
      <c r="FT778" s="0"/>
      <c r="FU778" s="0"/>
      <c r="FV778" s="0"/>
      <c r="FW778" s="0"/>
      <c r="FX778" s="0"/>
      <c r="FY778" s="0"/>
      <c r="FZ778" s="0"/>
      <c r="GA778" s="0"/>
      <c r="GB778" s="0"/>
      <c r="GC778" s="0"/>
      <c r="GD778" s="0"/>
      <c r="GE778" s="0"/>
      <c r="GF778" s="0"/>
      <c r="GG778" s="0"/>
      <c r="GH778" s="0"/>
      <c r="GI778" s="0"/>
      <c r="GJ778" s="0"/>
      <c r="GK778" s="0"/>
      <c r="GL778" s="0"/>
      <c r="GM778" s="0"/>
      <c r="GN778" s="0"/>
      <c r="GO778" s="0"/>
      <c r="GP778" s="0"/>
      <c r="GQ778" s="0"/>
      <c r="GR778" s="0"/>
      <c r="GS778" s="0"/>
      <c r="GT778" s="0"/>
      <c r="GU778" s="0"/>
      <c r="GV778" s="0"/>
      <c r="GW778" s="0"/>
      <c r="GX778" s="0"/>
      <c r="GY778" s="0"/>
      <c r="GZ778" s="0"/>
      <c r="HA778" s="0"/>
      <c r="HB778" s="0"/>
      <c r="HC778" s="0"/>
      <c r="HD778" s="0"/>
      <c r="HE778" s="0"/>
      <c r="HF778" s="0"/>
      <c r="HG778" s="0"/>
      <c r="HH778" s="0"/>
      <c r="HI778" s="0"/>
      <c r="HJ778" s="0"/>
      <c r="HK778" s="0"/>
      <c r="HL778" s="0"/>
      <c r="HM778" s="0"/>
      <c r="HN778" s="0"/>
      <c r="HO778" s="0"/>
      <c r="HP778" s="0"/>
      <c r="HQ778" s="0"/>
      <c r="HR778" s="0"/>
      <c r="HS778" s="0"/>
      <c r="HT778" s="0"/>
      <c r="HU778" s="0"/>
      <c r="HV778" s="0"/>
      <c r="HW778" s="0"/>
      <c r="HX778" s="0"/>
      <c r="HY778" s="0"/>
      <c r="HZ778" s="0"/>
      <c r="IA778" s="0"/>
      <c r="IB778" s="0"/>
      <c r="IC778" s="0"/>
      <c r="ID778" s="0"/>
      <c r="IE778" s="0"/>
      <c r="IF778" s="0"/>
      <c r="IG778" s="0"/>
      <c r="IH778" s="0"/>
      <c r="II778" s="0"/>
      <c r="IJ778" s="0"/>
      <c r="IK778" s="0"/>
      <c r="IL778" s="0"/>
      <c r="IM778" s="0"/>
      <c r="IN778" s="0"/>
      <c r="IO778" s="0"/>
      <c r="IP778" s="0"/>
      <c r="IQ778" s="0"/>
      <c r="IR778" s="0"/>
      <c r="IS778" s="0"/>
      <c r="IT778" s="0"/>
      <c r="IU778" s="0"/>
      <c r="IV778" s="0"/>
    </row>
    <row r="779" customFormat="false" ht="20.1" hidden="false" customHeight="true" outlineLevel="0" collapsed="false">
      <c r="A779" s="1196"/>
      <c r="B779" s="1205" t="s">
        <v>1541</v>
      </c>
      <c r="C779" s="822" t="n">
        <f aca="false">D618</f>
        <v>32800</v>
      </c>
      <c r="D779" s="996" t="s">
        <v>1542</v>
      </c>
      <c r="E779" s="1206" t="n">
        <v>0.8</v>
      </c>
      <c r="F779" s="1207"/>
      <c r="G779" s="1208"/>
      <c r="H779" s="1209" t="n">
        <f aca="false">C779*E779</f>
        <v>26240</v>
      </c>
      <c r="I779" s="0"/>
      <c r="J779" s="1204"/>
      <c r="K779" s="903"/>
      <c r="L779" s="877"/>
      <c r="M779" s="0"/>
      <c r="N779" s="55"/>
      <c r="O779" s="55"/>
      <c r="P779" s="55"/>
      <c r="Q779" s="55"/>
      <c r="R779" s="55"/>
      <c r="S779" s="55"/>
      <c r="T779" s="55"/>
      <c r="U779" s="55"/>
      <c r="V779" s="55"/>
      <c r="W779" s="55"/>
      <c r="X779" s="55"/>
      <c r="Y779" s="0"/>
      <c r="Z779" s="0"/>
      <c r="AA779" s="0"/>
      <c r="AB779" s="0"/>
      <c r="AC779" s="0"/>
      <c r="AD779" s="0"/>
      <c r="AE779" s="0"/>
      <c r="AF779" s="0"/>
      <c r="AG779" s="0"/>
      <c r="AH779" s="0"/>
      <c r="AI779" s="0"/>
      <c r="AJ779" s="0"/>
      <c r="AK779" s="0"/>
      <c r="AL779" s="0"/>
      <c r="AM779" s="0"/>
      <c r="AN779" s="0"/>
      <c r="AO779" s="0"/>
      <c r="AP779" s="0"/>
      <c r="AQ779" s="0"/>
      <c r="AR779" s="0"/>
      <c r="AS779" s="0"/>
      <c r="AT779" s="0"/>
      <c r="BS779" s="0"/>
      <c r="BT779" s="0"/>
      <c r="BU779" s="0"/>
      <c r="BV779" s="0"/>
      <c r="BW779" s="0"/>
      <c r="BX779" s="0"/>
      <c r="BY779" s="0"/>
      <c r="BZ779" s="0"/>
      <c r="CA779" s="0"/>
      <c r="CB779" s="0"/>
      <c r="CC779" s="0"/>
      <c r="CD779" s="0"/>
      <c r="CE779" s="0"/>
      <c r="CF779" s="0"/>
      <c r="CG779" s="0"/>
      <c r="CH779" s="0"/>
      <c r="CI779" s="0"/>
      <c r="CJ779" s="0"/>
      <c r="CK779" s="0"/>
      <c r="CL779" s="0"/>
      <c r="CM779" s="0"/>
      <c r="CN779" s="0"/>
      <c r="CO779" s="0"/>
      <c r="CP779" s="0"/>
      <c r="CQ779" s="0"/>
      <c r="CR779" s="0"/>
      <c r="CS779" s="0"/>
      <c r="CT779" s="0"/>
      <c r="CU779" s="0"/>
      <c r="CV779" s="0"/>
      <c r="CW779" s="0"/>
      <c r="CX779" s="0"/>
      <c r="CY779" s="0"/>
      <c r="CZ779" s="0"/>
      <c r="DA779" s="0"/>
      <c r="DB779" s="0"/>
      <c r="DC779" s="0"/>
      <c r="DD779" s="0"/>
      <c r="DE779" s="0"/>
      <c r="DF779" s="0"/>
      <c r="DG779" s="0"/>
      <c r="DH779" s="0"/>
      <c r="DI779" s="0"/>
      <c r="DJ779" s="0"/>
      <c r="DK779" s="0"/>
      <c r="DL779" s="0"/>
      <c r="DM779" s="0"/>
      <c r="DN779" s="0"/>
      <c r="DO779" s="0"/>
      <c r="DP779" s="0"/>
      <c r="DQ779" s="0"/>
      <c r="DR779" s="0"/>
      <c r="DS779" s="0"/>
      <c r="DT779" s="0"/>
      <c r="DU779" s="0"/>
      <c r="DV779" s="0"/>
      <c r="DW779" s="0"/>
      <c r="DX779" s="0"/>
      <c r="DY779" s="0"/>
      <c r="DZ779" s="0"/>
      <c r="EA779" s="0"/>
      <c r="EB779" s="0"/>
      <c r="EC779" s="0"/>
      <c r="ED779" s="0"/>
      <c r="EE779" s="0"/>
      <c r="EF779" s="0"/>
      <c r="EG779" s="0"/>
      <c r="EH779" s="0"/>
      <c r="EI779" s="0"/>
      <c r="EJ779" s="0"/>
      <c r="EK779" s="0"/>
      <c r="EL779" s="0"/>
      <c r="EM779" s="0"/>
      <c r="EN779" s="0"/>
      <c r="EO779" s="0"/>
      <c r="EP779" s="0"/>
      <c r="EQ779" s="0"/>
      <c r="ER779" s="0"/>
      <c r="ES779" s="0"/>
      <c r="ET779" s="0"/>
      <c r="EU779" s="0"/>
      <c r="EV779" s="0"/>
      <c r="EW779" s="0"/>
      <c r="EX779" s="0"/>
      <c r="EY779" s="0"/>
      <c r="EZ779" s="0"/>
      <c r="FA779" s="0"/>
      <c r="FB779" s="0"/>
      <c r="FC779" s="0"/>
      <c r="FD779" s="0"/>
      <c r="FE779" s="0"/>
      <c r="FF779" s="0"/>
      <c r="FG779" s="0"/>
      <c r="FH779" s="0"/>
      <c r="FI779" s="0"/>
      <c r="FJ779" s="0"/>
      <c r="FK779" s="0"/>
      <c r="FL779" s="0"/>
      <c r="FM779" s="0"/>
      <c r="FN779" s="0"/>
      <c r="FO779" s="0"/>
      <c r="FP779" s="0"/>
      <c r="FQ779" s="0"/>
      <c r="FR779" s="0"/>
      <c r="FS779" s="0"/>
      <c r="FT779" s="0"/>
      <c r="FU779" s="0"/>
      <c r="FV779" s="0"/>
      <c r="FW779" s="0"/>
      <c r="FX779" s="0"/>
      <c r="FY779" s="0"/>
      <c r="FZ779" s="0"/>
      <c r="GA779" s="0"/>
      <c r="GB779" s="0"/>
      <c r="GC779" s="0"/>
      <c r="GD779" s="0"/>
      <c r="GE779" s="0"/>
      <c r="GF779" s="0"/>
      <c r="GG779" s="0"/>
      <c r="GH779" s="0"/>
      <c r="GI779" s="0"/>
      <c r="GJ779" s="0"/>
      <c r="GK779" s="0"/>
      <c r="GL779" s="0"/>
      <c r="GM779" s="0"/>
      <c r="GN779" s="0"/>
      <c r="GO779" s="0"/>
      <c r="GP779" s="0"/>
      <c r="GQ779" s="0"/>
      <c r="GR779" s="0"/>
      <c r="GS779" s="0"/>
      <c r="GT779" s="0"/>
      <c r="GU779" s="0"/>
      <c r="GV779" s="0"/>
      <c r="GW779" s="0"/>
      <c r="GX779" s="0"/>
      <c r="GY779" s="0"/>
      <c r="GZ779" s="0"/>
      <c r="HA779" s="0"/>
      <c r="HB779" s="0"/>
      <c r="HC779" s="0"/>
      <c r="HD779" s="0"/>
      <c r="HE779" s="0"/>
      <c r="HF779" s="0"/>
      <c r="HG779" s="0"/>
      <c r="HH779" s="0"/>
      <c r="HI779" s="0"/>
      <c r="HJ779" s="0"/>
      <c r="HK779" s="0"/>
      <c r="HL779" s="0"/>
      <c r="HM779" s="0"/>
      <c r="HN779" s="0"/>
      <c r="HO779" s="0"/>
      <c r="HP779" s="0"/>
      <c r="HQ779" s="0"/>
      <c r="HR779" s="0"/>
      <c r="HS779" s="0"/>
      <c r="HT779" s="0"/>
      <c r="HU779" s="0"/>
      <c r="HV779" s="0"/>
      <c r="HW779" s="0"/>
      <c r="HX779" s="0"/>
      <c r="HY779" s="0"/>
      <c r="HZ779" s="0"/>
      <c r="IA779" s="0"/>
      <c r="IB779" s="0"/>
      <c r="IC779" s="0"/>
      <c r="ID779" s="0"/>
      <c r="IE779" s="0"/>
      <c r="IF779" s="0"/>
      <c r="IG779" s="0"/>
      <c r="IH779" s="0"/>
      <c r="II779" s="0"/>
      <c r="IJ779" s="0"/>
      <c r="IK779" s="0"/>
      <c r="IL779" s="0"/>
      <c r="IM779" s="0"/>
      <c r="IN779" s="0"/>
      <c r="IO779" s="0"/>
      <c r="IP779" s="0"/>
      <c r="IQ779" s="0"/>
      <c r="IR779" s="0"/>
      <c r="IS779" s="0"/>
      <c r="IT779" s="0"/>
      <c r="IU779" s="0"/>
      <c r="IV779" s="0"/>
    </row>
    <row r="780" customFormat="false" ht="20.1" hidden="false" customHeight="true" outlineLevel="0" collapsed="false">
      <c r="A780" s="1196"/>
      <c r="B780" s="1205" t="s">
        <v>1543</v>
      </c>
      <c r="C780" s="822" t="n">
        <f aca="false">D621+D622</f>
        <v>0</v>
      </c>
      <c r="D780" s="996" t="s">
        <v>1544</v>
      </c>
      <c r="E780" s="1206" t="n">
        <v>3.4</v>
      </c>
      <c r="F780" s="1207"/>
      <c r="G780" s="1208"/>
      <c r="H780" s="1209" t="n">
        <f aca="false">C780*E780</f>
        <v>0</v>
      </c>
      <c r="I780" s="0"/>
      <c r="J780" s="1195"/>
      <c r="K780" s="903"/>
      <c r="L780" s="877"/>
      <c r="M780" s="0"/>
      <c r="N780" s="0"/>
      <c r="O780" s="0"/>
      <c r="P780" s="0"/>
      <c r="Q780" s="0"/>
      <c r="R780" s="0"/>
      <c r="S780" s="0"/>
      <c r="T780" s="0"/>
      <c r="U780" s="0"/>
      <c r="V780" s="0"/>
      <c r="W780" s="0"/>
      <c r="X780" s="0"/>
      <c r="Y780" s="0"/>
      <c r="Z780" s="0"/>
      <c r="AA780" s="0"/>
      <c r="AB780" s="0"/>
      <c r="AC780" s="0"/>
      <c r="AD780" s="0"/>
      <c r="AE780" s="0"/>
      <c r="AF780" s="0"/>
      <c r="AG780" s="0"/>
      <c r="AH780" s="0"/>
      <c r="AI780" s="0"/>
      <c r="AJ780" s="0"/>
      <c r="AK780" s="0"/>
      <c r="AL780" s="0"/>
      <c r="AM780" s="0"/>
      <c r="AN780" s="0"/>
      <c r="AO780" s="0"/>
      <c r="AP780" s="0"/>
      <c r="AQ780" s="0"/>
      <c r="AR780" s="0"/>
      <c r="AS780" s="0"/>
      <c r="AT780" s="0"/>
      <c r="BS780" s="0"/>
      <c r="BT780" s="0"/>
      <c r="BU780" s="0"/>
      <c r="BV780" s="0"/>
      <c r="BW780" s="0"/>
      <c r="BX780" s="0"/>
      <c r="BY780" s="0"/>
      <c r="BZ780" s="0"/>
      <c r="CA780" s="0"/>
      <c r="CB780" s="0"/>
      <c r="CC780" s="0"/>
      <c r="CD780" s="0"/>
      <c r="CE780" s="0"/>
      <c r="CF780" s="0"/>
      <c r="CG780" s="0"/>
      <c r="CH780" s="0"/>
      <c r="CI780" s="0"/>
      <c r="CJ780" s="0"/>
      <c r="CK780" s="0"/>
      <c r="CL780" s="0"/>
      <c r="CM780" s="0"/>
      <c r="CN780" s="0"/>
      <c r="CO780" s="0"/>
      <c r="CP780" s="0"/>
      <c r="CQ780" s="0"/>
      <c r="CR780" s="0"/>
      <c r="CS780" s="0"/>
      <c r="CT780" s="0"/>
      <c r="CU780" s="0"/>
      <c r="CV780" s="0"/>
      <c r="CW780" s="0"/>
      <c r="CX780" s="0"/>
      <c r="CY780" s="0"/>
      <c r="CZ780" s="0"/>
      <c r="DA780" s="0"/>
      <c r="DB780" s="0"/>
      <c r="DC780" s="0"/>
      <c r="DD780" s="0"/>
      <c r="DE780" s="0"/>
      <c r="DF780" s="0"/>
      <c r="DG780" s="0"/>
      <c r="DH780" s="0"/>
      <c r="DI780" s="0"/>
      <c r="DJ780" s="0"/>
      <c r="DK780" s="0"/>
      <c r="DL780" s="0"/>
      <c r="DM780" s="0"/>
      <c r="DN780" s="0"/>
      <c r="DO780" s="0"/>
      <c r="DP780" s="0"/>
      <c r="DQ780" s="0"/>
      <c r="DR780" s="0"/>
      <c r="DS780" s="0"/>
      <c r="DT780" s="0"/>
      <c r="DU780" s="0"/>
      <c r="DV780" s="0"/>
      <c r="DW780" s="0"/>
      <c r="DX780" s="0"/>
      <c r="DY780" s="0"/>
      <c r="DZ780" s="0"/>
      <c r="EA780" s="0"/>
      <c r="EB780" s="0"/>
      <c r="EC780" s="0"/>
      <c r="ED780" s="0"/>
      <c r="EE780" s="0"/>
      <c r="EF780" s="0"/>
      <c r="EG780" s="0"/>
      <c r="EH780" s="0"/>
      <c r="EI780" s="0"/>
      <c r="EJ780" s="0"/>
      <c r="EK780" s="0"/>
      <c r="EL780" s="0"/>
      <c r="EM780" s="0"/>
      <c r="EN780" s="0"/>
      <c r="EO780" s="0"/>
      <c r="EP780" s="0"/>
      <c r="EQ780" s="0"/>
      <c r="ER780" s="0"/>
      <c r="ES780" s="0"/>
      <c r="ET780" s="0"/>
      <c r="EU780" s="0"/>
      <c r="EV780" s="0"/>
      <c r="EW780" s="0"/>
      <c r="EX780" s="0"/>
      <c r="EY780" s="0"/>
      <c r="EZ780" s="0"/>
      <c r="FA780" s="0"/>
      <c r="FB780" s="0"/>
      <c r="FC780" s="0"/>
      <c r="FD780" s="0"/>
      <c r="FE780" s="0"/>
      <c r="FF780" s="0"/>
      <c r="FG780" s="0"/>
      <c r="FH780" s="0"/>
      <c r="FI780" s="0"/>
      <c r="FJ780" s="0"/>
      <c r="FK780" s="0"/>
      <c r="FL780" s="0"/>
      <c r="FM780" s="0"/>
      <c r="FN780" s="0"/>
      <c r="FO780" s="0"/>
      <c r="FP780" s="0"/>
      <c r="FQ780" s="0"/>
      <c r="FR780" s="0"/>
      <c r="FS780" s="0"/>
      <c r="FT780" s="0"/>
      <c r="FU780" s="0"/>
      <c r="FV780" s="0"/>
      <c r="FW780" s="0"/>
      <c r="FX780" s="0"/>
      <c r="FY780" s="0"/>
      <c r="FZ780" s="0"/>
      <c r="GA780" s="0"/>
      <c r="GB780" s="0"/>
      <c r="GC780" s="0"/>
      <c r="GD780" s="0"/>
      <c r="GE780" s="0"/>
      <c r="GF780" s="0"/>
      <c r="GG780" s="0"/>
      <c r="GH780" s="0"/>
      <c r="GI780" s="0"/>
      <c r="GJ780" s="0"/>
      <c r="GK780" s="0"/>
      <c r="GL780" s="0"/>
      <c r="GM780" s="0"/>
      <c r="GN780" s="0"/>
      <c r="GO780" s="0"/>
      <c r="GP780" s="0"/>
      <c r="GQ780" s="0"/>
      <c r="GR780" s="0"/>
      <c r="GS780" s="0"/>
      <c r="GT780" s="0"/>
      <c r="GU780" s="0"/>
      <c r="GV780" s="0"/>
      <c r="GW780" s="0"/>
      <c r="GX780" s="0"/>
      <c r="GY780" s="0"/>
      <c r="GZ780" s="0"/>
      <c r="HA780" s="0"/>
      <c r="HB780" s="0"/>
      <c r="HC780" s="0"/>
      <c r="HD780" s="0"/>
      <c r="HE780" s="0"/>
      <c r="HF780" s="0"/>
      <c r="HG780" s="0"/>
      <c r="HH780" s="0"/>
      <c r="HI780" s="0"/>
      <c r="HJ780" s="0"/>
      <c r="HK780" s="0"/>
      <c r="HL780" s="0"/>
      <c r="HM780" s="0"/>
      <c r="HN780" s="0"/>
      <c r="HO780" s="0"/>
      <c r="HP780" s="0"/>
      <c r="HQ780" s="0"/>
      <c r="HR780" s="0"/>
      <c r="HS780" s="0"/>
      <c r="HT780" s="0"/>
      <c r="HU780" s="0"/>
      <c r="HV780" s="0"/>
      <c r="HW780" s="0"/>
      <c r="HX780" s="0"/>
      <c r="HY780" s="0"/>
      <c r="HZ780" s="0"/>
      <c r="IA780" s="0"/>
      <c r="IB780" s="0"/>
      <c r="IC780" s="0"/>
      <c r="ID780" s="0"/>
      <c r="IE780" s="0"/>
      <c r="IF780" s="0"/>
      <c r="IG780" s="0"/>
      <c r="IH780" s="0"/>
      <c r="II780" s="0"/>
      <c r="IJ780" s="0"/>
      <c r="IK780" s="0"/>
      <c r="IL780" s="0"/>
      <c r="IM780" s="0"/>
      <c r="IN780" s="0"/>
      <c r="IO780" s="0"/>
      <c r="IP780" s="0"/>
      <c r="IQ780" s="0"/>
      <c r="IR780" s="0"/>
      <c r="IS780" s="0"/>
      <c r="IT780" s="0"/>
      <c r="IU780" s="0"/>
      <c r="IV780" s="0"/>
    </row>
    <row r="781" customFormat="false" ht="30" hidden="false" customHeight="true" outlineLevel="0" collapsed="false">
      <c r="A781" s="1196"/>
      <c r="B781" s="1205" t="s">
        <v>1545</v>
      </c>
      <c r="C781" s="822" t="n">
        <f aca="false">'Bilan apparent'!F46</f>
        <v>12319.2</v>
      </c>
      <c r="D781" s="996" t="s">
        <v>1546</v>
      </c>
      <c r="E781" s="1206" t="n">
        <v>6.2</v>
      </c>
      <c r="F781" s="1207"/>
      <c r="G781" s="1208"/>
      <c r="H781" s="1209" t="n">
        <f aca="false">C781*E781</f>
        <v>76379.04</v>
      </c>
      <c r="I781" s="0"/>
      <c r="J781" s="0"/>
      <c r="K781" s="1210"/>
      <c r="L781" s="903"/>
      <c r="M781" s="0"/>
      <c r="N781" s="0"/>
      <c r="O781" s="0"/>
      <c r="P781" s="0"/>
      <c r="Q781" s="0"/>
      <c r="R781" s="0"/>
      <c r="S781" s="0"/>
      <c r="T781" s="0"/>
      <c r="U781" s="0"/>
      <c r="V781" s="0"/>
      <c r="W781" s="0"/>
      <c r="X781" s="0"/>
      <c r="Y781" s="0"/>
      <c r="Z781" s="0"/>
      <c r="AA781" s="0"/>
      <c r="AB781" s="0"/>
      <c r="AC781" s="0"/>
      <c r="AD781" s="0"/>
      <c r="AE781" s="0"/>
      <c r="AF781" s="0"/>
      <c r="AG781" s="0"/>
      <c r="AH781" s="0"/>
      <c r="AI781" s="0"/>
      <c r="AJ781" s="0"/>
      <c r="AK781" s="0"/>
      <c r="AL781" s="0"/>
      <c r="AM781" s="0"/>
      <c r="AN781" s="0"/>
      <c r="AO781" s="0"/>
      <c r="AP781" s="0"/>
      <c r="AQ781" s="0"/>
      <c r="AR781" s="0"/>
      <c r="AS781" s="0"/>
      <c r="AT781" s="0"/>
      <c r="BS781" s="0"/>
      <c r="BT781" s="0"/>
      <c r="BU781" s="0"/>
      <c r="BV781" s="0"/>
      <c r="BW781" s="0"/>
      <c r="BX781" s="0"/>
      <c r="BY781" s="0"/>
      <c r="BZ781" s="0"/>
      <c r="CA781" s="0"/>
      <c r="CB781" s="0"/>
      <c r="CC781" s="0"/>
      <c r="CD781" s="0"/>
      <c r="CE781" s="0"/>
      <c r="CF781" s="0"/>
      <c r="CG781" s="0"/>
      <c r="CH781" s="0"/>
      <c r="CI781" s="0"/>
      <c r="CJ781" s="0"/>
      <c r="CK781" s="0"/>
      <c r="CL781" s="0"/>
      <c r="CM781" s="0"/>
      <c r="CN781" s="0"/>
      <c r="CO781" s="0"/>
      <c r="CP781" s="0"/>
      <c r="CQ781" s="0"/>
      <c r="CR781" s="0"/>
      <c r="CS781" s="0"/>
      <c r="CT781" s="0"/>
      <c r="CU781" s="0"/>
      <c r="CV781" s="0"/>
      <c r="CW781" s="0"/>
      <c r="CX781" s="0"/>
      <c r="CY781" s="0"/>
      <c r="CZ781" s="0"/>
      <c r="DA781" s="0"/>
      <c r="DB781" s="0"/>
      <c r="DC781" s="0"/>
      <c r="DD781" s="0"/>
      <c r="DE781" s="0"/>
      <c r="DF781" s="0"/>
      <c r="DG781" s="0"/>
      <c r="DH781" s="0"/>
      <c r="DI781" s="0"/>
      <c r="DJ781" s="0"/>
      <c r="DK781" s="0"/>
      <c r="DL781" s="0"/>
      <c r="DM781" s="0"/>
      <c r="DN781" s="0"/>
      <c r="DO781" s="0"/>
      <c r="DP781" s="0"/>
      <c r="DQ781" s="0"/>
      <c r="DR781" s="0"/>
      <c r="DS781" s="0"/>
      <c r="DT781" s="0"/>
      <c r="DU781" s="0"/>
      <c r="DV781" s="0"/>
      <c r="DW781" s="0"/>
      <c r="DX781" s="0"/>
      <c r="DY781" s="0"/>
      <c r="DZ781" s="0"/>
      <c r="EA781" s="0"/>
      <c r="EB781" s="0"/>
      <c r="EC781" s="0"/>
      <c r="ED781" s="0"/>
      <c r="EE781" s="0"/>
      <c r="EF781" s="0"/>
      <c r="EG781" s="0"/>
      <c r="EH781" s="0"/>
      <c r="EI781" s="0"/>
      <c r="EJ781" s="0"/>
      <c r="EK781" s="0"/>
      <c r="EL781" s="0"/>
      <c r="EM781" s="0"/>
      <c r="EN781" s="0"/>
      <c r="EO781" s="0"/>
      <c r="EP781" s="0"/>
      <c r="EQ781" s="0"/>
      <c r="ER781" s="0"/>
      <c r="ES781" s="0"/>
      <c r="ET781" s="0"/>
      <c r="EU781" s="0"/>
      <c r="EV781" s="0"/>
      <c r="EW781" s="0"/>
      <c r="EX781" s="0"/>
      <c r="EY781" s="0"/>
      <c r="EZ781" s="0"/>
      <c r="FA781" s="0"/>
      <c r="FB781" s="0"/>
      <c r="FC781" s="0"/>
      <c r="FD781" s="0"/>
      <c r="FE781" s="0"/>
      <c r="FF781" s="0"/>
      <c r="FG781" s="0"/>
      <c r="FH781" s="0"/>
      <c r="FI781" s="0"/>
      <c r="FJ781" s="0"/>
      <c r="FK781" s="0"/>
      <c r="FL781" s="0"/>
      <c r="FM781" s="0"/>
      <c r="FN781" s="0"/>
      <c r="FO781" s="0"/>
      <c r="FP781" s="0"/>
      <c r="FQ781" s="0"/>
      <c r="FR781" s="0"/>
      <c r="FS781" s="0"/>
      <c r="FT781" s="0"/>
      <c r="FU781" s="0"/>
      <c r="FV781" s="0"/>
      <c r="FW781" s="0"/>
      <c r="FX781" s="0"/>
      <c r="FY781" s="0"/>
      <c r="FZ781" s="0"/>
      <c r="GA781" s="0"/>
      <c r="GB781" s="0"/>
      <c r="GC781" s="0"/>
      <c r="GD781" s="0"/>
      <c r="GE781" s="0"/>
      <c r="GF781" s="0"/>
      <c r="GG781" s="0"/>
      <c r="GH781" s="0"/>
      <c r="GI781" s="0"/>
      <c r="GJ781" s="0"/>
      <c r="GK781" s="0"/>
      <c r="GL781" s="0"/>
      <c r="GM781" s="0"/>
      <c r="GN781" s="0"/>
      <c r="GO781" s="0"/>
      <c r="GP781" s="0"/>
      <c r="GQ781" s="0"/>
      <c r="GR781" s="0"/>
      <c r="GS781" s="0"/>
      <c r="GT781" s="0"/>
      <c r="GU781" s="0"/>
      <c r="GV781" s="0"/>
      <c r="GW781" s="0"/>
      <c r="GX781" s="0"/>
      <c r="GY781" s="0"/>
      <c r="GZ781" s="0"/>
      <c r="HA781" s="0"/>
      <c r="HB781" s="0"/>
      <c r="HC781" s="0"/>
      <c r="HD781" s="0"/>
      <c r="HE781" s="0"/>
      <c r="HF781" s="0"/>
      <c r="HG781" s="0"/>
      <c r="HH781" s="0"/>
      <c r="HI781" s="0"/>
      <c r="HJ781" s="0"/>
      <c r="HK781" s="0"/>
      <c r="HL781" s="0"/>
      <c r="HM781" s="0"/>
      <c r="HN781" s="0"/>
      <c r="HO781" s="0"/>
      <c r="HP781" s="0"/>
      <c r="HQ781" s="0"/>
      <c r="HR781" s="0"/>
      <c r="HS781" s="0"/>
      <c r="HT781" s="0"/>
      <c r="HU781" s="0"/>
      <c r="HV781" s="0"/>
      <c r="HW781" s="0"/>
      <c r="HX781" s="0"/>
      <c r="HY781" s="0"/>
      <c r="HZ781" s="0"/>
      <c r="IA781" s="0"/>
      <c r="IB781" s="0"/>
      <c r="IC781" s="0"/>
      <c r="ID781" s="0"/>
      <c r="IE781" s="0"/>
      <c r="IF781" s="0"/>
      <c r="IG781" s="0"/>
      <c r="IH781" s="0"/>
      <c r="II781" s="0"/>
      <c r="IJ781" s="0"/>
      <c r="IK781" s="0"/>
      <c r="IL781" s="0"/>
      <c r="IM781" s="0"/>
      <c r="IN781" s="0"/>
      <c r="IO781" s="0"/>
      <c r="IP781" s="0"/>
      <c r="IQ781" s="0"/>
      <c r="IR781" s="0"/>
      <c r="IS781" s="0"/>
      <c r="IT781" s="0"/>
      <c r="IU781" s="0"/>
      <c r="IV781" s="0"/>
    </row>
    <row r="782" customFormat="false" ht="20.1" hidden="false" customHeight="true" outlineLevel="0" collapsed="false">
      <c r="A782" s="1196"/>
      <c r="B782" s="1205" t="s">
        <v>1547</v>
      </c>
      <c r="C782" s="1211" t="n">
        <f aca="false">B570*1000</f>
        <v>75630</v>
      </c>
      <c r="D782" s="996" t="s">
        <v>551</v>
      </c>
      <c r="E782" s="1206" t="n">
        <v>1.2</v>
      </c>
      <c r="F782" s="1207"/>
      <c r="G782" s="1208"/>
      <c r="H782" s="1209" t="n">
        <f aca="false">C782*E782</f>
        <v>90756</v>
      </c>
      <c r="I782" s="0"/>
      <c r="J782" s="1195"/>
      <c r="K782" s="903"/>
      <c r="L782" s="877"/>
      <c r="M782" s="0"/>
      <c r="N782" s="0"/>
      <c r="O782" s="0"/>
      <c r="P782" s="0"/>
      <c r="Q782" s="0"/>
      <c r="R782" s="0"/>
      <c r="S782" s="0"/>
      <c r="T782" s="0"/>
      <c r="U782" s="0"/>
      <c r="V782" s="0"/>
      <c r="W782" s="0"/>
      <c r="X782" s="0"/>
      <c r="Y782" s="0"/>
      <c r="Z782" s="0"/>
      <c r="AA782" s="0"/>
      <c r="AB782" s="0"/>
      <c r="AC782" s="0"/>
      <c r="AD782" s="0"/>
      <c r="AE782" s="0"/>
      <c r="AF782" s="0"/>
      <c r="AG782" s="0"/>
      <c r="AH782" s="0"/>
      <c r="AI782" s="0"/>
      <c r="AJ782" s="0"/>
      <c r="AK782" s="0"/>
      <c r="AL782" s="0"/>
      <c r="AM782" s="0"/>
      <c r="AN782" s="0"/>
      <c r="AO782" s="0"/>
      <c r="AP782" s="0"/>
      <c r="AQ782" s="0"/>
      <c r="AR782" s="0"/>
      <c r="AS782" s="0"/>
      <c r="AT782" s="0"/>
      <c r="BS782" s="0"/>
      <c r="BT782" s="0"/>
      <c r="BU782" s="0"/>
      <c r="BV782" s="0"/>
      <c r="BW782" s="0"/>
      <c r="BX782" s="0"/>
      <c r="BY782" s="0"/>
      <c r="BZ782" s="0"/>
      <c r="CA782" s="0"/>
      <c r="CB782" s="0"/>
      <c r="CC782" s="0"/>
      <c r="CD782" s="0"/>
      <c r="CE782" s="0"/>
      <c r="CF782" s="0"/>
      <c r="CG782" s="0"/>
      <c r="CH782" s="0"/>
      <c r="CI782" s="0"/>
      <c r="CJ782" s="0"/>
      <c r="CK782" s="0"/>
      <c r="CL782" s="0"/>
      <c r="CM782" s="0"/>
      <c r="CN782" s="0"/>
      <c r="CO782" s="0"/>
      <c r="CP782" s="0"/>
      <c r="CQ782" s="0"/>
      <c r="CR782" s="0"/>
      <c r="CS782" s="0"/>
      <c r="CT782" s="0"/>
      <c r="CU782" s="0"/>
      <c r="CV782" s="0"/>
      <c r="CW782" s="0"/>
      <c r="CX782" s="0"/>
      <c r="CY782" s="0"/>
      <c r="CZ782" s="0"/>
      <c r="DA782" s="0"/>
      <c r="DB782" s="0"/>
      <c r="DC782" s="0"/>
      <c r="DD782" s="0"/>
      <c r="DE782" s="0"/>
      <c r="DF782" s="0"/>
      <c r="DG782" s="0"/>
      <c r="DH782" s="0"/>
      <c r="DI782" s="0"/>
      <c r="DJ782" s="0"/>
      <c r="DK782" s="0"/>
      <c r="DL782" s="0"/>
      <c r="DM782" s="0"/>
      <c r="DN782" s="0"/>
      <c r="DO782" s="0"/>
      <c r="DP782" s="0"/>
      <c r="DQ782" s="0"/>
      <c r="DR782" s="0"/>
      <c r="DS782" s="0"/>
      <c r="DT782" s="0"/>
      <c r="DU782" s="0"/>
      <c r="DV782" s="0"/>
      <c r="DW782" s="0"/>
      <c r="DX782" s="0"/>
      <c r="DY782" s="0"/>
      <c r="DZ782" s="0"/>
      <c r="EA782" s="0"/>
      <c r="EB782" s="0"/>
      <c r="EC782" s="0"/>
      <c r="ED782" s="0"/>
      <c r="EE782" s="0"/>
      <c r="EF782" s="0"/>
      <c r="EG782" s="0"/>
      <c r="EH782" s="0"/>
      <c r="EI782" s="0"/>
      <c r="EJ782" s="0"/>
      <c r="EK782" s="0"/>
      <c r="EL782" s="0"/>
      <c r="EM782" s="0"/>
      <c r="EN782" s="0"/>
      <c r="EO782" s="0"/>
      <c r="EP782" s="0"/>
      <c r="EQ782" s="0"/>
      <c r="ER782" s="0"/>
      <c r="ES782" s="0"/>
      <c r="ET782" s="0"/>
      <c r="EU782" s="0"/>
      <c r="EV782" s="0"/>
      <c r="EW782" s="0"/>
      <c r="EX782" s="0"/>
      <c r="EY782" s="0"/>
      <c r="EZ782" s="0"/>
      <c r="FA782" s="0"/>
      <c r="FB782" s="0"/>
      <c r="FC782" s="0"/>
      <c r="FD782" s="0"/>
      <c r="FE782" s="0"/>
      <c r="FF782" s="0"/>
      <c r="FG782" s="0"/>
      <c r="FH782" s="0"/>
      <c r="FI782" s="0"/>
      <c r="FJ782" s="0"/>
      <c r="FK782" s="0"/>
      <c r="FL782" s="0"/>
      <c r="FM782" s="0"/>
      <c r="FN782" s="0"/>
      <c r="FO782" s="0"/>
      <c r="FP782" s="0"/>
      <c r="FQ782" s="0"/>
      <c r="FR782" s="0"/>
      <c r="FS782" s="0"/>
      <c r="FT782" s="0"/>
      <c r="FU782" s="0"/>
      <c r="FV782" s="0"/>
      <c r="FW782" s="0"/>
      <c r="FX782" s="0"/>
      <c r="FY782" s="0"/>
      <c r="FZ782" s="0"/>
      <c r="GA782" s="0"/>
      <c r="GB782" s="0"/>
      <c r="GC782" s="0"/>
      <c r="GD782" s="0"/>
      <c r="GE782" s="0"/>
      <c r="GF782" s="0"/>
      <c r="GG782" s="0"/>
      <c r="GH782" s="0"/>
      <c r="GI782" s="0"/>
      <c r="GJ782" s="0"/>
      <c r="GK782" s="0"/>
      <c r="GL782" s="0"/>
      <c r="GM782" s="0"/>
      <c r="GN782" s="0"/>
      <c r="GO782" s="0"/>
      <c r="GP782" s="0"/>
      <c r="GQ782" s="0"/>
      <c r="GR782" s="0"/>
      <c r="GS782" s="0"/>
      <c r="GT782" s="0"/>
      <c r="GU782" s="0"/>
      <c r="GV782" s="0"/>
      <c r="GW782" s="0"/>
      <c r="GX782" s="0"/>
      <c r="GY782" s="0"/>
      <c r="GZ782" s="0"/>
      <c r="HA782" s="0"/>
      <c r="HB782" s="0"/>
      <c r="HC782" s="0"/>
      <c r="HD782" s="0"/>
      <c r="HE782" s="0"/>
      <c r="HF782" s="0"/>
      <c r="HG782" s="0"/>
      <c r="HH782" s="0"/>
      <c r="HI782" s="0"/>
      <c r="HJ782" s="0"/>
      <c r="HK782" s="0"/>
      <c r="HL782" s="0"/>
      <c r="HM782" s="0"/>
      <c r="HN782" s="0"/>
      <c r="HO782" s="0"/>
      <c r="HP782" s="0"/>
      <c r="HQ782" s="0"/>
      <c r="HR782" s="0"/>
      <c r="HS782" s="0"/>
      <c r="HT782" s="0"/>
      <c r="HU782" s="0"/>
      <c r="HV782" s="0"/>
      <c r="HW782" s="0"/>
      <c r="HX782" s="0"/>
      <c r="HY782" s="0"/>
      <c r="HZ782" s="0"/>
      <c r="IA782" s="0"/>
      <c r="IB782" s="0"/>
      <c r="IC782" s="0"/>
      <c r="ID782" s="0"/>
      <c r="IE782" s="0"/>
      <c r="IF782" s="0"/>
      <c r="IG782" s="0"/>
      <c r="IH782" s="0"/>
      <c r="II782" s="0"/>
      <c r="IJ782" s="0"/>
      <c r="IK782" s="0"/>
      <c r="IL782" s="0"/>
      <c r="IM782" s="0"/>
      <c r="IN782" s="0"/>
      <c r="IO782" s="0"/>
      <c r="IP782" s="0"/>
      <c r="IQ782" s="0"/>
      <c r="IR782" s="0"/>
      <c r="IS782" s="0"/>
      <c r="IT782" s="0"/>
      <c r="IU782" s="0"/>
      <c r="IV782" s="0"/>
    </row>
    <row r="783" customFormat="false" ht="20.1" hidden="false" customHeight="true" outlineLevel="0" collapsed="false">
      <c r="A783" s="1212" t="s">
        <v>1548</v>
      </c>
      <c r="B783" s="1205" t="s">
        <v>1549</v>
      </c>
      <c r="C783" s="1213" t="n">
        <f aca="false">I98</f>
        <v>0</v>
      </c>
      <c r="D783" s="996" t="s">
        <v>1550</v>
      </c>
      <c r="E783" s="1206" t="n">
        <v>2500</v>
      </c>
      <c r="F783" s="1214"/>
      <c r="G783" s="1215"/>
      <c r="H783" s="1209" t="n">
        <f aca="false">C783*E783</f>
        <v>0</v>
      </c>
      <c r="I783" s="0"/>
      <c r="J783" s="1195"/>
      <c r="K783" s="903"/>
      <c r="L783" s="877"/>
      <c r="M783" s="0"/>
      <c r="N783" s="0"/>
      <c r="O783" s="0"/>
      <c r="P783" s="0"/>
      <c r="Q783" s="0"/>
      <c r="R783" s="0"/>
      <c r="S783" s="0"/>
      <c r="T783" s="0"/>
      <c r="U783" s="0"/>
      <c r="V783" s="0"/>
      <c r="W783" s="0"/>
      <c r="X783" s="0"/>
      <c r="Y783" s="0"/>
      <c r="Z783" s="0"/>
      <c r="AA783" s="0"/>
      <c r="AB783" s="0"/>
      <c r="AC783" s="0"/>
      <c r="AD783" s="0"/>
      <c r="AE783" s="0"/>
      <c r="AF783" s="0"/>
      <c r="AG783" s="0"/>
      <c r="AH783" s="0"/>
      <c r="AI783" s="0"/>
      <c r="AJ783" s="0"/>
      <c r="AK783" s="0"/>
      <c r="AL783" s="0"/>
      <c r="AM783" s="0"/>
      <c r="AN783" s="0"/>
      <c r="AO783" s="0"/>
      <c r="AP783" s="0"/>
      <c r="AQ783" s="0"/>
      <c r="AR783" s="0"/>
      <c r="AS783" s="0"/>
      <c r="AT783" s="0"/>
      <c r="BS783" s="0"/>
      <c r="BT783" s="0"/>
      <c r="BU783" s="0"/>
      <c r="BV783" s="0"/>
      <c r="BW783" s="0"/>
      <c r="BX783" s="0"/>
      <c r="BY783" s="0"/>
      <c r="BZ783" s="0"/>
      <c r="CA783" s="0"/>
      <c r="CB783" s="0"/>
      <c r="CC783" s="0"/>
      <c r="CD783" s="0"/>
      <c r="CE783" s="0"/>
      <c r="CF783" s="0"/>
      <c r="CG783" s="0"/>
      <c r="CH783" s="0"/>
      <c r="CI783" s="0"/>
      <c r="CJ783" s="0"/>
      <c r="CK783" s="0"/>
      <c r="CL783" s="0"/>
      <c r="CM783" s="0"/>
      <c r="CN783" s="0"/>
      <c r="CO783" s="0"/>
      <c r="CP783" s="0"/>
      <c r="CQ783" s="0"/>
      <c r="CR783" s="0"/>
      <c r="CS783" s="0"/>
      <c r="CT783" s="0"/>
      <c r="CU783" s="0"/>
      <c r="CV783" s="0"/>
      <c r="CW783" s="0"/>
      <c r="CX783" s="0"/>
      <c r="CY783" s="0"/>
      <c r="CZ783" s="0"/>
      <c r="DA783" s="0"/>
      <c r="DB783" s="0"/>
      <c r="DC783" s="0"/>
      <c r="DD783" s="0"/>
      <c r="DE783" s="0"/>
      <c r="DF783" s="0"/>
      <c r="DG783" s="0"/>
      <c r="DH783" s="0"/>
      <c r="DI783" s="0"/>
      <c r="DJ783" s="0"/>
      <c r="DK783" s="0"/>
      <c r="DL783" s="0"/>
      <c r="DM783" s="0"/>
      <c r="DN783" s="0"/>
      <c r="DO783" s="0"/>
      <c r="DP783" s="0"/>
      <c r="DQ783" s="0"/>
      <c r="DR783" s="0"/>
      <c r="DS783" s="0"/>
      <c r="DT783" s="0"/>
      <c r="DU783" s="0"/>
      <c r="DV783" s="0"/>
      <c r="DW783" s="0"/>
      <c r="DX783" s="0"/>
      <c r="DY783" s="0"/>
      <c r="DZ783" s="0"/>
      <c r="EA783" s="0"/>
      <c r="EB783" s="0"/>
      <c r="EC783" s="0"/>
      <c r="ED783" s="0"/>
      <c r="EE783" s="0"/>
      <c r="EF783" s="0"/>
      <c r="EG783" s="0"/>
      <c r="EH783" s="0"/>
      <c r="EI783" s="0"/>
      <c r="EJ783" s="0"/>
      <c r="EK783" s="0"/>
      <c r="EL783" s="0"/>
      <c r="EM783" s="0"/>
      <c r="EN783" s="0"/>
      <c r="EO783" s="0"/>
      <c r="EP783" s="0"/>
      <c r="EQ783" s="0"/>
      <c r="ER783" s="0"/>
      <c r="ES783" s="0"/>
      <c r="ET783" s="0"/>
      <c r="EU783" s="0"/>
      <c r="EV783" s="0"/>
      <c r="EW783" s="0"/>
      <c r="EX783" s="0"/>
      <c r="EY783" s="0"/>
      <c r="EZ783" s="0"/>
      <c r="FA783" s="0"/>
      <c r="FB783" s="0"/>
      <c r="FC783" s="0"/>
      <c r="FD783" s="0"/>
      <c r="FE783" s="0"/>
      <c r="FF783" s="0"/>
      <c r="FG783" s="0"/>
      <c r="FH783" s="0"/>
      <c r="FI783" s="0"/>
      <c r="FJ783" s="0"/>
      <c r="FK783" s="0"/>
      <c r="FL783" s="0"/>
      <c r="FM783" s="0"/>
      <c r="FN783" s="0"/>
      <c r="FO783" s="0"/>
      <c r="FP783" s="0"/>
      <c r="FQ783" s="0"/>
      <c r="FR783" s="0"/>
      <c r="FS783" s="0"/>
      <c r="FT783" s="0"/>
      <c r="FU783" s="0"/>
      <c r="FV783" s="0"/>
      <c r="FW783" s="0"/>
      <c r="FX783" s="0"/>
      <c r="FY783" s="0"/>
      <c r="FZ783" s="0"/>
      <c r="GA783" s="0"/>
      <c r="GB783" s="0"/>
      <c r="GC783" s="0"/>
      <c r="GD783" s="0"/>
      <c r="GE783" s="0"/>
      <c r="GF783" s="0"/>
      <c r="GG783" s="0"/>
      <c r="GH783" s="0"/>
      <c r="GI783" s="0"/>
      <c r="GJ783" s="0"/>
      <c r="GK783" s="0"/>
      <c r="GL783" s="0"/>
      <c r="GM783" s="0"/>
      <c r="GN783" s="0"/>
      <c r="GO783" s="0"/>
      <c r="GP783" s="0"/>
      <c r="GQ783" s="0"/>
      <c r="GR783" s="0"/>
      <c r="GS783" s="0"/>
      <c r="GT783" s="0"/>
      <c r="GU783" s="0"/>
      <c r="GV783" s="0"/>
      <c r="GW783" s="0"/>
      <c r="GX783" s="0"/>
      <c r="GY783" s="0"/>
      <c r="GZ783" s="0"/>
      <c r="HA783" s="0"/>
      <c r="HB783" s="0"/>
      <c r="HC783" s="0"/>
      <c r="HD783" s="0"/>
      <c r="HE783" s="0"/>
      <c r="HF783" s="0"/>
      <c r="HG783" s="0"/>
      <c r="HH783" s="0"/>
      <c r="HI783" s="0"/>
      <c r="HJ783" s="0"/>
      <c r="HK783" s="0"/>
      <c r="HL783" s="0"/>
      <c r="HM783" s="0"/>
      <c r="HN783" s="0"/>
      <c r="HO783" s="0"/>
      <c r="HP783" s="0"/>
      <c r="HQ783" s="0"/>
      <c r="HR783" s="0"/>
      <c r="HS783" s="0"/>
      <c r="HT783" s="0"/>
      <c r="HU783" s="0"/>
      <c r="HV783" s="0"/>
      <c r="HW783" s="0"/>
      <c r="HX783" s="0"/>
      <c r="HY783" s="0"/>
      <c r="HZ783" s="0"/>
      <c r="IA783" s="0"/>
      <c r="IB783" s="0"/>
      <c r="IC783" s="0"/>
      <c r="ID783" s="0"/>
      <c r="IE783" s="0"/>
      <c r="IF783" s="0"/>
      <c r="IG783" s="0"/>
      <c r="IH783" s="0"/>
      <c r="II783" s="0"/>
      <c r="IJ783" s="0"/>
      <c r="IK783" s="0"/>
      <c r="IL783" s="0"/>
      <c r="IM783" s="0"/>
      <c r="IN783" s="0"/>
      <c r="IO783" s="0"/>
      <c r="IP783" s="0"/>
      <c r="IQ783" s="0"/>
      <c r="IR783" s="0"/>
      <c r="IS783" s="0"/>
      <c r="IT783" s="0"/>
      <c r="IU783" s="0"/>
      <c r="IV783" s="0"/>
    </row>
    <row r="784" customFormat="false" ht="30" hidden="false" customHeight="true" outlineLevel="0" collapsed="false">
      <c r="A784" s="1212"/>
      <c r="B784" s="1205" t="s">
        <v>1551</v>
      </c>
      <c r="C784" s="1213" t="n">
        <f aca="false">I97</f>
        <v>60</v>
      </c>
      <c r="D784" s="996" t="s">
        <v>1552</v>
      </c>
      <c r="E784" s="1216" t="n">
        <v>81</v>
      </c>
      <c r="F784" s="1217" t="s">
        <v>1553</v>
      </c>
      <c r="G784" s="1218" t="n">
        <v>6</v>
      </c>
      <c r="H784" s="1209" t="n">
        <f aca="false">C784*G784*E784</f>
        <v>29160</v>
      </c>
      <c r="I784" s="0"/>
      <c r="J784" s="1195"/>
      <c r="K784" s="903"/>
      <c r="L784" s="877" t="s">
        <v>996</v>
      </c>
      <c r="M784" s="0"/>
      <c r="N784" s="0"/>
      <c r="O784" s="0"/>
      <c r="P784" s="0"/>
      <c r="Q784" s="0"/>
      <c r="R784" s="0"/>
      <c r="S784" s="0"/>
      <c r="T784" s="0"/>
      <c r="U784" s="0"/>
      <c r="V784" s="0"/>
      <c r="W784" s="0"/>
      <c r="X784" s="0"/>
      <c r="Y784" s="0"/>
      <c r="Z784" s="0"/>
      <c r="AA784" s="0"/>
      <c r="AB784" s="0"/>
      <c r="AC784" s="0"/>
      <c r="AD784" s="0"/>
      <c r="AE784" s="0"/>
      <c r="AF784" s="55"/>
      <c r="AG784" s="0"/>
      <c r="AH784" s="0"/>
      <c r="AI784" s="0"/>
      <c r="AJ784" s="0"/>
      <c r="AK784" s="0"/>
      <c r="AL784" s="0"/>
      <c r="AM784" s="0"/>
      <c r="AN784" s="0"/>
      <c r="AO784" s="0"/>
      <c r="AP784" s="0"/>
      <c r="AQ784" s="0"/>
      <c r="AR784" s="0"/>
      <c r="AS784" s="0"/>
      <c r="AT784" s="0"/>
      <c r="BS784" s="0"/>
      <c r="BT784" s="0"/>
      <c r="BU784" s="0"/>
      <c r="BV784" s="0"/>
      <c r="BW784" s="0"/>
      <c r="BX784" s="0"/>
      <c r="BY784" s="0"/>
      <c r="BZ784" s="0"/>
      <c r="CA784" s="0"/>
      <c r="CB784" s="0"/>
      <c r="CC784" s="0"/>
      <c r="CD784" s="0"/>
      <c r="CE784" s="0"/>
      <c r="CF784" s="0"/>
      <c r="CG784" s="0"/>
      <c r="CH784" s="0"/>
      <c r="CI784" s="0"/>
      <c r="CJ784" s="0"/>
      <c r="CK784" s="0"/>
      <c r="CL784" s="0"/>
      <c r="CM784" s="0"/>
      <c r="CN784" s="0"/>
      <c r="CO784" s="0"/>
      <c r="CP784" s="0"/>
      <c r="CQ784" s="0"/>
      <c r="CR784" s="0"/>
      <c r="CS784" s="0"/>
      <c r="CT784" s="0"/>
      <c r="CU784" s="0"/>
      <c r="CV784" s="0"/>
      <c r="CW784" s="0"/>
      <c r="CX784" s="0"/>
      <c r="CY784" s="0"/>
      <c r="CZ784" s="0"/>
      <c r="DA784" s="0"/>
      <c r="DB784" s="0"/>
      <c r="DC784" s="0"/>
      <c r="DD784" s="0"/>
      <c r="DE784" s="0"/>
      <c r="DF784" s="0"/>
      <c r="DG784" s="0"/>
      <c r="DH784" s="0"/>
      <c r="DI784" s="0"/>
      <c r="DJ784" s="0"/>
      <c r="DK784" s="0"/>
      <c r="DL784" s="0"/>
      <c r="DM784" s="0"/>
      <c r="DN784" s="0"/>
      <c r="DO784" s="0"/>
      <c r="DP784" s="0"/>
      <c r="DQ784" s="0"/>
      <c r="DR784" s="0"/>
      <c r="DS784" s="0"/>
      <c r="DT784" s="0"/>
      <c r="DU784" s="0"/>
      <c r="DV784" s="0"/>
      <c r="DW784" s="0"/>
      <c r="DX784" s="0"/>
      <c r="DY784" s="0"/>
      <c r="DZ784" s="0"/>
      <c r="EA784" s="0"/>
      <c r="EB784" s="0"/>
      <c r="EC784" s="0"/>
      <c r="ED784" s="0"/>
      <c r="EE784" s="0"/>
      <c r="EF784" s="0"/>
      <c r="EG784" s="0"/>
      <c r="EH784" s="0"/>
      <c r="EI784" s="0"/>
      <c r="EJ784" s="0"/>
      <c r="EK784" s="0"/>
      <c r="EL784" s="0"/>
      <c r="EM784" s="0"/>
      <c r="EN784" s="0"/>
      <c r="EO784" s="0"/>
      <c r="EP784" s="0"/>
      <c r="EQ784" s="0"/>
      <c r="ER784" s="0"/>
      <c r="ES784" s="0"/>
      <c r="ET784" s="0"/>
      <c r="EU784" s="0"/>
      <c r="EV784" s="0"/>
      <c r="EW784" s="0"/>
      <c r="EX784" s="0"/>
      <c r="EY784" s="0"/>
      <c r="EZ784" s="0"/>
      <c r="FA784" s="0"/>
      <c r="FB784" s="0"/>
      <c r="FC784" s="0"/>
      <c r="FD784" s="0"/>
      <c r="FE784" s="0"/>
      <c r="FF784" s="0"/>
      <c r="FG784" s="0"/>
      <c r="FH784" s="0"/>
      <c r="FI784" s="0"/>
      <c r="FJ784" s="0"/>
      <c r="FK784" s="0"/>
      <c r="FL784" s="0"/>
      <c r="FM784" s="0"/>
      <c r="FN784" s="0"/>
      <c r="FO784" s="0"/>
      <c r="FP784" s="0"/>
      <c r="FQ784" s="0"/>
      <c r="FR784" s="0"/>
      <c r="FS784" s="0"/>
      <c r="FT784" s="0"/>
      <c r="FU784" s="0"/>
      <c r="FV784" s="0"/>
      <c r="FW784" s="0"/>
      <c r="FX784" s="0"/>
      <c r="FY784" s="0"/>
      <c r="FZ784" s="0"/>
      <c r="GA784" s="0"/>
      <c r="GB784" s="0"/>
      <c r="GC784" s="0"/>
      <c r="GD784" s="0"/>
      <c r="GE784" s="0"/>
      <c r="GF784" s="0"/>
      <c r="GG784" s="0"/>
      <c r="GH784" s="0"/>
      <c r="GI784" s="0"/>
      <c r="GJ784" s="0"/>
      <c r="GK784" s="0"/>
      <c r="GL784" s="0"/>
      <c r="GM784" s="0"/>
      <c r="GN784" s="0"/>
      <c r="GO784" s="0"/>
      <c r="GP784" s="0"/>
      <c r="GQ784" s="0"/>
      <c r="GR784" s="0"/>
      <c r="GS784" s="0"/>
      <c r="GT784" s="0"/>
      <c r="GU784" s="0"/>
      <c r="GV784" s="0"/>
      <c r="GW784" s="0"/>
      <c r="GX784" s="0"/>
      <c r="GY784" s="0"/>
      <c r="GZ784" s="0"/>
      <c r="HA784" s="0"/>
      <c r="HB784" s="0"/>
      <c r="HC784" s="0"/>
      <c r="HD784" s="0"/>
      <c r="HE784" s="0"/>
      <c r="HF784" s="0"/>
      <c r="HG784" s="0"/>
      <c r="HH784" s="0"/>
      <c r="HI784" s="0"/>
      <c r="HJ784" s="0"/>
      <c r="HK784" s="0"/>
      <c r="HL784" s="0"/>
      <c r="HM784" s="0"/>
      <c r="HN784" s="0"/>
      <c r="HO784" s="0"/>
      <c r="HP784" s="0"/>
      <c r="HQ784" s="0"/>
      <c r="HR784" s="0"/>
      <c r="HS784" s="0"/>
      <c r="HT784" s="0"/>
      <c r="HU784" s="0"/>
      <c r="HV784" s="0"/>
      <c r="HW784" s="0"/>
      <c r="HX784" s="0"/>
      <c r="HY784" s="0"/>
      <c r="HZ784" s="0"/>
      <c r="IA784" s="0"/>
      <c r="IB784" s="0"/>
      <c r="IC784" s="0"/>
      <c r="ID784" s="0"/>
      <c r="IE784" s="0"/>
      <c r="IF784" s="0"/>
      <c r="IG784" s="0"/>
      <c r="IH784" s="0"/>
      <c r="II784" s="0"/>
      <c r="IJ784" s="0"/>
      <c r="IK784" s="0"/>
      <c r="IL784" s="0"/>
      <c r="IM784" s="0"/>
      <c r="IN784" s="0"/>
      <c r="IO784" s="0"/>
      <c r="IP784" s="0"/>
      <c r="IQ784" s="0"/>
      <c r="IR784" s="0"/>
      <c r="IS784" s="0"/>
      <c r="IT784" s="0"/>
      <c r="IU784" s="0"/>
      <c r="IV784" s="0"/>
    </row>
    <row r="785" s="55" customFormat="true" ht="30" hidden="false" customHeight="true" outlineLevel="0" collapsed="false">
      <c r="A785" s="1212"/>
      <c r="B785" s="1205" t="s">
        <v>1554</v>
      </c>
      <c r="C785" s="1213"/>
      <c r="D785" s="996"/>
      <c r="E785" s="1216" t="n">
        <v>0.6</v>
      </c>
      <c r="F785" s="1219" t="s">
        <v>1555</v>
      </c>
      <c r="G785" s="1220"/>
      <c r="H785" s="1209" t="n">
        <f aca="false">C784*G785*E785</f>
        <v>0</v>
      </c>
      <c r="I785" s="0"/>
      <c r="J785" s="0"/>
      <c r="K785" s="1195"/>
      <c r="L785" s="903"/>
      <c r="M785" s="0"/>
      <c r="N785" s="0"/>
      <c r="O785" s="0"/>
      <c r="P785" s="0"/>
      <c r="Q785" s="0"/>
      <c r="R785" s="0"/>
      <c r="S785" s="0"/>
      <c r="T785" s="0"/>
      <c r="U785" s="0"/>
      <c r="V785" s="0"/>
      <c r="W785" s="0"/>
      <c r="X785" s="0"/>
    </row>
    <row r="786" customFormat="false" ht="30" hidden="false" customHeight="true" outlineLevel="0" collapsed="false">
      <c r="A786" s="1212" t="s">
        <v>1556</v>
      </c>
      <c r="B786" s="1205" t="s">
        <v>1557</v>
      </c>
      <c r="C786" s="1213" t="n">
        <f aca="false">I97</f>
        <v>60</v>
      </c>
      <c r="D786" s="996" t="s">
        <v>1552</v>
      </c>
      <c r="E786" s="1216" t="n">
        <v>47</v>
      </c>
      <c r="F786" s="1219" t="s">
        <v>1553</v>
      </c>
      <c r="G786" s="1220" t="n">
        <v>6</v>
      </c>
      <c r="H786" s="1209" t="n">
        <f aca="false">C786*G786*E786</f>
        <v>16920</v>
      </c>
      <c r="I786" s="0"/>
      <c r="J786" s="1195"/>
      <c r="K786" s="903"/>
      <c r="L786" s="877"/>
      <c r="M786" s="0"/>
      <c r="N786" s="0"/>
      <c r="O786" s="0"/>
      <c r="P786" s="0"/>
      <c r="Q786" s="0"/>
      <c r="R786" s="0"/>
      <c r="S786" s="0"/>
      <c r="T786" s="0"/>
      <c r="U786" s="0"/>
      <c r="V786" s="0"/>
      <c r="W786" s="0"/>
      <c r="X786" s="0"/>
      <c r="Y786" s="0"/>
      <c r="Z786" s="0"/>
      <c r="AA786" s="0"/>
      <c r="AB786" s="0"/>
      <c r="AC786" s="0"/>
      <c r="AD786" s="0"/>
      <c r="AE786" s="0"/>
      <c r="AF786" s="0"/>
      <c r="AG786" s="0"/>
      <c r="AH786" s="0"/>
      <c r="AI786" s="0"/>
      <c r="AJ786" s="0"/>
      <c r="AK786" s="0"/>
      <c r="AL786" s="0"/>
      <c r="AM786" s="0"/>
      <c r="AN786" s="0"/>
      <c r="AO786" s="0"/>
      <c r="AP786" s="0"/>
      <c r="AQ786" s="0"/>
      <c r="AR786" s="0"/>
      <c r="AS786" s="0"/>
      <c r="AT786" s="0"/>
      <c r="BS786" s="0"/>
      <c r="BT786" s="0"/>
      <c r="BU786" s="0"/>
      <c r="BV786" s="0"/>
      <c r="BW786" s="0"/>
      <c r="BX786" s="0"/>
      <c r="BY786" s="0"/>
      <c r="BZ786" s="0"/>
      <c r="CA786" s="0"/>
      <c r="CB786" s="0"/>
      <c r="CC786" s="0"/>
      <c r="CD786" s="0"/>
      <c r="CE786" s="0"/>
      <c r="CF786" s="0"/>
      <c r="CG786" s="0"/>
      <c r="CH786" s="0"/>
      <c r="CI786" s="0"/>
      <c r="CJ786" s="0"/>
      <c r="CK786" s="0"/>
      <c r="CL786" s="0"/>
      <c r="CM786" s="0"/>
      <c r="CN786" s="0"/>
      <c r="CO786" s="0"/>
      <c r="CP786" s="0"/>
      <c r="CQ786" s="0"/>
      <c r="CR786" s="0"/>
      <c r="CS786" s="0"/>
      <c r="CT786" s="0"/>
      <c r="CU786" s="0"/>
      <c r="CV786" s="0"/>
      <c r="CW786" s="0"/>
      <c r="CX786" s="0"/>
      <c r="CY786" s="0"/>
      <c r="CZ786" s="0"/>
      <c r="DA786" s="0"/>
      <c r="DB786" s="0"/>
      <c r="DC786" s="0"/>
      <c r="DD786" s="0"/>
      <c r="DE786" s="0"/>
      <c r="DF786" s="0"/>
      <c r="DG786" s="0"/>
      <c r="DH786" s="0"/>
      <c r="DI786" s="0"/>
      <c r="DJ786" s="0"/>
      <c r="DK786" s="0"/>
      <c r="DL786" s="0"/>
      <c r="DM786" s="0"/>
      <c r="DN786" s="0"/>
      <c r="DO786" s="0"/>
      <c r="DP786" s="0"/>
      <c r="DQ786" s="0"/>
      <c r="DR786" s="0"/>
      <c r="DS786" s="0"/>
      <c r="DT786" s="0"/>
      <c r="DU786" s="0"/>
      <c r="DV786" s="0"/>
      <c r="DW786" s="0"/>
      <c r="DX786" s="0"/>
      <c r="DY786" s="0"/>
      <c r="DZ786" s="0"/>
      <c r="EA786" s="0"/>
      <c r="EB786" s="0"/>
      <c r="EC786" s="0"/>
      <c r="ED786" s="0"/>
      <c r="EE786" s="0"/>
      <c r="EF786" s="0"/>
      <c r="EG786" s="0"/>
      <c r="EH786" s="0"/>
      <c r="EI786" s="0"/>
      <c r="EJ786" s="0"/>
      <c r="EK786" s="0"/>
      <c r="EL786" s="0"/>
      <c r="EM786" s="0"/>
      <c r="EN786" s="0"/>
      <c r="EO786" s="0"/>
      <c r="EP786" s="0"/>
      <c r="EQ786" s="0"/>
      <c r="ER786" s="0"/>
      <c r="ES786" s="0"/>
      <c r="ET786" s="0"/>
      <c r="EU786" s="0"/>
      <c r="EV786" s="0"/>
      <c r="EW786" s="0"/>
      <c r="EX786" s="0"/>
      <c r="EY786" s="0"/>
      <c r="EZ786" s="0"/>
      <c r="FA786" s="0"/>
      <c r="FB786" s="0"/>
      <c r="FC786" s="0"/>
      <c r="FD786" s="0"/>
      <c r="FE786" s="0"/>
      <c r="FF786" s="0"/>
      <c r="FG786" s="0"/>
      <c r="FH786" s="0"/>
      <c r="FI786" s="0"/>
      <c r="FJ786" s="0"/>
      <c r="FK786" s="0"/>
      <c r="FL786" s="0"/>
      <c r="FM786" s="0"/>
      <c r="FN786" s="0"/>
      <c r="FO786" s="0"/>
      <c r="FP786" s="0"/>
      <c r="FQ786" s="0"/>
      <c r="FR786" s="0"/>
      <c r="FS786" s="0"/>
      <c r="FT786" s="0"/>
      <c r="FU786" s="0"/>
      <c r="FV786" s="0"/>
      <c r="FW786" s="0"/>
      <c r="FX786" s="0"/>
      <c r="FY786" s="0"/>
      <c r="FZ786" s="0"/>
      <c r="GA786" s="0"/>
      <c r="GB786" s="0"/>
      <c r="GC786" s="0"/>
      <c r="GD786" s="0"/>
      <c r="GE786" s="0"/>
      <c r="GF786" s="0"/>
      <c r="GG786" s="0"/>
      <c r="GH786" s="0"/>
      <c r="GI786" s="0"/>
      <c r="GJ786" s="0"/>
      <c r="GK786" s="0"/>
      <c r="GL786" s="0"/>
      <c r="GM786" s="0"/>
      <c r="GN786" s="0"/>
      <c r="GO786" s="0"/>
      <c r="GP786" s="0"/>
      <c r="GQ786" s="0"/>
      <c r="GR786" s="0"/>
      <c r="GS786" s="0"/>
      <c r="GT786" s="0"/>
      <c r="GU786" s="0"/>
      <c r="GV786" s="0"/>
      <c r="GW786" s="0"/>
      <c r="GX786" s="0"/>
      <c r="GY786" s="0"/>
      <c r="GZ786" s="0"/>
      <c r="HA786" s="0"/>
      <c r="HB786" s="0"/>
      <c r="HC786" s="0"/>
      <c r="HD786" s="0"/>
      <c r="HE786" s="0"/>
      <c r="HF786" s="0"/>
      <c r="HG786" s="0"/>
      <c r="HH786" s="0"/>
      <c r="HI786" s="0"/>
      <c r="HJ786" s="0"/>
      <c r="HK786" s="0"/>
      <c r="HL786" s="0"/>
      <c r="HM786" s="0"/>
      <c r="HN786" s="0"/>
      <c r="HO786" s="0"/>
      <c r="HP786" s="0"/>
      <c r="HQ786" s="0"/>
      <c r="HR786" s="0"/>
      <c r="HS786" s="0"/>
      <c r="HT786" s="0"/>
      <c r="HU786" s="0"/>
      <c r="HV786" s="0"/>
      <c r="HW786" s="0"/>
      <c r="HX786" s="0"/>
      <c r="HY786" s="0"/>
      <c r="HZ786" s="0"/>
      <c r="IA786" s="0"/>
      <c r="IB786" s="0"/>
      <c r="IC786" s="0"/>
      <c r="ID786" s="0"/>
      <c r="IE786" s="0"/>
      <c r="IF786" s="0"/>
      <c r="IG786" s="0"/>
      <c r="IH786" s="0"/>
      <c r="II786" s="0"/>
      <c r="IJ786" s="0"/>
      <c r="IK786" s="0"/>
      <c r="IL786" s="0"/>
      <c r="IM786" s="0"/>
      <c r="IN786" s="0"/>
      <c r="IO786" s="0"/>
      <c r="IP786" s="0"/>
      <c r="IQ786" s="0"/>
      <c r="IR786" s="0"/>
      <c r="IS786" s="0"/>
      <c r="IT786" s="0"/>
      <c r="IU786" s="0"/>
      <c r="IV786" s="0"/>
    </row>
    <row r="787" customFormat="false" ht="30" hidden="false" customHeight="true" outlineLevel="0" collapsed="false">
      <c r="A787" s="1212"/>
      <c r="B787" s="1205" t="s">
        <v>1554</v>
      </c>
      <c r="C787" s="1213"/>
      <c r="D787" s="996"/>
      <c r="E787" s="1216" t="n">
        <v>53</v>
      </c>
      <c r="F787" s="1219" t="s">
        <v>1555</v>
      </c>
      <c r="G787" s="1220"/>
      <c r="H787" s="1209" t="n">
        <f aca="false">C786*G787*E787</f>
        <v>0</v>
      </c>
      <c r="I787" s="0"/>
      <c r="J787" s="1195"/>
      <c r="K787" s="903"/>
      <c r="L787" s="877"/>
      <c r="M787" s="0"/>
      <c r="N787" s="0"/>
      <c r="O787" s="0"/>
      <c r="P787" s="0"/>
      <c r="Q787" s="0"/>
      <c r="R787" s="0"/>
      <c r="S787" s="0"/>
      <c r="T787" s="0"/>
      <c r="U787" s="0"/>
      <c r="V787" s="0"/>
      <c r="W787" s="0"/>
      <c r="X787" s="0"/>
      <c r="Y787" s="0"/>
      <c r="Z787" s="0"/>
      <c r="AA787" s="0"/>
      <c r="AB787" s="0"/>
      <c r="AC787" s="0"/>
      <c r="AD787" s="0"/>
      <c r="AE787" s="0"/>
      <c r="AF787" s="0"/>
      <c r="AG787" s="0"/>
      <c r="AH787" s="0"/>
      <c r="AI787" s="0"/>
      <c r="AJ787" s="0"/>
      <c r="AK787" s="0"/>
      <c r="AL787" s="0"/>
      <c r="AM787" s="0"/>
      <c r="AN787" s="0"/>
      <c r="AO787" s="0"/>
      <c r="AP787" s="0"/>
      <c r="AQ787" s="0"/>
      <c r="AR787" s="0"/>
      <c r="AS787" s="0"/>
      <c r="AT787" s="0"/>
      <c r="AU787" s="0"/>
      <c r="AV787" s="0"/>
      <c r="AW787" s="0"/>
      <c r="AX787" s="0"/>
      <c r="AY787" s="0"/>
      <c r="AZ787" s="0"/>
      <c r="BA787" s="0"/>
      <c r="BB787" s="0"/>
      <c r="BC787" s="0"/>
      <c r="BD787" s="0"/>
      <c r="BE787" s="0"/>
      <c r="BF787" s="0"/>
      <c r="BG787" s="0"/>
      <c r="BH787" s="0"/>
      <c r="BI787" s="0"/>
      <c r="BJ787" s="0"/>
      <c r="BK787" s="0"/>
      <c r="BL787" s="0"/>
      <c r="BM787" s="0"/>
      <c r="BN787" s="0"/>
      <c r="BO787" s="0"/>
      <c r="BP787" s="0"/>
      <c r="BQ787" s="0"/>
      <c r="BR787" s="0"/>
      <c r="BS787" s="0"/>
      <c r="BT787" s="0"/>
      <c r="BU787" s="0"/>
      <c r="BV787" s="0"/>
      <c r="BW787" s="0"/>
      <c r="BX787" s="0"/>
      <c r="BY787" s="0"/>
      <c r="BZ787" s="0"/>
      <c r="CA787" s="0"/>
      <c r="CB787" s="0"/>
      <c r="CC787" s="0"/>
      <c r="CD787" s="0"/>
      <c r="CE787" s="0"/>
      <c r="CF787" s="0"/>
      <c r="CG787" s="0"/>
      <c r="CH787" s="0"/>
      <c r="CI787" s="0"/>
      <c r="CJ787" s="0"/>
      <c r="CK787" s="0"/>
      <c r="CL787" s="0"/>
      <c r="CM787" s="0"/>
      <c r="CN787" s="0"/>
      <c r="CO787" s="0"/>
      <c r="CP787" s="0"/>
      <c r="CQ787" s="0"/>
      <c r="CR787" s="0"/>
      <c r="CS787" s="0"/>
      <c r="CT787" s="0"/>
      <c r="CU787" s="0"/>
      <c r="CV787" s="0"/>
      <c r="CW787" s="0"/>
      <c r="CX787" s="0"/>
      <c r="CY787" s="0"/>
      <c r="CZ787" s="0"/>
      <c r="DA787" s="0"/>
      <c r="DB787" s="0"/>
      <c r="DC787" s="0"/>
      <c r="DD787" s="0"/>
      <c r="DE787" s="0"/>
      <c r="DF787" s="0"/>
      <c r="DG787" s="0"/>
      <c r="DH787" s="0"/>
      <c r="DI787" s="0"/>
      <c r="DJ787" s="0"/>
      <c r="DK787" s="0"/>
      <c r="DL787" s="0"/>
      <c r="DM787" s="0"/>
      <c r="DN787" s="0"/>
      <c r="DO787" s="0"/>
      <c r="DP787" s="0"/>
      <c r="DQ787" s="0"/>
      <c r="DR787" s="0"/>
      <c r="DS787" s="0"/>
      <c r="DT787" s="0"/>
      <c r="DU787" s="0"/>
      <c r="DV787" s="0"/>
      <c r="DW787" s="0"/>
      <c r="DX787" s="0"/>
      <c r="DY787" s="0"/>
      <c r="DZ787" s="0"/>
      <c r="EA787" s="0"/>
      <c r="EB787" s="0"/>
      <c r="EC787" s="0"/>
      <c r="ED787" s="0"/>
      <c r="EE787" s="0"/>
      <c r="EF787" s="0"/>
      <c r="EG787" s="0"/>
      <c r="EH787" s="0"/>
      <c r="EI787" s="0"/>
      <c r="EJ787" s="0"/>
      <c r="EK787" s="0"/>
      <c r="EL787" s="0"/>
      <c r="EM787" s="0"/>
      <c r="EN787" s="0"/>
      <c r="EO787" s="0"/>
      <c r="EP787" s="0"/>
      <c r="EQ787" s="0"/>
      <c r="ER787" s="0"/>
      <c r="ES787" s="0"/>
      <c r="ET787" s="0"/>
      <c r="EU787" s="0"/>
      <c r="EV787" s="0"/>
      <c r="EW787" s="0"/>
      <c r="EX787" s="0"/>
      <c r="EY787" s="0"/>
      <c r="EZ787" s="0"/>
      <c r="FA787" s="0"/>
      <c r="FB787" s="0"/>
      <c r="FC787" s="0"/>
      <c r="FD787" s="0"/>
      <c r="FE787" s="0"/>
      <c r="FF787" s="0"/>
      <c r="FG787" s="0"/>
      <c r="FH787" s="0"/>
      <c r="FI787" s="0"/>
      <c r="FJ787" s="0"/>
      <c r="FK787" s="0"/>
      <c r="FL787" s="0"/>
      <c r="FM787" s="0"/>
      <c r="FN787" s="0"/>
      <c r="FO787" s="0"/>
      <c r="FP787" s="0"/>
      <c r="FQ787" s="0"/>
      <c r="FR787" s="0"/>
      <c r="FS787" s="0"/>
      <c r="FT787" s="0"/>
      <c r="FU787" s="0"/>
      <c r="FV787" s="0"/>
      <c r="FW787" s="0"/>
      <c r="FX787" s="0"/>
      <c r="FY787" s="0"/>
      <c r="FZ787" s="0"/>
      <c r="GA787" s="0"/>
      <c r="GB787" s="0"/>
      <c r="GC787" s="0"/>
      <c r="GD787" s="0"/>
      <c r="GE787" s="0"/>
      <c r="GF787" s="0"/>
      <c r="GG787" s="0"/>
      <c r="GH787" s="0"/>
      <c r="GI787" s="0"/>
      <c r="GJ787" s="0"/>
      <c r="GK787" s="0"/>
      <c r="GL787" s="0"/>
      <c r="GM787" s="0"/>
      <c r="GN787" s="0"/>
      <c r="GO787" s="0"/>
      <c r="GP787" s="0"/>
      <c r="GQ787" s="0"/>
      <c r="GR787" s="0"/>
      <c r="GS787" s="0"/>
      <c r="GT787" s="0"/>
      <c r="GU787" s="0"/>
      <c r="GV787" s="0"/>
      <c r="GW787" s="0"/>
      <c r="GX787" s="0"/>
      <c r="GY787" s="0"/>
      <c r="GZ787" s="0"/>
      <c r="HA787" s="0"/>
      <c r="HB787" s="0"/>
      <c r="HC787" s="0"/>
      <c r="HD787" s="0"/>
      <c r="HE787" s="0"/>
      <c r="HF787" s="0"/>
      <c r="HG787" s="0"/>
      <c r="HH787" s="0"/>
      <c r="HI787" s="0"/>
      <c r="HJ787" s="0"/>
      <c r="HK787" s="0"/>
      <c r="HL787" s="0"/>
      <c r="HM787" s="0"/>
      <c r="HN787" s="0"/>
      <c r="HO787" s="0"/>
      <c r="HP787" s="0"/>
      <c r="HQ787" s="0"/>
      <c r="HR787" s="0"/>
      <c r="HS787" s="0"/>
      <c r="HT787" s="0"/>
      <c r="HU787" s="0"/>
      <c r="HV787" s="0"/>
      <c r="HW787" s="0"/>
      <c r="HX787" s="0"/>
      <c r="HY787" s="0"/>
      <c r="HZ787" s="0"/>
      <c r="IA787" s="0"/>
      <c r="IB787" s="0"/>
      <c r="IC787" s="0"/>
      <c r="ID787" s="0"/>
      <c r="IE787" s="0"/>
      <c r="IF787" s="0"/>
      <c r="IG787" s="0"/>
      <c r="IH787" s="0"/>
      <c r="II787" s="0"/>
      <c r="IJ787" s="0"/>
      <c r="IK787" s="0"/>
      <c r="IL787" s="0"/>
      <c r="IM787" s="0"/>
      <c r="IN787" s="0"/>
      <c r="IO787" s="0"/>
      <c r="IP787" s="0"/>
      <c r="IQ787" s="0"/>
      <c r="IR787" s="0"/>
      <c r="IS787" s="0"/>
      <c r="IT787" s="0"/>
      <c r="IU787" s="0"/>
      <c r="IV787" s="0"/>
    </row>
    <row r="788" customFormat="false" ht="20.1" hidden="false" customHeight="true" outlineLevel="0" collapsed="false">
      <c r="A788" s="1212"/>
      <c r="B788" s="1205" t="s">
        <v>1545</v>
      </c>
      <c r="C788" s="822" t="n">
        <f aca="false">C781</f>
        <v>12319.2</v>
      </c>
      <c r="D788" s="996" t="s">
        <v>1558</v>
      </c>
      <c r="E788" s="1216" t="n">
        <v>5</v>
      </c>
      <c r="F788" s="1221"/>
      <c r="G788" s="1221"/>
      <c r="H788" s="1209" t="n">
        <f aca="false">E788*C788</f>
        <v>61596</v>
      </c>
      <c r="I788" s="0"/>
      <c r="J788" s="1195"/>
      <c r="K788" s="903"/>
      <c r="L788" s="877"/>
      <c r="M788" s="0"/>
      <c r="N788" s="0"/>
      <c r="O788" s="0"/>
      <c r="P788" s="0"/>
      <c r="Q788" s="0"/>
      <c r="R788" s="0"/>
      <c r="S788" s="0"/>
      <c r="T788" s="0"/>
      <c r="U788" s="0"/>
      <c r="V788" s="0"/>
      <c r="W788" s="0"/>
      <c r="X788" s="0"/>
      <c r="Y788" s="0"/>
      <c r="Z788" s="0"/>
      <c r="AA788" s="0"/>
      <c r="AB788" s="0"/>
      <c r="AC788" s="0"/>
      <c r="AD788" s="0"/>
      <c r="AE788" s="0"/>
      <c r="AF788" s="0"/>
      <c r="AG788" s="0"/>
      <c r="AH788" s="0"/>
      <c r="AI788" s="0"/>
      <c r="AJ788" s="0"/>
      <c r="AK788" s="0"/>
      <c r="AL788" s="0"/>
      <c r="AM788" s="0"/>
      <c r="AN788" s="0"/>
      <c r="AO788" s="0"/>
      <c r="AP788" s="0"/>
      <c r="AQ788" s="0"/>
      <c r="AR788" s="0"/>
      <c r="AS788" s="0"/>
      <c r="AT788" s="0"/>
      <c r="AU788" s="0"/>
      <c r="AV788" s="0"/>
      <c r="AW788" s="0"/>
      <c r="AX788" s="0"/>
      <c r="AY788" s="0"/>
      <c r="AZ788" s="0"/>
      <c r="BA788" s="0"/>
      <c r="BB788" s="0"/>
      <c r="BC788" s="0"/>
      <c r="BD788" s="0"/>
      <c r="BE788" s="0"/>
      <c r="BF788" s="0"/>
      <c r="BG788" s="0"/>
      <c r="BH788" s="0"/>
      <c r="BI788" s="0"/>
      <c r="BJ788" s="0"/>
      <c r="BK788" s="0"/>
      <c r="BL788" s="0"/>
      <c r="BM788" s="0"/>
      <c r="BN788" s="0"/>
      <c r="BO788" s="0"/>
      <c r="BP788" s="0"/>
      <c r="BQ788" s="0"/>
      <c r="BR788" s="0"/>
      <c r="BS788" s="0"/>
      <c r="BT788" s="0"/>
      <c r="BU788" s="0"/>
      <c r="BV788" s="0"/>
      <c r="BW788" s="0"/>
      <c r="BX788" s="0"/>
      <c r="BY788" s="0"/>
      <c r="BZ788" s="0"/>
      <c r="CA788" s="0"/>
      <c r="CB788" s="0"/>
      <c r="CC788" s="0"/>
      <c r="CD788" s="0"/>
      <c r="CE788" s="0"/>
      <c r="CF788" s="0"/>
      <c r="CG788" s="0"/>
      <c r="CH788" s="0"/>
      <c r="CI788" s="0"/>
      <c r="CJ788" s="0"/>
      <c r="CK788" s="0"/>
      <c r="CL788" s="0"/>
      <c r="CM788" s="0"/>
      <c r="CN788" s="0"/>
      <c r="CO788" s="0"/>
      <c r="CP788" s="0"/>
      <c r="CQ788" s="0"/>
      <c r="CR788" s="0"/>
      <c r="CS788" s="0"/>
      <c r="CT788" s="0"/>
      <c r="CU788" s="0"/>
      <c r="CV788" s="0"/>
      <c r="CW788" s="0"/>
      <c r="CX788" s="0"/>
      <c r="CY788" s="0"/>
      <c r="CZ788" s="0"/>
      <c r="DA788" s="0"/>
      <c r="DB788" s="0"/>
      <c r="DC788" s="0"/>
      <c r="DD788" s="0"/>
      <c r="DE788" s="0"/>
      <c r="DF788" s="0"/>
      <c r="DG788" s="0"/>
      <c r="DH788" s="0"/>
      <c r="DI788" s="0"/>
      <c r="DJ788" s="0"/>
      <c r="DK788" s="0"/>
      <c r="DL788" s="0"/>
      <c r="DM788" s="0"/>
      <c r="DN788" s="0"/>
      <c r="DO788" s="0"/>
      <c r="DP788" s="0"/>
      <c r="DQ788" s="0"/>
      <c r="DR788" s="0"/>
      <c r="DS788" s="0"/>
      <c r="DT788" s="0"/>
      <c r="DU788" s="0"/>
      <c r="DV788" s="0"/>
      <c r="DW788" s="0"/>
      <c r="DX788" s="0"/>
      <c r="DY788" s="0"/>
      <c r="DZ788" s="0"/>
      <c r="EA788" s="0"/>
      <c r="EB788" s="0"/>
      <c r="EC788" s="0"/>
      <c r="ED788" s="0"/>
      <c r="EE788" s="0"/>
      <c r="EF788" s="0"/>
      <c r="EG788" s="0"/>
      <c r="EH788" s="0"/>
      <c r="EI788" s="0"/>
      <c r="EJ788" s="0"/>
      <c r="EK788" s="0"/>
      <c r="EL788" s="0"/>
      <c r="EM788" s="0"/>
      <c r="EN788" s="0"/>
      <c r="EO788" s="0"/>
      <c r="EP788" s="0"/>
      <c r="EQ788" s="0"/>
      <c r="ER788" s="0"/>
      <c r="ES788" s="0"/>
      <c r="ET788" s="0"/>
      <c r="EU788" s="0"/>
      <c r="EV788" s="0"/>
      <c r="EW788" s="0"/>
      <c r="EX788" s="0"/>
      <c r="EY788" s="0"/>
      <c r="EZ788" s="0"/>
      <c r="FA788" s="0"/>
      <c r="FB788" s="0"/>
      <c r="FC788" s="0"/>
      <c r="FD788" s="0"/>
      <c r="FE788" s="0"/>
      <c r="FF788" s="0"/>
      <c r="FG788" s="0"/>
      <c r="FH788" s="0"/>
      <c r="FI788" s="0"/>
      <c r="FJ788" s="0"/>
      <c r="FK788" s="0"/>
      <c r="FL788" s="0"/>
      <c r="FM788" s="0"/>
      <c r="FN788" s="0"/>
      <c r="FO788" s="0"/>
      <c r="FP788" s="0"/>
      <c r="FQ788" s="0"/>
      <c r="FR788" s="0"/>
      <c r="FS788" s="0"/>
      <c r="FT788" s="0"/>
      <c r="FU788" s="0"/>
      <c r="FV788" s="0"/>
      <c r="FW788" s="0"/>
      <c r="FX788" s="0"/>
      <c r="FY788" s="0"/>
      <c r="FZ788" s="0"/>
      <c r="GA788" s="0"/>
      <c r="GB788" s="0"/>
      <c r="GC788" s="0"/>
      <c r="GD788" s="0"/>
      <c r="GE788" s="0"/>
      <c r="GF788" s="0"/>
      <c r="GG788" s="0"/>
      <c r="GH788" s="0"/>
      <c r="GI788" s="0"/>
      <c r="GJ788" s="0"/>
      <c r="GK788" s="0"/>
      <c r="GL788" s="0"/>
      <c r="GM788" s="0"/>
      <c r="GN788" s="0"/>
      <c r="GO788" s="0"/>
      <c r="GP788" s="0"/>
      <c r="GQ788" s="0"/>
      <c r="GR788" s="0"/>
      <c r="GS788" s="0"/>
      <c r="GT788" s="0"/>
      <c r="GU788" s="0"/>
      <c r="GV788" s="0"/>
      <c r="GW788" s="0"/>
      <c r="GX788" s="0"/>
      <c r="GY788" s="0"/>
      <c r="GZ788" s="0"/>
      <c r="HA788" s="0"/>
      <c r="HB788" s="0"/>
      <c r="HC788" s="0"/>
      <c r="HD788" s="0"/>
      <c r="HE788" s="0"/>
      <c r="HF788" s="0"/>
      <c r="HG788" s="0"/>
      <c r="HH788" s="0"/>
      <c r="HI788" s="0"/>
      <c r="HJ788" s="0"/>
      <c r="HK788" s="0"/>
      <c r="HL788" s="0"/>
      <c r="HM788" s="0"/>
      <c r="HN788" s="0"/>
      <c r="HO788" s="0"/>
      <c r="HP788" s="0"/>
      <c r="HQ788" s="0"/>
      <c r="HR788" s="0"/>
      <c r="HS788" s="0"/>
      <c r="HT788" s="0"/>
      <c r="HU788" s="0"/>
      <c r="HV788" s="0"/>
      <c r="HW788" s="0"/>
      <c r="HX788" s="0"/>
      <c r="HY788" s="0"/>
      <c r="HZ788" s="0"/>
      <c r="IA788" s="0"/>
      <c r="IB788" s="0"/>
      <c r="IC788" s="0"/>
      <c r="ID788" s="0"/>
      <c r="IE788" s="0"/>
      <c r="IF788" s="0"/>
      <c r="IG788" s="0"/>
      <c r="IH788" s="0"/>
      <c r="II788" s="0"/>
      <c r="IJ788" s="0"/>
      <c r="IK788" s="0"/>
      <c r="IL788" s="0"/>
      <c r="IM788" s="0"/>
      <c r="IN788" s="0"/>
      <c r="IO788" s="0"/>
      <c r="IP788" s="0"/>
      <c r="IQ788" s="0"/>
      <c r="IR788" s="0"/>
      <c r="IS788" s="0"/>
      <c r="IT788" s="0"/>
      <c r="IU788" s="0"/>
      <c r="IV788" s="0"/>
    </row>
    <row r="789" customFormat="false" ht="19.5" hidden="false" customHeight="true" outlineLevel="0" collapsed="false">
      <c r="A789" s="1222" t="s">
        <v>1559</v>
      </c>
      <c r="B789" s="1222"/>
      <c r="C789" s="1222"/>
      <c r="D789" s="1222"/>
      <c r="E789" s="1222"/>
      <c r="F789" s="1222"/>
      <c r="G789" s="1222"/>
      <c r="H789" s="1223" t="n">
        <f aca="false">SUM(H778:H788)</f>
        <v>316051.04</v>
      </c>
      <c r="I789" s="0"/>
      <c r="J789" s="1195"/>
      <c r="K789" s="903"/>
      <c r="L789" s="877"/>
      <c r="M789" s="0"/>
      <c r="N789" s="0"/>
      <c r="O789" s="0"/>
      <c r="P789" s="0"/>
      <c r="Q789" s="0"/>
      <c r="R789" s="0"/>
      <c r="S789" s="0"/>
      <c r="T789" s="0"/>
      <c r="U789" s="0"/>
      <c r="V789" s="0"/>
      <c r="W789" s="0"/>
      <c r="X789" s="0"/>
      <c r="AF789" s="55"/>
    </row>
    <row r="790" customFormat="false" ht="25.5" hidden="false" customHeight="true" outlineLevel="0" collapsed="false">
      <c r="A790" s="1196" t="s">
        <v>1560</v>
      </c>
      <c r="B790" s="1197" t="s">
        <v>1561</v>
      </c>
      <c r="C790" s="1224" t="n">
        <f aca="false">B27</f>
        <v>1</v>
      </c>
      <c r="D790" s="1199" t="s">
        <v>94</v>
      </c>
      <c r="E790" s="1200" t="n">
        <v>1833</v>
      </c>
      <c r="F790" s="1201"/>
      <c r="G790" s="1202"/>
      <c r="H790" s="1203" t="n">
        <f aca="false">C790*E790</f>
        <v>1833</v>
      </c>
      <c r="I790" s="0"/>
      <c r="J790" s="1195"/>
      <c r="K790" s="903"/>
      <c r="L790" s="877"/>
      <c r="M790" s="0"/>
      <c r="N790" s="0"/>
      <c r="O790" s="0"/>
      <c r="P790" s="0"/>
      <c r="Q790" s="0"/>
      <c r="R790" s="0"/>
      <c r="S790" s="0"/>
      <c r="T790" s="0"/>
      <c r="U790" s="0"/>
      <c r="V790" s="0"/>
      <c r="W790" s="0"/>
      <c r="X790" s="0"/>
      <c r="AF790" s="55"/>
    </row>
    <row r="791" customFormat="false" ht="15" hidden="false" customHeight="true" outlineLevel="0" collapsed="false">
      <c r="A791" s="1196"/>
      <c r="B791" s="1205" t="s">
        <v>984</v>
      </c>
      <c r="C791" s="822" t="n">
        <f aca="false">B26</f>
        <v>0</v>
      </c>
      <c r="D791" s="996" t="s">
        <v>94</v>
      </c>
      <c r="E791" s="1206" t="n">
        <v>262</v>
      </c>
      <c r="F791" s="1207"/>
      <c r="G791" s="1208"/>
      <c r="H791" s="1209" t="n">
        <f aca="false">C791*E791</f>
        <v>0</v>
      </c>
      <c r="I791" s="0"/>
      <c r="J791" s="1195"/>
      <c r="K791" s="903"/>
      <c r="L791" s="877"/>
      <c r="M791" s="0"/>
      <c r="N791" s="0"/>
      <c r="O791" s="0"/>
      <c r="P791" s="0"/>
      <c r="Q791" s="0"/>
      <c r="R791" s="0"/>
      <c r="S791" s="0"/>
      <c r="T791" s="0"/>
      <c r="U791" s="0"/>
      <c r="V791" s="0"/>
      <c r="W791" s="0"/>
      <c r="X791" s="0"/>
      <c r="Y791" s="0"/>
      <c r="Z791" s="0"/>
      <c r="AA791" s="0"/>
      <c r="AB791" s="0"/>
      <c r="AC791" s="0"/>
      <c r="AD791" s="0"/>
      <c r="AE791" s="0"/>
      <c r="AF791" s="55"/>
      <c r="AG791" s="0"/>
      <c r="AH791" s="0"/>
      <c r="AI791" s="0"/>
      <c r="AJ791" s="0"/>
      <c r="AK791" s="0"/>
      <c r="AL791" s="0"/>
      <c r="AM791" s="0"/>
      <c r="AN791" s="0"/>
      <c r="AO791" s="0"/>
      <c r="AP791" s="0"/>
      <c r="AQ791" s="0"/>
      <c r="AR791" s="0"/>
      <c r="AS791" s="0"/>
      <c r="AT791" s="0"/>
      <c r="AU791" s="0"/>
      <c r="AV791" s="0"/>
      <c r="AW791" s="0"/>
      <c r="AX791" s="0"/>
      <c r="AY791" s="0"/>
      <c r="AZ791" s="0"/>
      <c r="BA791" s="0"/>
      <c r="BB791" s="0"/>
      <c r="BC791" s="0"/>
      <c r="BD791" s="0"/>
      <c r="BE791" s="0"/>
      <c r="BF791" s="0"/>
      <c r="BG791" s="0"/>
      <c r="BH791" s="0"/>
      <c r="BI791" s="0"/>
      <c r="BJ791" s="0"/>
      <c r="BK791" s="0"/>
      <c r="BL791" s="0"/>
      <c r="BM791" s="0"/>
      <c r="BN791" s="0"/>
      <c r="BO791" s="0"/>
      <c r="BP791" s="0"/>
      <c r="BQ791" s="0"/>
      <c r="BR791" s="0"/>
      <c r="BS791" s="0"/>
      <c r="BT791" s="0"/>
      <c r="BU791" s="0"/>
      <c r="BV791" s="0"/>
      <c r="BW791" s="0"/>
      <c r="BX791" s="0"/>
      <c r="BY791" s="0"/>
      <c r="BZ791" s="0"/>
      <c r="CA791" s="0"/>
      <c r="CB791" s="0"/>
      <c r="CC791" s="0"/>
      <c r="CD791" s="0"/>
      <c r="CE791" s="0"/>
      <c r="CF791" s="0"/>
      <c r="CG791" s="0"/>
      <c r="CH791" s="0"/>
      <c r="CI791" s="0"/>
      <c r="CJ791" s="0"/>
      <c r="CK791" s="0"/>
      <c r="CL791" s="0"/>
      <c r="CM791" s="0"/>
      <c r="CN791" s="0"/>
      <c r="CO791" s="0"/>
      <c r="CP791" s="0"/>
      <c r="CQ791" s="0"/>
      <c r="CR791" s="0"/>
      <c r="CS791" s="0"/>
      <c r="CT791" s="0"/>
      <c r="CU791" s="0"/>
      <c r="CV791" s="0"/>
      <c r="CW791" s="0"/>
      <c r="CX791" s="0"/>
      <c r="CY791" s="0"/>
      <c r="CZ791" s="0"/>
      <c r="DA791" s="0"/>
      <c r="DB791" s="0"/>
      <c r="DC791" s="0"/>
      <c r="DD791" s="0"/>
      <c r="DE791" s="0"/>
      <c r="DF791" s="0"/>
      <c r="DG791" s="0"/>
      <c r="DH791" s="0"/>
      <c r="DI791" s="0"/>
      <c r="DJ791" s="0"/>
      <c r="DK791" s="0"/>
      <c r="DL791" s="0"/>
      <c r="DM791" s="0"/>
      <c r="DN791" s="0"/>
      <c r="DO791" s="0"/>
      <c r="DP791" s="0"/>
      <c r="DQ791" s="0"/>
      <c r="DR791" s="0"/>
      <c r="DS791" s="0"/>
      <c r="DT791" s="0"/>
      <c r="DU791" s="0"/>
      <c r="DV791" s="0"/>
      <c r="DW791" s="0"/>
      <c r="DX791" s="0"/>
      <c r="DY791" s="0"/>
      <c r="DZ791" s="0"/>
      <c r="EA791" s="0"/>
      <c r="EB791" s="0"/>
      <c r="EC791" s="0"/>
      <c r="ED791" s="0"/>
      <c r="EE791" s="0"/>
      <c r="EF791" s="0"/>
      <c r="EG791" s="0"/>
      <c r="EH791" s="0"/>
      <c r="EI791" s="0"/>
      <c r="EJ791" s="0"/>
      <c r="EK791" s="0"/>
      <c r="EL791" s="0"/>
      <c r="EM791" s="0"/>
      <c r="EN791" s="0"/>
      <c r="EO791" s="0"/>
      <c r="EP791" s="0"/>
      <c r="EQ791" s="0"/>
      <c r="ER791" s="0"/>
      <c r="ES791" s="0"/>
      <c r="ET791" s="0"/>
      <c r="EU791" s="0"/>
      <c r="EV791" s="0"/>
      <c r="EW791" s="0"/>
      <c r="EX791" s="0"/>
      <c r="EY791" s="0"/>
      <c r="EZ791" s="0"/>
      <c r="FA791" s="0"/>
      <c r="FB791" s="0"/>
      <c r="FC791" s="0"/>
      <c r="FD791" s="0"/>
      <c r="FE791" s="0"/>
      <c r="FF791" s="0"/>
      <c r="FG791" s="0"/>
      <c r="FH791" s="0"/>
      <c r="FI791" s="0"/>
      <c r="FJ791" s="0"/>
      <c r="FK791" s="0"/>
      <c r="FL791" s="0"/>
      <c r="FM791" s="0"/>
      <c r="FN791" s="0"/>
      <c r="FO791" s="0"/>
      <c r="FP791" s="0"/>
      <c r="FQ791" s="0"/>
      <c r="FR791" s="0"/>
      <c r="FS791" s="0"/>
      <c r="FT791" s="0"/>
      <c r="FU791" s="0"/>
      <c r="FV791" s="0"/>
      <c r="FW791" s="0"/>
      <c r="FX791" s="0"/>
      <c r="FY791" s="0"/>
      <c r="FZ791" s="0"/>
      <c r="GA791" s="0"/>
      <c r="GB791" s="0"/>
      <c r="GC791" s="0"/>
      <c r="GD791" s="0"/>
      <c r="GE791" s="0"/>
      <c r="GF791" s="0"/>
      <c r="GG791" s="0"/>
      <c r="GH791" s="0"/>
      <c r="GI791" s="0"/>
      <c r="GJ791" s="0"/>
      <c r="GK791" s="0"/>
      <c r="GL791" s="0"/>
      <c r="GM791" s="0"/>
      <c r="GN791" s="0"/>
      <c r="GO791" s="0"/>
      <c r="GP791" s="0"/>
      <c r="GQ791" s="0"/>
      <c r="GR791" s="0"/>
      <c r="GS791" s="0"/>
      <c r="GT791" s="0"/>
      <c r="GU791" s="0"/>
      <c r="GV791" s="0"/>
      <c r="GW791" s="0"/>
      <c r="GX791" s="0"/>
      <c r="GY791" s="0"/>
      <c r="GZ791" s="0"/>
      <c r="HA791" s="0"/>
      <c r="HB791" s="0"/>
      <c r="HC791" s="0"/>
      <c r="HD791" s="0"/>
      <c r="HE791" s="0"/>
      <c r="HF791" s="0"/>
      <c r="HG791" s="0"/>
      <c r="HH791" s="0"/>
      <c r="HI791" s="0"/>
      <c r="HJ791" s="0"/>
      <c r="HK791" s="0"/>
      <c r="HL791" s="0"/>
      <c r="HM791" s="0"/>
      <c r="HN791" s="0"/>
      <c r="HO791" s="0"/>
      <c r="HP791" s="0"/>
      <c r="HQ791" s="0"/>
      <c r="HR791" s="0"/>
      <c r="HS791" s="0"/>
      <c r="HT791" s="0"/>
      <c r="HU791" s="0"/>
      <c r="HV791" s="0"/>
      <c r="HW791" s="0"/>
      <c r="HX791" s="0"/>
      <c r="HY791" s="0"/>
      <c r="HZ791" s="0"/>
      <c r="IA791" s="0"/>
      <c r="IB791" s="0"/>
      <c r="IC791" s="0"/>
      <c r="ID791" s="0"/>
      <c r="IE791" s="0"/>
      <c r="IF791" s="0"/>
      <c r="IG791" s="0"/>
      <c r="IH791" s="0"/>
      <c r="II791" s="0"/>
      <c r="IJ791" s="0"/>
      <c r="IK791" s="0"/>
      <c r="IL791" s="0"/>
      <c r="IM791" s="0"/>
      <c r="IN791" s="0"/>
      <c r="IO791" s="0"/>
      <c r="IP791" s="0"/>
      <c r="IQ791" s="0"/>
      <c r="IR791" s="0"/>
      <c r="IS791" s="0"/>
      <c r="IT791" s="0"/>
      <c r="IU791" s="0"/>
      <c r="IV791" s="0"/>
    </row>
    <row r="792" customFormat="false" ht="20.1" hidden="false" customHeight="true" outlineLevel="0" collapsed="false">
      <c r="A792" s="1196"/>
      <c r="B792" s="1205" t="s">
        <v>1562</v>
      </c>
      <c r="C792" s="822" t="n">
        <f aca="false">D519</f>
        <v>500</v>
      </c>
      <c r="D792" s="996" t="s">
        <v>1563</v>
      </c>
      <c r="E792" s="1206" t="n">
        <v>4.6</v>
      </c>
      <c r="F792" s="1207"/>
      <c r="G792" s="1208"/>
      <c r="H792" s="1209" t="n">
        <f aca="false">C792*E792</f>
        <v>2300</v>
      </c>
      <c r="I792" s="0"/>
      <c r="J792" s="1195"/>
      <c r="K792" s="903"/>
      <c r="L792" s="877"/>
      <c r="M792" s="0"/>
      <c r="N792" s="55"/>
      <c r="O792" s="55"/>
      <c r="P792" s="55"/>
      <c r="Q792" s="55"/>
      <c r="R792" s="55"/>
      <c r="S792" s="55"/>
      <c r="T792" s="55"/>
      <c r="U792" s="55"/>
      <c r="V792" s="55"/>
      <c r="W792" s="55"/>
      <c r="X792" s="55"/>
      <c r="Y792" s="0"/>
      <c r="Z792" s="0"/>
      <c r="AA792" s="0"/>
      <c r="AB792" s="0"/>
      <c r="AC792" s="0"/>
      <c r="AD792" s="0"/>
      <c r="AE792" s="0"/>
      <c r="AF792" s="55"/>
      <c r="AG792" s="0"/>
      <c r="AH792" s="0"/>
      <c r="AI792" s="0"/>
      <c r="AJ792" s="0"/>
      <c r="AK792" s="0"/>
      <c r="AL792" s="0"/>
      <c r="AM792" s="0"/>
      <c r="AN792" s="0"/>
      <c r="AO792" s="0"/>
      <c r="AP792" s="0"/>
      <c r="AQ792" s="0"/>
      <c r="AR792" s="0"/>
      <c r="AS792" s="0"/>
      <c r="AT792" s="0"/>
      <c r="AU792" s="0"/>
      <c r="AV792" s="0"/>
      <c r="AW792" s="0"/>
      <c r="AX792" s="0"/>
      <c r="AY792" s="0"/>
      <c r="AZ792" s="0"/>
      <c r="BA792" s="0"/>
      <c r="BB792" s="0"/>
      <c r="BC792" s="0"/>
      <c r="BD792" s="0"/>
      <c r="BE792" s="0"/>
      <c r="BF792" s="0"/>
      <c r="BG792" s="0"/>
      <c r="BH792" s="0"/>
      <c r="BI792" s="0"/>
      <c r="BJ792" s="0"/>
      <c r="BK792" s="0"/>
      <c r="BL792" s="0"/>
      <c r="BM792" s="0"/>
      <c r="BN792" s="0"/>
      <c r="BO792" s="0"/>
      <c r="BP792" s="0"/>
      <c r="BQ792" s="0"/>
      <c r="BR792" s="0"/>
      <c r="BS792" s="0"/>
      <c r="BT792" s="0"/>
      <c r="BU792" s="0"/>
      <c r="BV792" s="0"/>
      <c r="BW792" s="0"/>
      <c r="BX792" s="0"/>
      <c r="BY792" s="0"/>
      <c r="BZ792" s="0"/>
      <c r="CA792" s="0"/>
      <c r="CB792" s="0"/>
      <c r="CC792" s="0"/>
      <c r="CD792" s="0"/>
      <c r="CE792" s="0"/>
      <c r="CF792" s="0"/>
      <c r="CG792" s="0"/>
      <c r="CH792" s="0"/>
      <c r="CI792" s="0"/>
      <c r="CJ792" s="0"/>
      <c r="CK792" s="0"/>
      <c r="CL792" s="0"/>
      <c r="CM792" s="0"/>
      <c r="CN792" s="0"/>
      <c r="CO792" s="0"/>
      <c r="CP792" s="0"/>
      <c r="CQ792" s="0"/>
      <c r="CR792" s="0"/>
      <c r="CS792" s="0"/>
      <c r="CT792" s="0"/>
      <c r="CU792" s="0"/>
      <c r="CV792" s="0"/>
      <c r="CW792" s="0"/>
      <c r="CX792" s="0"/>
      <c r="CY792" s="0"/>
      <c r="CZ792" s="0"/>
      <c r="DA792" s="0"/>
      <c r="DB792" s="0"/>
      <c r="DC792" s="0"/>
      <c r="DD792" s="0"/>
      <c r="DE792" s="0"/>
      <c r="DF792" s="0"/>
      <c r="DG792" s="0"/>
      <c r="DH792" s="0"/>
      <c r="DI792" s="0"/>
      <c r="DJ792" s="0"/>
      <c r="DK792" s="0"/>
      <c r="DL792" s="0"/>
      <c r="DM792" s="0"/>
      <c r="DN792" s="0"/>
      <c r="DO792" s="0"/>
      <c r="DP792" s="0"/>
      <c r="DQ792" s="0"/>
      <c r="DR792" s="0"/>
      <c r="DS792" s="0"/>
      <c r="DT792" s="0"/>
      <c r="DU792" s="0"/>
      <c r="DV792" s="0"/>
      <c r="DW792" s="0"/>
      <c r="DX792" s="0"/>
      <c r="DY792" s="0"/>
      <c r="DZ792" s="0"/>
      <c r="EA792" s="0"/>
      <c r="EB792" s="0"/>
      <c r="EC792" s="0"/>
      <c r="ED792" s="0"/>
      <c r="EE792" s="0"/>
      <c r="EF792" s="0"/>
      <c r="EG792" s="0"/>
      <c r="EH792" s="0"/>
      <c r="EI792" s="0"/>
      <c r="EJ792" s="0"/>
      <c r="EK792" s="0"/>
      <c r="EL792" s="0"/>
      <c r="EM792" s="0"/>
      <c r="EN792" s="0"/>
      <c r="EO792" s="0"/>
      <c r="EP792" s="0"/>
      <c r="EQ792" s="0"/>
      <c r="ER792" s="0"/>
      <c r="ES792" s="0"/>
      <c r="ET792" s="0"/>
      <c r="EU792" s="0"/>
      <c r="EV792" s="0"/>
      <c r="EW792" s="0"/>
      <c r="EX792" s="0"/>
      <c r="EY792" s="0"/>
      <c r="EZ792" s="0"/>
      <c r="FA792" s="0"/>
      <c r="FB792" s="0"/>
      <c r="FC792" s="0"/>
      <c r="FD792" s="0"/>
      <c r="FE792" s="0"/>
      <c r="FF792" s="0"/>
      <c r="FG792" s="0"/>
      <c r="FH792" s="0"/>
      <c r="FI792" s="0"/>
      <c r="FJ792" s="0"/>
      <c r="FK792" s="0"/>
      <c r="FL792" s="0"/>
      <c r="FM792" s="0"/>
      <c r="FN792" s="0"/>
      <c r="FO792" s="0"/>
      <c r="FP792" s="0"/>
      <c r="FQ792" s="0"/>
      <c r="FR792" s="0"/>
      <c r="FS792" s="0"/>
      <c r="FT792" s="0"/>
      <c r="FU792" s="0"/>
      <c r="FV792" s="0"/>
      <c r="FW792" s="0"/>
      <c r="FX792" s="0"/>
      <c r="FY792" s="0"/>
      <c r="FZ792" s="0"/>
      <c r="GA792" s="0"/>
      <c r="GB792" s="0"/>
      <c r="GC792" s="0"/>
      <c r="GD792" s="0"/>
      <c r="GE792" s="0"/>
      <c r="GF792" s="0"/>
      <c r="GG792" s="0"/>
      <c r="GH792" s="0"/>
      <c r="GI792" s="0"/>
      <c r="GJ792" s="0"/>
      <c r="GK792" s="0"/>
      <c r="GL792" s="0"/>
      <c r="GM792" s="0"/>
      <c r="GN792" s="0"/>
      <c r="GO792" s="0"/>
      <c r="GP792" s="0"/>
      <c r="GQ792" s="0"/>
      <c r="GR792" s="0"/>
      <c r="GS792" s="0"/>
      <c r="GT792" s="0"/>
      <c r="GU792" s="0"/>
      <c r="GV792" s="0"/>
      <c r="GW792" s="0"/>
      <c r="GX792" s="0"/>
      <c r="GY792" s="0"/>
      <c r="GZ792" s="0"/>
      <c r="HA792" s="0"/>
      <c r="HB792" s="0"/>
      <c r="HC792" s="0"/>
      <c r="HD792" s="0"/>
      <c r="HE792" s="0"/>
      <c r="HF792" s="0"/>
      <c r="HG792" s="0"/>
      <c r="HH792" s="0"/>
      <c r="HI792" s="0"/>
      <c r="HJ792" s="0"/>
      <c r="HK792" s="0"/>
      <c r="HL792" s="0"/>
      <c r="HM792" s="0"/>
      <c r="HN792" s="0"/>
      <c r="HO792" s="0"/>
      <c r="HP792" s="0"/>
      <c r="HQ792" s="0"/>
      <c r="HR792" s="0"/>
      <c r="HS792" s="0"/>
      <c r="HT792" s="0"/>
      <c r="HU792" s="0"/>
      <c r="HV792" s="0"/>
      <c r="HW792" s="0"/>
      <c r="HX792" s="0"/>
      <c r="HY792" s="0"/>
      <c r="HZ792" s="0"/>
      <c r="IA792" s="0"/>
      <c r="IB792" s="0"/>
      <c r="IC792" s="0"/>
      <c r="ID792" s="0"/>
      <c r="IE792" s="0"/>
      <c r="IF792" s="0"/>
      <c r="IG792" s="0"/>
      <c r="IH792" s="0"/>
      <c r="II792" s="0"/>
      <c r="IJ792" s="0"/>
      <c r="IK792" s="0"/>
      <c r="IL792" s="0"/>
      <c r="IM792" s="0"/>
      <c r="IN792" s="0"/>
      <c r="IO792" s="0"/>
      <c r="IP792" s="0"/>
      <c r="IQ792" s="0"/>
      <c r="IR792" s="0"/>
      <c r="IS792" s="0"/>
      <c r="IT792" s="0"/>
      <c r="IU792" s="0"/>
      <c r="IV792" s="0"/>
    </row>
    <row r="793" customFormat="false" ht="15" hidden="false" customHeight="true" outlineLevel="0" collapsed="false">
      <c r="A793" s="1196"/>
      <c r="B793" s="1205" t="s">
        <v>1564</v>
      </c>
      <c r="C793" s="1225"/>
      <c r="D793" s="996" t="s">
        <v>1565</v>
      </c>
      <c r="E793" s="1226" t="n">
        <v>500</v>
      </c>
      <c r="F793" s="1207"/>
      <c r="G793" s="1208"/>
      <c r="H793" s="1209" t="n">
        <f aca="false">C793*E793</f>
        <v>0</v>
      </c>
      <c r="I793" s="0"/>
      <c r="J793" s="1204"/>
      <c r="K793" s="903"/>
      <c r="L793" s="877" t="s">
        <v>1382</v>
      </c>
      <c r="M793" s="0"/>
      <c r="N793" s="55"/>
      <c r="O793" s="55"/>
      <c r="P793" s="55"/>
      <c r="Q793" s="55"/>
      <c r="R793" s="55"/>
      <c r="S793" s="55"/>
      <c r="T793" s="55"/>
      <c r="U793" s="55"/>
      <c r="V793" s="55"/>
      <c r="W793" s="55"/>
      <c r="X793" s="55"/>
      <c r="Y793" s="0"/>
      <c r="Z793" s="0"/>
      <c r="AA793" s="0"/>
      <c r="AB793" s="0"/>
      <c r="AC793" s="0"/>
      <c r="AD793" s="0"/>
      <c r="AE793" s="0"/>
      <c r="AF793" s="0"/>
      <c r="AG793" s="0"/>
      <c r="AH793" s="0"/>
      <c r="AI793" s="0"/>
      <c r="AJ793" s="0"/>
      <c r="AK793" s="0"/>
      <c r="AL793" s="0"/>
      <c r="AM793" s="0"/>
      <c r="AN793" s="0"/>
      <c r="AO793" s="0"/>
      <c r="AP793" s="0"/>
      <c r="AQ793" s="0"/>
      <c r="AR793" s="0"/>
      <c r="AS793" s="0"/>
      <c r="AT793" s="0"/>
      <c r="AU793" s="0"/>
      <c r="AV793" s="0"/>
      <c r="AW793" s="0"/>
      <c r="AX793" s="0"/>
      <c r="AY793" s="0"/>
      <c r="AZ793" s="0"/>
      <c r="BA793" s="0"/>
      <c r="BB793" s="0"/>
      <c r="BC793" s="0"/>
      <c r="BD793" s="0"/>
      <c r="BE793" s="0"/>
      <c r="BF793" s="0"/>
      <c r="BG793" s="0"/>
      <c r="BH793" s="0"/>
      <c r="BI793" s="0"/>
      <c r="BJ793" s="0"/>
      <c r="BK793" s="0"/>
      <c r="BL793" s="0"/>
      <c r="BM793" s="0"/>
      <c r="BN793" s="0"/>
      <c r="BO793" s="0"/>
      <c r="BP793" s="0"/>
      <c r="BQ793" s="0"/>
      <c r="BR793" s="0"/>
      <c r="BS793" s="0"/>
      <c r="BT793" s="0"/>
      <c r="BU793" s="0"/>
      <c r="BV793" s="0"/>
      <c r="BW793" s="0"/>
      <c r="BX793" s="0"/>
      <c r="BY793" s="0"/>
      <c r="BZ793" s="0"/>
      <c r="CA793" s="0"/>
      <c r="CB793" s="0"/>
      <c r="CC793" s="0"/>
      <c r="CD793" s="0"/>
      <c r="CE793" s="0"/>
      <c r="CF793" s="0"/>
      <c r="CG793" s="0"/>
      <c r="CH793" s="0"/>
      <c r="CI793" s="0"/>
      <c r="CJ793" s="0"/>
      <c r="CK793" s="0"/>
      <c r="CL793" s="0"/>
      <c r="CM793" s="0"/>
      <c r="CN793" s="0"/>
      <c r="CO793" s="0"/>
      <c r="CP793" s="0"/>
      <c r="CQ793" s="0"/>
      <c r="CR793" s="0"/>
      <c r="CS793" s="0"/>
      <c r="CT793" s="0"/>
      <c r="CU793" s="0"/>
      <c r="CV793" s="0"/>
      <c r="CW793" s="0"/>
      <c r="CX793" s="0"/>
      <c r="CY793" s="0"/>
      <c r="CZ793" s="0"/>
      <c r="DA793" s="0"/>
      <c r="DB793" s="0"/>
      <c r="DC793" s="0"/>
      <c r="DD793" s="0"/>
      <c r="DE793" s="0"/>
      <c r="DF793" s="0"/>
      <c r="DG793" s="0"/>
      <c r="DH793" s="0"/>
      <c r="DI793" s="0"/>
      <c r="DJ793" s="0"/>
      <c r="DK793" s="0"/>
      <c r="DL793" s="0"/>
      <c r="DM793" s="0"/>
      <c r="DN793" s="0"/>
      <c r="DO793" s="0"/>
      <c r="DP793" s="0"/>
      <c r="DQ793" s="0"/>
      <c r="DR793" s="0"/>
      <c r="DS793" s="0"/>
      <c r="DT793" s="0"/>
      <c r="DU793" s="0"/>
      <c r="DV793" s="0"/>
      <c r="DW793" s="0"/>
      <c r="DX793" s="0"/>
      <c r="DY793" s="0"/>
      <c r="DZ793" s="0"/>
      <c r="EA793" s="0"/>
      <c r="EB793" s="0"/>
      <c r="EC793" s="0"/>
      <c r="ED793" s="0"/>
      <c r="EE793" s="0"/>
      <c r="EF793" s="0"/>
      <c r="EG793" s="0"/>
      <c r="EH793" s="0"/>
      <c r="EI793" s="0"/>
      <c r="EJ793" s="0"/>
      <c r="EK793" s="0"/>
      <c r="EL793" s="0"/>
      <c r="EM793" s="0"/>
      <c r="EN793" s="0"/>
      <c r="EO793" s="0"/>
      <c r="EP793" s="0"/>
      <c r="EQ793" s="0"/>
      <c r="ER793" s="0"/>
      <c r="ES793" s="0"/>
      <c r="ET793" s="0"/>
      <c r="EU793" s="0"/>
      <c r="EV793" s="0"/>
      <c r="EW793" s="0"/>
      <c r="EX793" s="0"/>
      <c r="EY793" s="0"/>
      <c r="EZ793" s="0"/>
      <c r="FA793" s="0"/>
      <c r="FB793" s="0"/>
      <c r="FC793" s="0"/>
      <c r="FD793" s="0"/>
      <c r="FE793" s="0"/>
      <c r="FF793" s="0"/>
      <c r="FG793" s="0"/>
      <c r="FH793" s="0"/>
      <c r="FI793" s="0"/>
      <c r="FJ793" s="0"/>
      <c r="FK793" s="0"/>
      <c r="FL793" s="0"/>
      <c r="FM793" s="0"/>
      <c r="FN793" s="0"/>
      <c r="FO793" s="0"/>
      <c r="FP793" s="0"/>
      <c r="FQ793" s="0"/>
      <c r="FR793" s="0"/>
      <c r="FS793" s="0"/>
      <c r="FT793" s="0"/>
      <c r="FU793" s="0"/>
      <c r="FV793" s="0"/>
      <c r="FW793" s="0"/>
      <c r="FX793" s="0"/>
      <c r="FY793" s="0"/>
      <c r="FZ793" s="0"/>
      <c r="GA793" s="0"/>
      <c r="GB793" s="0"/>
      <c r="GC793" s="0"/>
      <c r="GD793" s="0"/>
      <c r="GE793" s="0"/>
      <c r="GF793" s="0"/>
      <c r="GG793" s="0"/>
      <c r="GH793" s="0"/>
      <c r="GI793" s="0"/>
      <c r="GJ793" s="0"/>
      <c r="GK793" s="0"/>
      <c r="GL793" s="0"/>
      <c r="GM793" s="0"/>
      <c r="GN793" s="0"/>
      <c r="GO793" s="0"/>
      <c r="GP793" s="0"/>
      <c r="GQ793" s="0"/>
      <c r="GR793" s="0"/>
      <c r="GS793" s="0"/>
      <c r="GT793" s="0"/>
      <c r="GU793" s="0"/>
      <c r="GV793" s="0"/>
      <c r="GW793" s="0"/>
      <c r="GX793" s="0"/>
      <c r="GY793" s="0"/>
      <c r="GZ793" s="0"/>
      <c r="HA793" s="0"/>
      <c r="HB793" s="0"/>
      <c r="HC793" s="0"/>
      <c r="HD793" s="0"/>
      <c r="HE793" s="0"/>
      <c r="HF793" s="0"/>
      <c r="HG793" s="0"/>
      <c r="HH793" s="0"/>
      <c r="HI793" s="0"/>
      <c r="HJ793" s="0"/>
      <c r="HK793" s="0"/>
      <c r="HL793" s="0"/>
      <c r="HM793" s="0"/>
      <c r="HN793" s="0"/>
      <c r="HO793" s="0"/>
      <c r="HP793" s="0"/>
      <c r="HQ793" s="0"/>
      <c r="HR793" s="0"/>
      <c r="HS793" s="0"/>
      <c r="HT793" s="0"/>
      <c r="HU793" s="0"/>
      <c r="HV793" s="0"/>
      <c r="HW793" s="0"/>
      <c r="HX793" s="0"/>
      <c r="HY793" s="0"/>
      <c r="HZ793" s="0"/>
      <c r="IA793" s="0"/>
      <c r="IB793" s="0"/>
      <c r="IC793" s="0"/>
      <c r="ID793" s="0"/>
      <c r="IE793" s="0"/>
      <c r="IF793" s="0"/>
      <c r="IG793" s="0"/>
      <c r="IH793" s="0"/>
      <c r="II793" s="0"/>
      <c r="IJ793" s="0"/>
      <c r="IK793" s="0"/>
      <c r="IL793" s="0"/>
      <c r="IM793" s="0"/>
      <c r="IN793" s="0"/>
      <c r="IO793" s="0"/>
      <c r="IP793" s="0"/>
      <c r="IQ793" s="0"/>
      <c r="IR793" s="0"/>
      <c r="IS793" s="0"/>
      <c r="IT793" s="0"/>
      <c r="IU793" s="0"/>
      <c r="IV793" s="0"/>
    </row>
    <row r="794" customFormat="false" ht="20.1" hidden="false" customHeight="true" outlineLevel="0" collapsed="false">
      <c r="A794" s="1222" t="s">
        <v>1566</v>
      </c>
      <c r="B794" s="1222"/>
      <c r="C794" s="1222"/>
      <c r="D794" s="1222"/>
      <c r="E794" s="1222"/>
      <c r="F794" s="1222"/>
      <c r="G794" s="1222"/>
      <c r="H794" s="1223" t="n">
        <f aca="false">SUM(H790:H793)</f>
        <v>4133</v>
      </c>
      <c r="I794" s="0"/>
      <c r="J794" s="1195"/>
      <c r="K794" s="903"/>
      <c r="L794" s="877"/>
      <c r="M794" s="0"/>
      <c r="N794" s="0"/>
      <c r="O794" s="0"/>
      <c r="P794" s="0"/>
      <c r="Q794" s="0"/>
      <c r="R794" s="0"/>
      <c r="S794" s="0"/>
      <c r="T794" s="0"/>
      <c r="U794" s="0"/>
      <c r="V794" s="0"/>
      <c r="W794" s="0"/>
      <c r="X794" s="0"/>
    </row>
    <row r="795" customFormat="false" ht="20.1" hidden="false" customHeight="true" outlineLevel="0" collapsed="false">
      <c r="A795" s="0"/>
      <c r="B795" s="0"/>
      <c r="C795" s="1227"/>
      <c r="D795" s="1227"/>
      <c r="E795" s="1227"/>
      <c r="F795" s="0"/>
      <c r="G795" s="1227"/>
      <c r="H795" s="1227"/>
      <c r="I795" s="0"/>
      <c r="J795" s="1195"/>
      <c r="K795" s="654"/>
      <c r="L795" s="654"/>
      <c r="M795" s="0"/>
      <c r="N795" s="0"/>
      <c r="O795" s="0"/>
      <c r="P795" s="0"/>
      <c r="Q795" s="0"/>
      <c r="R795" s="0"/>
      <c r="S795" s="0"/>
      <c r="T795" s="0"/>
      <c r="U795" s="0"/>
      <c r="V795" s="0"/>
      <c r="W795" s="0"/>
      <c r="X795" s="0"/>
    </row>
    <row r="796" customFormat="false" ht="20.1" hidden="false" customHeight="true" outlineLevel="0" collapsed="false">
      <c r="A796" s="0"/>
      <c r="C796" s="0"/>
      <c r="D796" s="0"/>
      <c r="E796" s="0"/>
      <c r="F796" s="0"/>
      <c r="G796" s="537" t="s">
        <v>1567</v>
      </c>
      <c r="H796" s="1228" t="n">
        <f aca="false">(H789-H794)/1000</f>
        <v>311.91804</v>
      </c>
      <c r="I796" s="1007" t="s">
        <v>1568</v>
      </c>
      <c r="J796" s="0"/>
      <c r="K796" s="55"/>
      <c r="L796" s="55"/>
      <c r="M796" s="0"/>
      <c r="N796" s="0"/>
      <c r="O796" s="0"/>
      <c r="P796" s="0"/>
      <c r="Q796" s="0"/>
      <c r="R796" s="0"/>
      <c r="S796" s="0"/>
      <c r="T796" s="0"/>
      <c r="U796" s="0"/>
      <c r="V796" s="0"/>
      <c r="W796" s="0"/>
      <c r="X796" s="0"/>
    </row>
    <row r="797" customFormat="false" ht="15.75" hidden="false" customHeight="true" outlineLevel="0" collapsed="false">
      <c r="A797" s="0"/>
      <c r="B797" s="0"/>
      <c r="C797" s="0"/>
      <c r="D797" s="0"/>
      <c r="E797" s="0"/>
      <c r="F797" s="14"/>
      <c r="G797" s="57"/>
      <c r="H797" s="57"/>
      <c r="I797" s="57"/>
      <c r="J797" s="1195"/>
      <c r="K797" s="903"/>
      <c r="L797" s="877"/>
      <c r="M797" s="0"/>
      <c r="N797" s="55"/>
      <c r="O797" s="55"/>
      <c r="P797" s="55"/>
      <c r="Q797" s="55"/>
      <c r="R797" s="55"/>
      <c r="S797" s="55"/>
      <c r="T797" s="55"/>
      <c r="U797" s="55"/>
      <c r="V797" s="55"/>
      <c r="W797" s="55"/>
      <c r="X797" s="55"/>
    </row>
    <row r="798" customFormat="false" ht="15.75" hidden="false" customHeight="true" outlineLevel="0" collapsed="false">
      <c r="A798" s="0"/>
      <c r="B798" s="0"/>
      <c r="C798" s="0"/>
      <c r="D798" s="0"/>
      <c r="E798" s="0"/>
      <c r="F798" s="14"/>
      <c r="G798" s="57"/>
      <c r="H798" s="57"/>
      <c r="I798" s="57"/>
      <c r="J798" s="1195"/>
      <c r="K798" s="903"/>
      <c r="L798" s="877"/>
      <c r="M798" s="0"/>
      <c r="N798" s="0"/>
      <c r="O798" s="0"/>
      <c r="P798" s="0"/>
      <c r="Q798" s="0"/>
      <c r="R798" s="0"/>
      <c r="S798" s="0"/>
      <c r="T798" s="0"/>
      <c r="U798" s="0"/>
      <c r="V798" s="0"/>
      <c r="W798" s="0"/>
      <c r="X798" s="0"/>
    </row>
    <row r="799" customFormat="false" ht="15.75" hidden="false" customHeight="true" outlineLevel="0" collapsed="false">
      <c r="A799" s="869" t="s">
        <v>1569</v>
      </c>
      <c r="B799" s="869"/>
      <c r="C799" s="869"/>
      <c r="D799" s="869"/>
      <c r="E799" s="869"/>
      <c r="F799" s="869"/>
      <c r="G799" s="869"/>
      <c r="H799" s="53"/>
      <c r="I799" s="53"/>
      <c r="J799" s="53"/>
      <c r="K799" s="871"/>
      <c r="L799" s="871" t="s">
        <v>1570</v>
      </c>
      <c r="M799" s="0"/>
      <c r="Q799" s="55"/>
      <c r="R799" s="55"/>
      <c r="S799" s="55"/>
      <c r="T799" s="0"/>
      <c r="U799" s="0"/>
      <c r="V799" s="0"/>
      <c r="W799" s="0"/>
      <c r="X799" s="0"/>
      <c r="Y799" s="0"/>
      <c r="Z799" s="0"/>
      <c r="AA799" s="0"/>
      <c r="AB799" s="0"/>
      <c r="AC799" s="0"/>
      <c r="AD799" s="0"/>
      <c r="AE799" s="0"/>
      <c r="AF799" s="0"/>
      <c r="AG799" s="0"/>
      <c r="AH799" s="0"/>
      <c r="AI799" s="0"/>
      <c r="AJ799" s="0"/>
      <c r="AK799" s="0"/>
      <c r="AL799" s="0"/>
      <c r="AM799" s="0"/>
      <c r="AN799" s="0"/>
      <c r="AO799" s="0"/>
      <c r="AP799" s="0"/>
      <c r="AQ799" s="0"/>
      <c r="AR799" s="0"/>
      <c r="AS799" s="0"/>
      <c r="AT799" s="0"/>
      <c r="AU799" s="0"/>
      <c r="AV799" s="0"/>
      <c r="AW799" s="0"/>
      <c r="AX799" s="0"/>
      <c r="AY799" s="0"/>
      <c r="AZ799" s="0"/>
      <c r="BA799" s="0"/>
      <c r="BB799" s="0"/>
      <c r="BC799" s="0"/>
      <c r="BD799" s="0"/>
      <c r="BE799" s="0"/>
      <c r="BF799" s="0"/>
      <c r="BG799" s="0"/>
      <c r="BH799" s="0"/>
      <c r="BI799" s="0"/>
      <c r="BJ799" s="0"/>
      <c r="BK799" s="0"/>
      <c r="BL799" s="0"/>
      <c r="BM799" s="0"/>
      <c r="BN799" s="0"/>
      <c r="BO799" s="0"/>
      <c r="BP799" s="0"/>
      <c r="BQ799" s="0"/>
      <c r="BR799" s="0"/>
      <c r="BS799" s="0"/>
      <c r="BT799" s="0"/>
      <c r="BU799" s="0"/>
      <c r="BV799" s="0"/>
      <c r="BW799" s="0"/>
      <c r="BX799" s="0"/>
      <c r="BY799" s="0"/>
      <c r="BZ799" s="0"/>
      <c r="CA799" s="0"/>
      <c r="CB799" s="0"/>
      <c r="CC799" s="0"/>
      <c r="CD799" s="0"/>
      <c r="CE799" s="0"/>
      <c r="CF799" s="0"/>
      <c r="CG799" s="0"/>
      <c r="CH799" s="0"/>
      <c r="CI799" s="0"/>
      <c r="CJ799" s="0"/>
      <c r="CK799" s="0"/>
      <c r="CL799" s="0"/>
      <c r="CM799" s="0"/>
      <c r="CN799" s="0"/>
      <c r="CO799" s="0"/>
      <c r="CP799" s="0"/>
      <c r="CQ799" s="0"/>
      <c r="CR799" s="0"/>
      <c r="CS799" s="0"/>
      <c r="CT799" s="0"/>
      <c r="CU799" s="0"/>
      <c r="CV799" s="0"/>
      <c r="CW799" s="0"/>
      <c r="CX799" s="0"/>
      <c r="CY799" s="0"/>
      <c r="CZ799" s="0"/>
      <c r="DA799" s="0"/>
      <c r="DB799" s="0"/>
      <c r="DC799" s="0"/>
      <c r="DD799" s="0"/>
      <c r="DE799" s="0"/>
      <c r="DF799" s="0"/>
      <c r="DG799" s="0"/>
      <c r="DH799" s="0"/>
      <c r="DI799" s="0"/>
      <c r="DJ799" s="0"/>
      <c r="DK799" s="0"/>
      <c r="DL799" s="0"/>
      <c r="DM799" s="0"/>
      <c r="DN799" s="0"/>
      <c r="DO799" s="0"/>
      <c r="DP799" s="0"/>
      <c r="DQ799" s="0"/>
      <c r="DR799" s="0"/>
      <c r="DS799" s="0"/>
      <c r="DT799" s="0"/>
      <c r="DU799" s="0"/>
      <c r="DV799" s="0"/>
      <c r="DW799" s="0"/>
      <c r="DX799" s="0"/>
      <c r="DY799" s="0"/>
      <c r="DZ799" s="0"/>
      <c r="EA799" s="0"/>
      <c r="EB799" s="0"/>
      <c r="EC799" s="0"/>
      <c r="ED799" s="0"/>
      <c r="EE799" s="0"/>
      <c r="EF799" s="0"/>
      <c r="EG799" s="0"/>
      <c r="EH799" s="0"/>
      <c r="EI799" s="0"/>
      <c r="EJ799" s="0"/>
      <c r="EK799" s="0"/>
      <c r="EL799" s="0"/>
      <c r="EM799" s="0"/>
      <c r="EN799" s="0"/>
      <c r="EO799" s="0"/>
      <c r="EP799" s="0"/>
      <c r="EQ799" s="0"/>
      <c r="ER799" s="0"/>
      <c r="ES799" s="0"/>
      <c r="ET799" s="0"/>
      <c r="EU799" s="0"/>
      <c r="EV799" s="0"/>
      <c r="EW799" s="0"/>
      <c r="EX799" s="0"/>
      <c r="EY799" s="0"/>
      <c r="EZ799" s="0"/>
      <c r="FA799" s="0"/>
      <c r="FB799" s="0"/>
      <c r="FC799" s="0"/>
      <c r="FD799" s="0"/>
      <c r="FE799" s="0"/>
      <c r="FF799" s="0"/>
      <c r="FG799" s="0"/>
      <c r="FH799" s="0"/>
      <c r="FI799" s="0"/>
      <c r="FJ799" s="0"/>
      <c r="FK799" s="0"/>
      <c r="FL799" s="0"/>
      <c r="FM799" s="0"/>
      <c r="FN799" s="0"/>
      <c r="FO799" s="0"/>
      <c r="FP799" s="0"/>
      <c r="FQ799" s="0"/>
      <c r="FR799" s="0"/>
      <c r="FS799" s="0"/>
      <c r="FT799" s="0"/>
      <c r="FU799" s="0"/>
      <c r="FV799" s="0"/>
      <c r="FW799" s="0"/>
      <c r="FX799" s="0"/>
      <c r="FY799" s="0"/>
      <c r="FZ799" s="0"/>
      <c r="GA799" s="0"/>
      <c r="GB799" s="0"/>
      <c r="GC799" s="0"/>
      <c r="GD799" s="0"/>
      <c r="GE799" s="0"/>
      <c r="GF799" s="0"/>
      <c r="GG799" s="0"/>
      <c r="GH799" s="0"/>
      <c r="GI799" s="0"/>
      <c r="GJ799" s="0"/>
      <c r="GK799" s="0"/>
      <c r="GL799" s="0"/>
      <c r="GM799" s="0"/>
      <c r="GN799" s="0"/>
      <c r="GO799" s="0"/>
      <c r="GP799" s="0"/>
      <c r="GQ799" s="0"/>
      <c r="GR799" s="0"/>
      <c r="GS799" s="0"/>
      <c r="GT799" s="0"/>
      <c r="GU799" s="0"/>
      <c r="GV799" s="0"/>
      <c r="GW799" s="0"/>
      <c r="GX799" s="0"/>
      <c r="GY799" s="0"/>
      <c r="GZ799" s="0"/>
      <c r="HA799" s="0"/>
      <c r="HB799" s="0"/>
      <c r="HC799" s="0"/>
      <c r="HD799" s="0"/>
      <c r="HE799" s="0"/>
      <c r="HF799" s="0"/>
      <c r="HG799" s="0"/>
      <c r="HH799" s="0"/>
      <c r="HI799" s="0"/>
      <c r="HJ799" s="0"/>
      <c r="HK799" s="0"/>
      <c r="HL799" s="0"/>
      <c r="HM799" s="0"/>
      <c r="HN799" s="0"/>
      <c r="HO799" s="0"/>
      <c r="HP799" s="0"/>
      <c r="HQ799" s="0"/>
      <c r="HR799" s="0"/>
      <c r="HS799" s="0"/>
      <c r="HT799" s="0"/>
      <c r="HU799" s="0"/>
      <c r="HV799" s="0"/>
      <c r="HW799" s="0"/>
      <c r="HX799" s="0"/>
      <c r="HY799" s="0"/>
      <c r="HZ799" s="0"/>
      <c r="IA799" s="0"/>
      <c r="IB799" s="0"/>
      <c r="IC799" s="0"/>
      <c r="ID799" s="0"/>
      <c r="IE799" s="0"/>
      <c r="IF799" s="0"/>
      <c r="IG799" s="0"/>
      <c r="IH799" s="0"/>
      <c r="II799" s="0"/>
      <c r="IJ799" s="0"/>
      <c r="IK799" s="0"/>
      <c r="IL799" s="0"/>
      <c r="IM799" s="0"/>
      <c r="IN799" s="0"/>
      <c r="IO799" s="0"/>
      <c r="IP799" s="0"/>
      <c r="IQ799" s="0"/>
      <c r="IR799" s="0"/>
      <c r="IS799" s="0"/>
      <c r="IT799" s="0"/>
      <c r="IU799" s="0"/>
      <c r="IV799" s="0"/>
    </row>
    <row r="800" customFormat="false" ht="16.5" hidden="false" customHeight="true" outlineLevel="0" collapsed="false">
      <c r="A800" s="1229"/>
      <c r="B800" s="0"/>
      <c r="C800" s="0"/>
      <c r="D800" s="0"/>
      <c r="E800" s="0"/>
      <c r="F800" s="1230"/>
      <c r="G800" s="0"/>
      <c r="H800" s="0"/>
      <c r="I800" s="0"/>
      <c r="K800" s="903"/>
      <c r="L800" s="877"/>
      <c r="M800" s="0"/>
      <c r="Q800" s="55"/>
      <c r="R800" s="55"/>
      <c r="S800" s="55"/>
      <c r="T800" s="0"/>
      <c r="U800" s="0"/>
      <c r="V800" s="0"/>
      <c r="W800" s="0"/>
      <c r="X800" s="0"/>
      <c r="Y800" s="0"/>
      <c r="Z800" s="0"/>
      <c r="AA800" s="0"/>
      <c r="AB800" s="0"/>
      <c r="AC800" s="0"/>
      <c r="AD800" s="0"/>
      <c r="AE800" s="0"/>
      <c r="AF800" s="0"/>
      <c r="AG800" s="0"/>
      <c r="AH800" s="0"/>
      <c r="AI800" s="0"/>
      <c r="AJ800" s="0"/>
      <c r="AK800" s="0"/>
      <c r="AL800" s="0"/>
      <c r="AM800" s="0"/>
      <c r="AN800" s="0"/>
      <c r="AO800" s="0"/>
      <c r="AP800" s="0"/>
      <c r="AQ800" s="0"/>
      <c r="AR800" s="0"/>
      <c r="AS800" s="0"/>
      <c r="AT800" s="0"/>
      <c r="AU800" s="0"/>
      <c r="AV800" s="0"/>
      <c r="AW800" s="0"/>
      <c r="AX800" s="0"/>
      <c r="AY800" s="0"/>
      <c r="AZ800" s="0"/>
      <c r="BA800" s="0"/>
      <c r="BB800" s="0"/>
      <c r="BC800" s="0"/>
      <c r="BD800" s="0"/>
      <c r="BE800" s="0"/>
      <c r="BF800" s="0"/>
      <c r="BG800" s="0"/>
      <c r="BH800" s="0"/>
      <c r="BI800" s="0"/>
      <c r="BJ800" s="0"/>
      <c r="BK800" s="0"/>
      <c r="BL800" s="0"/>
      <c r="BM800" s="0"/>
      <c r="BN800" s="0"/>
      <c r="BO800" s="0"/>
      <c r="BP800" s="0"/>
      <c r="BQ800" s="0"/>
      <c r="BR800" s="0"/>
      <c r="BS800" s="0"/>
      <c r="BT800" s="0"/>
      <c r="BU800" s="0"/>
      <c r="BV800" s="0"/>
      <c r="BW800" s="0"/>
      <c r="BX800" s="0"/>
      <c r="BY800" s="0"/>
      <c r="BZ800" s="0"/>
      <c r="CA800" s="0"/>
      <c r="CB800" s="0"/>
      <c r="CC800" s="0"/>
      <c r="CD800" s="0"/>
      <c r="CE800" s="0"/>
      <c r="CF800" s="0"/>
      <c r="CG800" s="0"/>
      <c r="CH800" s="0"/>
      <c r="CI800" s="0"/>
      <c r="CJ800" s="0"/>
      <c r="CK800" s="0"/>
      <c r="CL800" s="0"/>
      <c r="CM800" s="0"/>
      <c r="CN800" s="0"/>
      <c r="CO800" s="0"/>
      <c r="CP800" s="0"/>
      <c r="CQ800" s="0"/>
      <c r="CR800" s="0"/>
      <c r="CS800" s="0"/>
      <c r="CT800" s="0"/>
      <c r="CU800" s="0"/>
      <c r="CV800" s="0"/>
      <c r="CW800" s="0"/>
      <c r="CX800" s="0"/>
      <c r="CY800" s="0"/>
      <c r="CZ800" s="0"/>
      <c r="DA800" s="0"/>
      <c r="DB800" s="0"/>
      <c r="DC800" s="0"/>
      <c r="DD800" s="0"/>
      <c r="DE800" s="0"/>
      <c r="DF800" s="0"/>
      <c r="DG800" s="0"/>
      <c r="DH800" s="0"/>
      <c r="DI800" s="0"/>
      <c r="DJ800" s="0"/>
      <c r="DK800" s="0"/>
      <c r="DL800" s="0"/>
      <c r="DM800" s="0"/>
      <c r="DN800" s="0"/>
      <c r="DO800" s="0"/>
      <c r="DP800" s="0"/>
      <c r="DQ800" s="0"/>
      <c r="DR800" s="0"/>
      <c r="DS800" s="0"/>
      <c r="DT800" s="0"/>
      <c r="DU800" s="0"/>
      <c r="DV800" s="0"/>
      <c r="DW800" s="0"/>
      <c r="DX800" s="0"/>
      <c r="DY800" s="0"/>
      <c r="DZ800" s="0"/>
      <c r="EA800" s="0"/>
      <c r="EB800" s="0"/>
      <c r="EC800" s="0"/>
      <c r="ED800" s="0"/>
      <c r="EE800" s="0"/>
      <c r="EF800" s="0"/>
      <c r="EG800" s="0"/>
      <c r="EH800" s="0"/>
      <c r="EI800" s="0"/>
      <c r="EJ800" s="0"/>
      <c r="EK800" s="0"/>
      <c r="EL800" s="0"/>
      <c r="EM800" s="0"/>
      <c r="EN800" s="0"/>
      <c r="EO800" s="0"/>
      <c r="EP800" s="0"/>
      <c r="EQ800" s="0"/>
      <c r="ER800" s="0"/>
      <c r="ES800" s="0"/>
      <c r="ET800" s="0"/>
      <c r="EU800" s="0"/>
      <c r="EV800" s="0"/>
      <c r="EW800" s="0"/>
      <c r="EX800" s="0"/>
      <c r="EY800" s="0"/>
      <c r="EZ800" s="0"/>
      <c r="FA800" s="0"/>
      <c r="FB800" s="0"/>
      <c r="FC800" s="0"/>
      <c r="FD800" s="0"/>
      <c r="FE800" s="0"/>
      <c r="FF800" s="0"/>
      <c r="FG800" s="0"/>
      <c r="FH800" s="0"/>
      <c r="FI800" s="0"/>
      <c r="FJ800" s="0"/>
      <c r="FK800" s="0"/>
      <c r="FL800" s="0"/>
      <c r="FM800" s="0"/>
      <c r="FN800" s="0"/>
      <c r="FO800" s="0"/>
      <c r="FP800" s="0"/>
      <c r="FQ800" s="0"/>
      <c r="FR800" s="0"/>
      <c r="FS800" s="0"/>
      <c r="FT800" s="0"/>
      <c r="FU800" s="0"/>
      <c r="FV800" s="0"/>
      <c r="FW800" s="0"/>
      <c r="FX800" s="0"/>
      <c r="FY800" s="0"/>
      <c r="FZ800" s="0"/>
      <c r="GA800" s="0"/>
      <c r="GB800" s="0"/>
      <c r="GC800" s="0"/>
      <c r="GD800" s="0"/>
      <c r="GE800" s="0"/>
      <c r="GF800" s="0"/>
      <c r="GG800" s="0"/>
      <c r="GH800" s="0"/>
      <c r="GI800" s="0"/>
      <c r="GJ800" s="0"/>
      <c r="GK800" s="0"/>
      <c r="GL800" s="0"/>
      <c r="GM800" s="0"/>
      <c r="GN800" s="0"/>
      <c r="GO800" s="0"/>
      <c r="GP800" s="0"/>
      <c r="GQ800" s="0"/>
      <c r="GR800" s="0"/>
      <c r="GS800" s="0"/>
      <c r="GT800" s="0"/>
      <c r="GU800" s="0"/>
      <c r="GV800" s="0"/>
      <c r="GW800" s="0"/>
      <c r="GX800" s="0"/>
      <c r="GY800" s="0"/>
      <c r="GZ800" s="0"/>
      <c r="HA800" s="0"/>
      <c r="HB800" s="0"/>
      <c r="HC800" s="0"/>
      <c r="HD800" s="0"/>
      <c r="HE800" s="0"/>
      <c r="HF800" s="0"/>
      <c r="HG800" s="0"/>
      <c r="HH800" s="0"/>
      <c r="HI800" s="0"/>
      <c r="HJ800" s="0"/>
      <c r="HK800" s="0"/>
      <c r="HL800" s="0"/>
      <c r="HM800" s="0"/>
      <c r="HN800" s="0"/>
      <c r="HO800" s="0"/>
      <c r="HP800" s="0"/>
      <c r="HQ800" s="0"/>
      <c r="HR800" s="0"/>
      <c r="HS800" s="0"/>
      <c r="HT800" s="0"/>
      <c r="HU800" s="0"/>
      <c r="HV800" s="0"/>
      <c r="HW800" s="0"/>
      <c r="HX800" s="0"/>
      <c r="HY800" s="0"/>
      <c r="HZ800" s="0"/>
      <c r="IA800" s="0"/>
      <c r="IB800" s="0"/>
      <c r="IC800" s="0"/>
      <c r="ID800" s="0"/>
      <c r="IE800" s="0"/>
      <c r="IF800" s="0"/>
      <c r="IG800" s="0"/>
      <c r="IH800" s="0"/>
      <c r="II800" s="0"/>
      <c r="IJ800" s="0"/>
      <c r="IK800" s="0"/>
      <c r="IL800" s="0"/>
      <c r="IM800" s="0"/>
      <c r="IN800" s="0"/>
      <c r="IO800" s="0"/>
      <c r="IP800" s="0"/>
      <c r="IQ800" s="0"/>
      <c r="IR800" s="0"/>
      <c r="IS800" s="0"/>
      <c r="IT800" s="0"/>
      <c r="IU800" s="0"/>
      <c r="IV800" s="0"/>
    </row>
    <row r="801" customFormat="false" ht="36" hidden="false" customHeight="true" outlineLevel="0" collapsed="false">
      <c r="A801" s="1231" t="s">
        <v>1571</v>
      </c>
      <c r="B801" s="1231"/>
      <c r="C801" s="1231"/>
      <c r="D801" s="1231"/>
      <c r="E801" s="1231"/>
      <c r="F801" s="1231"/>
      <c r="G801" s="1231"/>
      <c r="H801" s="0"/>
      <c r="I801" s="0"/>
      <c r="K801" s="903"/>
      <c r="L801" s="877" t="s">
        <v>1572</v>
      </c>
      <c r="M801" s="0"/>
      <c r="Q801" s="55"/>
      <c r="R801" s="55"/>
      <c r="S801" s="55"/>
      <c r="T801" s="0"/>
      <c r="U801" s="0"/>
      <c r="V801" s="0"/>
      <c r="W801" s="0"/>
      <c r="X801" s="0"/>
      <c r="Y801" s="0"/>
      <c r="Z801" s="0"/>
      <c r="AA801" s="0"/>
      <c r="AB801" s="0"/>
      <c r="AC801" s="0"/>
      <c r="AD801" s="0"/>
      <c r="AE801" s="0"/>
      <c r="AF801" s="0"/>
      <c r="AG801" s="0"/>
      <c r="AH801" s="0"/>
      <c r="AI801" s="0"/>
      <c r="AJ801" s="0"/>
      <c r="AK801" s="0"/>
      <c r="AL801" s="0"/>
      <c r="AM801" s="0"/>
      <c r="AN801" s="0"/>
      <c r="AO801" s="0"/>
      <c r="AP801" s="0"/>
      <c r="AQ801" s="0"/>
      <c r="AR801" s="0"/>
      <c r="AS801" s="0"/>
      <c r="AT801" s="0"/>
      <c r="AU801" s="0"/>
      <c r="AV801" s="0"/>
      <c r="AW801" s="0"/>
      <c r="AX801" s="0"/>
      <c r="AY801" s="0"/>
      <c r="AZ801" s="0"/>
      <c r="BA801" s="0"/>
      <c r="BB801" s="0"/>
      <c r="BC801" s="0"/>
      <c r="BD801" s="0"/>
      <c r="BE801" s="0"/>
      <c r="BF801" s="0"/>
      <c r="BG801" s="0"/>
      <c r="BH801" s="0"/>
      <c r="BI801" s="0"/>
      <c r="BJ801" s="0"/>
      <c r="BK801" s="0"/>
      <c r="BL801" s="0"/>
      <c r="BM801" s="0"/>
      <c r="BN801" s="0"/>
      <c r="BO801" s="0"/>
      <c r="BP801" s="0"/>
      <c r="BQ801" s="0"/>
      <c r="BR801" s="0"/>
      <c r="BS801" s="0"/>
      <c r="BT801" s="0"/>
      <c r="BU801" s="0"/>
      <c r="BV801" s="0"/>
      <c r="BW801" s="0"/>
      <c r="BX801" s="0"/>
      <c r="BY801" s="0"/>
      <c r="BZ801" s="0"/>
      <c r="CA801" s="0"/>
      <c r="CB801" s="0"/>
      <c r="CC801" s="0"/>
      <c r="CD801" s="0"/>
      <c r="CE801" s="0"/>
      <c r="CF801" s="0"/>
      <c r="CG801" s="0"/>
      <c r="CH801" s="0"/>
      <c r="CI801" s="0"/>
      <c r="CJ801" s="0"/>
      <c r="CK801" s="0"/>
      <c r="CL801" s="0"/>
      <c r="CM801" s="0"/>
      <c r="CN801" s="0"/>
      <c r="CO801" s="0"/>
      <c r="CP801" s="0"/>
      <c r="CQ801" s="0"/>
      <c r="CR801" s="0"/>
      <c r="CS801" s="0"/>
      <c r="CT801" s="0"/>
      <c r="CU801" s="0"/>
      <c r="CV801" s="0"/>
      <c r="CW801" s="0"/>
      <c r="CX801" s="0"/>
      <c r="CY801" s="0"/>
      <c r="CZ801" s="0"/>
      <c r="DA801" s="0"/>
      <c r="DB801" s="0"/>
      <c r="DC801" s="0"/>
      <c r="DD801" s="0"/>
      <c r="DE801" s="0"/>
      <c r="DF801" s="0"/>
      <c r="DG801" s="0"/>
      <c r="DH801" s="0"/>
      <c r="DI801" s="0"/>
      <c r="DJ801" s="0"/>
      <c r="DK801" s="0"/>
      <c r="DL801" s="0"/>
      <c r="DM801" s="0"/>
      <c r="DN801" s="0"/>
      <c r="DO801" s="0"/>
      <c r="DP801" s="0"/>
      <c r="DQ801" s="0"/>
      <c r="DR801" s="0"/>
      <c r="DS801" s="0"/>
      <c r="DT801" s="0"/>
      <c r="DU801" s="0"/>
      <c r="DV801" s="0"/>
      <c r="DW801" s="0"/>
      <c r="DX801" s="0"/>
      <c r="DY801" s="0"/>
      <c r="DZ801" s="0"/>
      <c r="EA801" s="0"/>
      <c r="EB801" s="0"/>
      <c r="EC801" s="0"/>
      <c r="ED801" s="0"/>
      <c r="EE801" s="0"/>
      <c r="EF801" s="0"/>
      <c r="EG801" s="0"/>
      <c r="EH801" s="0"/>
      <c r="EI801" s="0"/>
      <c r="EJ801" s="0"/>
      <c r="EK801" s="0"/>
      <c r="EL801" s="0"/>
      <c r="EM801" s="0"/>
      <c r="EN801" s="0"/>
      <c r="EO801" s="0"/>
      <c r="EP801" s="0"/>
      <c r="EQ801" s="0"/>
      <c r="ER801" s="0"/>
      <c r="ES801" s="0"/>
      <c r="ET801" s="0"/>
      <c r="EU801" s="0"/>
      <c r="EV801" s="0"/>
      <c r="EW801" s="0"/>
      <c r="EX801" s="0"/>
      <c r="EY801" s="0"/>
      <c r="EZ801" s="0"/>
      <c r="FA801" s="0"/>
      <c r="FB801" s="0"/>
      <c r="FC801" s="0"/>
      <c r="FD801" s="0"/>
      <c r="FE801" s="0"/>
      <c r="FF801" s="0"/>
      <c r="FG801" s="0"/>
      <c r="FH801" s="0"/>
      <c r="FI801" s="0"/>
      <c r="FJ801" s="0"/>
      <c r="FK801" s="0"/>
      <c r="FL801" s="0"/>
      <c r="FM801" s="0"/>
      <c r="FN801" s="0"/>
      <c r="FO801" s="0"/>
      <c r="FP801" s="0"/>
      <c r="FQ801" s="0"/>
      <c r="FR801" s="0"/>
      <c r="FS801" s="0"/>
      <c r="FT801" s="0"/>
      <c r="FU801" s="0"/>
      <c r="FV801" s="0"/>
      <c r="FW801" s="0"/>
      <c r="FX801" s="0"/>
      <c r="FY801" s="0"/>
      <c r="FZ801" s="0"/>
      <c r="GA801" s="0"/>
      <c r="GB801" s="0"/>
      <c r="GC801" s="0"/>
      <c r="GD801" s="0"/>
      <c r="GE801" s="0"/>
      <c r="GF801" s="0"/>
      <c r="GG801" s="0"/>
      <c r="GH801" s="0"/>
      <c r="GI801" s="0"/>
      <c r="GJ801" s="0"/>
      <c r="GK801" s="0"/>
      <c r="GL801" s="0"/>
      <c r="GM801" s="0"/>
      <c r="GN801" s="0"/>
      <c r="GO801" s="0"/>
      <c r="GP801" s="0"/>
      <c r="GQ801" s="0"/>
      <c r="GR801" s="0"/>
      <c r="GS801" s="0"/>
      <c r="GT801" s="0"/>
      <c r="GU801" s="0"/>
      <c r="GV801" s="0"/>
      <c r="GW801" s="0"/>
      <c r="GX801" s="0"/>
      <c r="GY801" s="0"/>
      <c r="GZ801" s="0"/>
      <c r="HA801" s="0"/>
      <c r="HB801" s="0"/>
      <c r="HC801" s="0"/>
      <c r="HD801" s="0"/>
      <c r="HE801" s="0"/>
      <c r="HF801" s="0"/>
      <c r="HG801" s="0"/>
      <c r="HH801" s="0"/>
      <c r="HI801" s="0"/>
      <c r="HJ801" s="0"/>
      <c r="HK801" s="0"/>
      <c r="HL801" s="0"/>
      <c r="HM801" s="0"/>
      <c r="HN801" s="0"/>
      <c r="HO801" s="0"/>
      <c r="HP801" s="0"/>
      <c r="HQ801" s="0"/>
      <c r="HR801" s="0"/>
      <c r="HS801" s="0"/>
      <c r="HT801" s="0"/>
      <c r="HU801" s="0"/>
      <c r="HV801" s="0"/>
      <c r="HW801" s="0"/>
      <c r="HX801" s="0"/>
      <c r="HY801" s="0"/>
      <c r="HZ801" s="0"/>
      <c r="IA801" s="0"/>
      <c r="IB801" s="0"/>
      <c r="IC801" s="0"/>
      <c r="ID801" s="0"/>
      <c r="IE801" s="0"/>
      <c r="IF801" s="0"/>
      <c r="IG801" s="0"/>
      <c r="IH801" s="0"/>
      <c r="II801" s="0"/>
      <c r="IJ801" s="0"/>
      <c r="IK801" s="0"/>
      <c r="IL801" s="0"/>
      <c r="IM801" s="0"/>
      <c r="IN801" s="0"/>
      <c r="IO801" s="0"/>
      <c r="IP801" s="0"/>
      <c r="IQ801" s="0"/>
      <c r="IR801" s="0"/>
      <c r="IS801" s="0"/>
      <c r="IT801" s="0"/>
      <c r="IU801" s="0"/>
      <c r="IV801" s="0"/>
    </row>
    <row r="802" customFormat="false" ht="36" hidden="false" customHeight="true" outlineLevel="0" collapsed="false">
      <c r="A802" s="1232"/>
      <c r="B802" s="1232"/>
      <c r="C802" s="1232"/>
      <c r="D802" s="1232"/>
      <c r="F802" s="951"/>
      <c r="G802" s="14"/>
      <c r="H802" s="0"/>
      <c r="I802" s="0"/>
      <c r="K802" s="903"/>
      <c r="L802" s="877"/>
      <c r="M802" s="0"/>
      <c r="Q802" s="55"/>
      <c r="R802" s="55"/>
      <c r="S802" s="55"/>
      <c r="T802" s="0"/>
      <c r="U802" s="0"/>
      <c r="V802" s="0"/>
      <c r="W802" s="0"/>
      <c r="X802" s="0"/>
      <c r="Y802" s="0"/>
      <c r="Z802" s="0"/>
      <c r="AA802" s="0"/>
      <c r="AB802" s="0"/>
      <c r="AC802" s="0"/>
      <c r="AD802" s="0"/>
      <c r="AE802" s="0"/>
      <c r="AF802" s="0"/>
      <c r="AG802" s="0"/>
      <c r="AH802" s="0"/>
      <c r="AI802" s="0"/>
      <c r="AJ802" s="0"/>
      <c r="AK802" s="0"/>
      <c r="AL802" s="0"/>
      <c r="AM802" s="0"/>
      <c r="AN802" s="0"/>
      <c r="AO802" s="0"/>
      <c r="AP802" s="0"/>
      <c r="AQ802" s="0"/>
      <c r="AR802" s="0"/>
      <c r="AS802" s="0"/>
      <c r="AT802" s="0"/>
      <c r="AU802" s="0"/>
      <c r="AV802" s="0"/>
      <c r="AW802" s="0"/>
      <c r="AX802" s="0"/>
      <c r="AY802" s="0"/>
      <c r="AZ802" s="0"/>
      <c r="BA802" s="0"/>
      <c r="BB802" s="0"/>
      <c r="BC802" s="0"/>
      <c r="BD802" s="0"/>
      <c r="BE802" s="0"/>
      <c r="BF802" s="0"/>
      <c r="BG802" s="0"/>
      <c r="BH802" s="0"/>
      <c r="BI802" s="0"/>
      <c r="BJ802" s="0"/>
      <c r="BK802" s="0"/>
      <c r="BL802" s="0"/>
      <c r="BM802" s="0"/>
      <c r="BN802" s="0"/>
      <c r="BO802" s="0"/>
      <c r="BP802" s="0"/>
      <c r="BQ802" s="0"/>
      <c r="BR802" s="0"/>
      <c r="BS802" s="0"/>
      <c r="BT802" s="0"/>
      <c r="BU802" s="0"/>
      <c r="BV802" s="0"/>
      <c r="BW802" s="0"/>
      <c r="BX802" s="0"/>
      <c r="BY802" s="0"/>
      <c r="BZ802" s="0"/>
      <c r="CA802" s="0"/>
      <c r="CB802" s="0"/>
      <c r="CC802" s="0"/>
      <c r="CD802" s="0"/>
      <c r="CE802" s="0"/>
      <c r="CF802" s="0"/>
      <c r="CG802" s="0"/>
      <c r="CH802" s="0"/>
      <c r="CI802" s="0"/>
      <c r="CJ802" s="0"/>
      <c r="CK802" s="0"/>
      <c r="CL802" s="0"/>
      <c r="CM802" s="0"/>
      <c r="CN802" s="0"/>
      <c r="CO802" s="0"/>
      <c r="CP802" s="0"/>
      <c r="CQ802" s="0"/>
      <c r="CR802" s="0"/>
      <c r="CS802" s="0"/>
      <c r="CT802" s="0"/>
      <c r="CU802" s="0"/>
      <c r="CV802" s="0"/>
      <c r="CW802" s="0"/>
      <c r="CX802" s="0"/>
      <c r="CY802" s="0"/>
      <c r="CZ802" s="0"/>
      <c r="DA802" s="0"/>
      <c r="DB802" s="0"/>
      <c r="DC802" s="0"/>
      <c r="DD802" s="0"/>
      <c r="DE802" s="0"/>
      <c r="DF802" s="0"/>
      <c r="DG802" s="0"/>
      <c r="DH802" s="0"/>
      <c r="DI802" s="0"/>
      <c r="DJ802" s="0"/>
      <c r="DK802" s="0"/>
      <c r="DL802" s="0"/>
      <c r="DM802" s="0"/>
      <c r="DN802" s="0"/>
      <c r="DO802" s="0"/>
      <c r="DP802" s="0"/>
      <c r="DQ802" s="0"/>
      <c r="DR802" s="0"/>
      <c r="DS802" s="0"/>
      <c r="DT802" s="0"/>
      <c r="DU802" s="0"/>
      <c r="DV802" s="0"/>
      <c r="DW802" s="0"/>
      <c r="DX802" s="0"/>
      <c r="DY802" s="0"/>
      <c r="DZ802" s="0"/>
      <c r="EA802" s="0"/>
      <c r="EB802" s="0"/>
      <c r="EC802" s="0"/>
      <c r="ED802" s="0"/>
      <c r="EE802" s="0"/>
      <c r="EF802" s="0"/>
      <c r="EG802" s="0"/>
      <c r="EH802" s="0"/>
      <c r="EI802" s="0"/>
      <c r="EJ802" s="0"/>
      <c r="EK802" s="0"/>
      <c r="EL802" s="0"/>
      <c r="EM802" s="0"/>
      <c r="EN802" s="0"/>
      <c r="EO802" s="0"/>
      <c r="EP802" s="0"/>
      <c r="EQ802" s="0"/>
      <c r="ER802" s="0"/>
      <c r="ES802" s="0"/>
      <c r="ET802" s="0"/>
      <c r="EU802" s="0"/>
      <c r="EV802" s="0"/>
      <c r="EW802" s="0"/>
      <c r="EX802" s="0"/>
      <c r="EY802" s="0"/>
      <c r="EZ802" s="0"/>
      <c r="FA802" s="0"/>
      <c r="FB802" s="0"/>
      <c r="FC802" s="0"/>
      <c r="FD802" s="0"/>
      <c r="FE802" s="0"/>
      <c r="FF802" s="0"/>
      <c r="FG802" s="0"/>
      <c r="FH802" s="0"/>
      <c r="FI802" s="0"/>
      <c r="FJ802" s="0"/>
      <c r="FK802" s="0"/>
      <c r="FL802" s="0"/>
      <c r="FM802" s="0"/>
      <c r="FN802" s="0"/>
      <c r="FO802" s="0"/>
      <c r="FP802" s="0"/>
      <c r="FQ802" s="0"/>
      <c r="FR802" s="0"/>
      <c r="FS802" s="0"/>
      <c r="FT802" s="0"/>
      <c r="FU802" s="0"/>
      <c r="FV802" s="0"/>
      <c r="FW802" s="0"/>
      <c r="FX802" s="0"/>
      <c r="FY802" s="0"/>
      <c r="FZ802" s="0"/>
      <c r="GA802" s="0"/>
      <c r="GB802" s="0"/>
      <c r="GC802" s="0"/>
      <c r="GD802" s="0"/>
      <c r="GE802" s="0"/>
      <c r="GF802" s="0"/>
      <c r="GG802" s="0"/>
      <c r="GH802" s="0"/>
      <c r="GI802" s="0"/>
      <c r="GJ802" s="0"/>
      <c r="GK802" s="0"/>
      <c r="GL802" s="0"/>
      <c r="GM802" s="0"/>
      <c r="GN802" s="0"/>
      <c r="GO802" s="0"/>
      <c r="GP802" s="0"/>
      <c r="GQ802" s="0"/>
      <c r="GR802" s="0"/>
      <c r="GS802" s="0"/>
      <c r="GT802" s="0"/>
      <c r="GU802" s="0"/>
      <c r="GV802" s="0"/>
      <c r="GW802" s="0"/>
      <c r="GX802" s="0"/>
      <c r="GY802" s="0"/>
      <c r="GZ802" s="0"/>
      <c r="HA802" s="0"/>
      <c r="HB802" s="0"/>
      <c r="HC802" s="0"/>
      <c r="HD802" s="0"/>
      <c r="HE802" s="0"/>
      <c r="HF802" s="0"/>
      <c r="HG802" s="0"/>
      <c r="HH802" s="0"/>
      <c r="HI802" s="0"/>
      <c r="HJ802" s="0"/>
      <c r="HK802" s="0"/>
      <c r="HL802" s="0"/>
      <c r="HM802" s="0"/>
      <c r="HN802" s="0"/>
      <c r="HO802" s="0"/>
      <c r="HP802" s="0"/>
      <c r="HQ802" s="0"/>
      <c r="HR802" s="0"/>
      <c r="HS802" s="0"/>
      <c r="HT802" s="0"/>
      <c r="HU802" s="0"/>
      <c r="HV802" s="0"/>
      <c r="HW802" s="0"/>
      <c r="HX802" s="0"/>
      <c r="HY802" s="0"/>
      <c r="HZ802" s="0"/>
      <c r="IA802" s="0"/>
      <c r="IB802" s="0"/>
      <c r="IC802" s="0"/>
      <c r="ID802" s="0"/>
      <c r="IE802" s="0"/>
      <c r="IF802" s="0"/>
      <c r="IG802" s="0"/>
      <c r="IH802" s="0"/>
      <c r="II802" s="0"/>
      <c r="IJ802" s="0"/>
      <c r="IK802" s="0"/>
      <c r="IL802" s="0"/>
      <c r="IM802" s="0"/>
      <c r="IN802" s="0"/>
      <c r="IO802" s="0"/>
      <c r="IP802" s="0"/>
      <c r="IQ802" s="0"/>
      <c r="IR802" s="0"/>
      <c r="IS802" s="0"/>
      <c r="IT802" s="0"/>
      <c r="IU802" s="0"/>
      <c r="IV802" s="0"/>
    </row>
    <row r="803" customFormat="false" ht="29.25" hidden="false" customHeight="true" outlineLevel="0" collapsed="false">
      <c r="A803" s="1191" t="s">
        <v>503</v>
      </c>
      <c r="B803" s="1192" t="s">
        <v>505</v>
      </c>
      <c r="C803" s="1233" t="s">
        <v>1573</v>
      </c>
      <c r="D803" s="1192" t="s">
        <v>507</v>
      </c>
      <c r="E803" s="1192" t="s">
        <v>508</v>
      </c>
      <c r="F803" s="1233" t="s">
        <v>1574</v>
      </c>
      <c r="G803" s="1234" t="s">
        <v>1575</v>
      </c>
      <c r="H803" s="0"/>
      <c r="I803" s="0"/>
      <c r="K803" s="903"/>
      <c r="L803" s="877"/>
      <c r="M803" s="0"/>
      <c r="Q803" s="55"/>
      <c r="R803" s="55"/>
      <c r="S803" s="55"/>
      <c r="T803" s="0"/>
      <c r="U803" s="0"/>
      <c r="V803" s="0"/>
      <c r="W803" s="0"/>
      <c r="X803" s="0"/>
      <c r="Y803" s="0"/>
      <c r="Z803" s="0"/>
      <c r="AA803" s="0"/>
      <c r="AB803" s="0"/>
      <c r="AC803" s="0"/>
      <c r="AD803" s="0"/>
      <c r="AE803" s="0"/>
      <c r="AF803" s="0"/>
      <c r="AG803" s="0"/>
      <c r="AH803" s="0"/>
      <c r="AI803" s="0"/>
      <c r="AJ803" s="0"/>
      <c r="AK803" s="0"/>
      <c r="AL803" s="0"/>
      <c r="AM803" s="0"/>
      <c r="AN803" s="0"/>
      <c r="AO803" s="0"/>
      <c r="AP803" s="0"/>
      <c r="AQ803" s="0"/>
      <c r="AR803" s="0"/>
      <c r="AS803" s="0"/>
      <c r="AT803" s="0"/>
      <c r="AU803" s="0"/>
      <c r="AV803" s="0"/>
      <c r="AW803" s="0"/>
      <c r="AX803" s="0"/>
      <c r="AY803" s="0"/>
      <c r="AZ803" s="0"/>
      <c r="BA803" s="0"/>
      <c r="BB803" s="0"/>
      <c r="BC803" s="0"/>
      <c r="BD803" s="0"/>
      <c r="BE803" s="0"/>
      <c r="BF803" s="0"/>
      <c r="BG803" s="0"/>
      <c r="BH803" s="0"/>
      <c r="BI803" s="0"/>
      <c r="BJ803" s="0"/>
      <c r="BK803" s="0"/>
      <c r="BL803" s="0"/>
      <c r="BM803" s="0"/>
      <c r="BN803" s="0"/>
      <c r="BO803" s="0"/>
      <c r="BP803" s="0"/>
      <c r="BQ803" s="0"/>
      <c r="BR803" s="0"/>
      <c r="BS803" s="0"/>
      <c r="BT803" s="0"/>
      <c r="BU803" s="0"/>
      <c r="BV803" s="0"/>
      <c r="BW803" s="0"/>
      <c r="BX803" s="0"/>
      <c r="BY803" s="0"/>
      <c r="BZ803" s="0"/>
      <c r="CA803" s="0"/>
      <c r="CB803" s="0"/>
      <c r="CC803" s="0"/>
      <c r="CD803" s="0"/>
      <c r="CE803" s="0"/>
      <c r="CF803" s="0"/>
      <c r="CG803" s="0"/>
      <c r="CH803" s="0"/>
      <c r="CI803" s="0"/>
      <c r="CJ803" s="0"/>
      <c r="CK803" s="0"/>
      <c r="CL803" s="0"/>
      <c r="CM803" s="0"/>
      <c r="CN803" s="0"/>
      <c r="CO803" s="0"/>
      <c r="CP803" s="0"/>
      <c r="CQ803" s="0"/>
      <c r="CR803" s="0"/>
      <c r="CS803" s="0"/>
      <c r="CT803" s="0"/>
      <c r="CU803" s="0"/>
      <c r="CV803" s="0"/>
      <c r="CW803" s="0"/>
      <c r="CX803" s="0"/>
      <c r="CY803" s="0"/>
      <c r="CZ803" s="0"/>
      <c r="DA803" s="0"/>
      <c r="DB803" s="0"/>
      <c r="DC803" s="0"/>
      <c r="DD803" s="0"/>
      <c r="DE803" s="0"/>
      <c r="DF803" s="0"/>
      <c r="DG803" s="0"/>
      <c r="DH803" s="0"/>
      <c r="DI803" s="0"/>
      <c r="DJ803" s="0"/>
      <c r="DK803" s="0"/>
      <c r="DL803" s="0"/>
      <c r="DM803" s="0"/>
      <c r="DN803" s="0"/>
      <c r="DO803" s="0"/>
      <c r="DP803" s="0"/>
      <c r="DQ803" s="0"/>
      <c r="DR803" s="0"/>
      <c r="DS803" s="0"/>
      <c r="DT803" s="0"/>
      <c r="DU803" s="0"/>
      <c r="DV803" s="0"/>
      <c r="DW803" s="0"/>
      <c r="DX803" s="0"/>
      <c r="DY803" s="0"/>
      <c r="DZ803" s="0"/>
      <c r="EA803" s="0"/>
      <c r="EB803" s="0"/>
      <c r="EC803" s="0"/>
      <c r="ED803" s="0"/>
      <c r="EE803" s="0"/>
      <c r="EF803" s="0"/>
      <c r="EG803" s="0"/>
      <c r="EH803" s="0"/>
      <c r="EI803" s="0"/>
      <c r="EJ803" s="0"/>
      <c r="EK803" s="0"/>
      <c r="EL803" s="0"/>
      <c r="EM803" s="0"/>
      <c r="EN803" s="0"/>
      <c r="EO803" s="0"/>
      <c r="EP803" s="0"/>
      <c r="EQ803" s="0"/>
      <c r="ER803" s="0"/>
      <c r="ES803" s="0"/>
      <c r="ET803" s="0"/>
      <c r="EU803" s="0"/>
      <c r="EV803" s="0"/>
      <c r="EW803" s="0"/>
      <c r="EX803" s="0"/>
      <c r="EY803" s="0"/>
      <c r="EZ803" s="0"/>
      <c r="FA803" s="0"/>
      <c r="FB803" s="0"/>
      <c r="FC803" s="0"/>
      <c r="FD803" s="0"/>
      <c r="FE803" s="0"/>
      <c r="FF803" s="0"/>
      <c r="FG803" s="0"/>
      <c r="FH803" s="0"/>
      <c r="FI803" s="0"/>
      <c r="FJ803" s="0"/>
      <c r="FK803" s="0"/>
      <c r="FL803" s="0"/>
      <c r="FM803" s="0"/>
      <c r="FN803" s="0"/>
      <c r="FO803" s="0"/>
      <c r="FP803" s="0"/>
      <c r="FQ803" s="0"/>
      <c r="FR803" s="0"/>
      <c r="FS803" s="0"/>
      <c r="FT803" s="0"/>
      <c r="FU803" s="0"/>
      <c r="FV803" s="0"/>
      <c r="FW803" s="0"/>
      <c r="FX803" s="0"/>
      <c r="FY803" s="0"/>
      <c r="FZ803" s="0"/>
      <c r="GA803" s="0"/>
      <c r="GB803" s="0"/>
      <c r="GC803" s="0"/>
      <c r="GD803" s="0"/>
      <c r="GE803" s="0"/>
      <c r="GF803" s="0"/>
      <c r="GG803" s="0"/>
      <c r="GH803" s="0"/>
      <c r="GI803" s="0"/>
      <c r="GJ803" s="0"/>
      <c r="GK803" s="0"/>
      <c r="GL803" s="0"/>
      <c r="GM803" s="0"/>
      <c r="GN803" s="0"/>
      <c r="GO803" s="0"/>
      <c r="GP803" s="0"/>
      <c r="GQ803" s="0"/>
      <c r="GR803" s="0"/>
      <c r="GS803" s="0"/>
      <c r="GT803" s="0"/>
      <c r="GU803" s="0"/>
      <c r="GV803" s="0"/>
      <c r="GW803" s="0"/>
      <c r="GX803" s="0"/>
      <c r="GY803" s="0"/>
      <c r="GZ803" s="0"/>
      <c r="HA803" s="0"/>
      <c r="HB803" s="0"/>
      <c r="HC803" s="0"/>
      <c r="HD803" s="0"/>
      <c r="HE803" s="0"/>
      <c r="HF803" s="0"/>
      <c r="HG803" s="0"/>
      <c r="HH803" s="0"/>
      <c r="HI803" s="0"/>
      <c r="HJ803" s="0"/>
      <c r="HK803" s="0"/>
      <c r="HL803" s="0"/>
      <c r="HM803" s="0"/>
      <c r="HN803" s="0"/>
      <c r="HO803" s="0"/>
      <c r="HP803" s="0"/>
      <c r="HQ803" s="0"/>
      <c r="HR803" s="0"/>
      <c r="HS803" s="0"/>
      <c r="HT803" s="0"/>
      <c r="HU803" s="0"/>
      <c r="HV803" s="0"/>
      <c r="HW803" s="0"/>
      <c r="HX803" s="0"/>
      <c r="HY803" s="0"/>
      <c r="HZ803" s="0"/>
      <c r="IA803" s="0"/>
      <c r="IB803" s="0"/>
      <c r="IC803" s="0"/>
      <c r="ID803" s="0"/>
      <c r="IE803" s="0"/>
      <c r="IF803" s="0"/>
      <c r="IG803" s="0"/>
      <c r="IH803" s="0"/>
      <c r="II803" s="0"/>
      <c r="IJ803" s="0"/>
      <c r="IK803" s="0"/>
      <c r="IL803" s="0"/>
      <c r="IM803" s="0"/>
      <c r="IN803" s="0"/>
      <c r="IO803" s="0"/>
      <c r="IP803" s="0"/>
      <c r="IQ803" s="0"/>
      <c r="IR803" s="0"/>
      <c r="IS803" s="0"/>
      <c r="IT803" s="0"/>
      <c r="IU803" s="0"/>
      <c r="IV803" s="0"/>
    </row>
    <row r="804" customFormat="false" ht="16.5" hidden="false" customHeight="true" outlineLevel="0" collapsed="false">
      <c r="A804" s="1235"/>
      <c r="B804" s="1235"/>
      <c r="C804" s="1235" t="s">
        <v>534</v>
      </c>
      <c r="D804" s="1235" t="s">
        <v>534</v>
      </c>
      <c r="E804" s="1235" t="s">
        <v>534</v>
      </c>
      <c r="F804" s="1235" t="s">
        <v>534</v>
      </c>
      <c r="G804" s="1236" t="e">
        <f aca="false">(C804/D804)*(E804/F804)</f>
        <v>#VALUE!</v>
      </c>
      <c r="H804" s="1237" t="e">
        <f aca="false">IF(F804="",0,G804*E804)</f>
        <v>#VALUE!</v>
      </c>
      <c r="I804" s="0"/>
      <c r="K804" s="903"/>
      <c r="L804" s="877"/>
      <c r="M804" s="0"/>
      <c r="Q804" s="55"/>
      <c r="R804" s="55"/>
      <c r="S804" s="55"/>
      <c r="T804" s="0"/>
      <c r="U804" s="0"/>
      <c r="V804" s="0"/>
      <c r="W804" s="0"/>
      <c r="X804" s="0"/>
      <c r="Y804" s="0"/>
      <c r="Z804" s="0"/>
      <c r="AA804" s="0"/>
      <c r="AB804" s="0"/>
      <c r="AC804" s="0"/>
      <c r="AD804" s="0"/>
      <c r="AE804" s="0"/>
      <c r="AF804" s="0"/>
      <c r="AG804" s="0"/>
      <c r="AH804" s="0"/>
      <c r="AI804" s="0"/>
      <c r="AJ804" s="0"/>
      <c r="AK804" s="0"/>
      <c r="AL804" s="0"/>
      <c r="AM804" s="0"/>
      <c r="AN804" s="0"/>
      <c r="AO804" s="0"/>
      <c r="AP804" s="0"/>
      <c r="AQ804" s="0"/>
      <c r="AR804" s="0"/>
      <c r="AS804" s="0"/>
      <c r="AT804" s="0"/>
      <c r="AU804" s="0"/>
      <c r="AV804" s="0"/>
      <c r="AW804" s="0"/>
      <c r="AX804" s="0"/>
      <c r="AY804" s="0"/>
      <c r="AZ804" s="0"/>
      <c r="BA804" s="0"/>
      <c r="BB804" s="0"/>
      <c r="BC804" s="0"/>
      <c r="BD804" s="0"/>
      <c r="BE804" s="0"/>
      <c r="BF804" s="0"/>
      <c r="BG804" s="0"/>
      <c r="BH804" s="0"/>
      <c r="BI804" s="0"/>
      <c r="BJ804" s="0"/>
      <c r="BK804" s="0"/>
      <c r="BL804" s="0"/>
      <c r="BM804" s="0"/>
      <c r="BN804" s="0"/>
      <c r="BO804" s="0"/>
      <c r="BP804" s="0"/>
      <c r="BQ804" s="0"/>
      <c r="BR804" s="0"/>
      <c r="BS804" s="0"/>
      <c r="BT804" s="0"/>
      <c r="BU804" s="0"/>
      <c r="BV804" s="0"/>
      <c r="BW804" s="0"/>
      <c r="BX804" s="0"/>
      <c r="BY804" s="0"/>
      <c r="BZ804" s="0"/>
      <c r="CA804" s="0"/>
      <c r="CB804" s="0"/>
      <c r="CC804" s="0"/>
      <c r="CD804" s="0"/>
      <c r="CE804" s="0"/>
      <c r="CF804" s="0"/>
      <c r="CG804" s="0"/>
      <c r="CH804" s="0"/>
      <c r="CI804" s="0"/>
      <c r="CJ804" s="0"/>
      <c r="CK804" s="0"/>
      <c r="CL804" s="0"/>
      <c r="CM804" s="0"/>
      <c r="CN804" s="0"/>
      <c r="CO804" s="0"/>
      <c r="CP804" s="0"/>
      <c r="CQ804" s="0"/>
      <c r="CR804" s="0"/>
      <c r="CS804" s="0"/>
      <c r="CT804" s="0"/>
      <c r="CU804" s="0"/>
      <c r="CV804" s="0"/>
      <c r="CW804" s="0"/>
      <c r="CX804" s="0"/>
      <c r="CY804" s="0"/>
      <c r="CZ804" s="0"/>
      <c r="DA804" s="0"/>
      <c r="DB804" s="0"/>
      <c r="DC804" s="0"/>
      <c r="DD804" s="0"/>
      <c r="DE804" s="0"/>
      <c r="DF804" s="0"/>
      <c r="DG804" s="0"/>
      <c r="DH804" s="0"/>
      <c r="DI804" s="0"/>
      <c r="DJ804" s="0"/>
      <c r="DK804" s="0"/>
      <c r="DL804" s="0"/>
      <c r="DM804" s="0"/>
      <c r="DN804" s="0"/>
      <c r="DO804" s="0"/>
      <c r="DP804" s="0"/>
      <c r="DQ804" s="0"/>
      <c r="DR804" s="0"/>
      <c r="DS804" s="0"/>
      <c r="DT804" s="0"/>
      <c r="DU804" s="0"/>
      <c r="DV804" s="0"/>
      <c r="DW804" s="0"/>
      <c r="DX804" s="0"/>
      <c r="DY804" s="0"/>
      <c r="DZ804" s="0"/>
      <c r="EA804" s="0"/>
      <c r="EB804" s="0"/>
      <c r="EC804" s="0"/>
      <c r="ED804" s="0"/>
      <c r="EE804" s="0"/>
      <c r="EF804" s="0"/>
      <c r="EG804" s="0"/>
      <c r="EH804" s="0"/>
      <c r="EI804" s="0"/>
      <c r="EJ804" s="0"/>
      <c r="EK804" s="0"/>
      <c r="EL804" s="0"/>
      <c r="EM804" s="0"/>
      <c r="EN804" s="0"/>
      <c r="EO804" s="0"/>
      <c r="EP804" s="0"/>
      <c r="EQ804" s="0"/>
      <c r="ER804" s="0"/>
      <c r="ES804" s="0"/>
      <c r="ET804" s="0"/>
      <c r="EU804" s="0"/>
      <c r="EV804" s="0"/>
      <c r="EW804" s="0"/>
      <c r="EX804" s="0"/>
      <c r="EY804" s="0"/>
      <c r="EZ804" s="0"/>
      <c r="FA804" s="0"/>
      <c r="FB804" s="0"/>
      <c r="FC804" s="0"/>
      <c r="FD804" s="0"/>
      <c r="FE804" s="0"/>
      <c r="FF804" s="0"/>
      <c r="FG804" s="0"/>
      <c r="FH804" s="0"/>
      <c r="FI804" s="0"/>
      <c r="FJ804" s="0"/>
      <c r="FK804" s="0"/>
      <c r="FL804" s="0"/>
      <c r="FM804" s="0"/>
      <c r="FN804" s="0"/>
      <c r="FO804" s="0"/>
      <c r="FP804" s="0"/>
      <c r="FQ804" s="0"/>
      <c r="FR804" s="0"/>
      <c r="FS804" s="0"/>
      <c r="FT804" s="0"/>
      <c r="FU804" s="0"/>
      <c r="FV804" s="0"/>
      <c r="FW804" s="0"/>
      <c r="FX804" s="0"/>
      <c r="FY804" s="0"/>
      <c r="FZ804" s="0"/>
      <c r="GA804" s="0"/>
      <c r="GB804" s="0"/>
      <c r="GC804" s="0"/>
      <c r="GD804" s="0"/>
      <c r="GE804" s="0"/>
      <c r="GF804" s="0"/>
      <c r="GG804" s="0"/>
      <c r="GH804" s="0"/>
      <c r="GI804" s="0"/>
      <c r="GJ804" s="0"/>
      <c r="GK804" s="0"/>
      <c r="GL804" s="0"/>
      <c r="GM804" s="0"/>
      <c r="GN804" s="0"/>
      <c r="GO804" s="0"/>
      <c r="GP804" s="0"/>
      <c r="GQ804" s="0"/>
      <c r="GR804" s="0"/>
      <c r="GS804" s="0"/>
      <c r="GT804" s="0"/>
      <c r="GU804" s="0"/>
      <c r="GV804" s="0"/>
      <c r="GW804" s="0"/>
      <c r="GX804" s="0"/>
      <c r="GY804" s="0"/>
      <c r="GZ804" s="0"/>
      <c r="HA804" s="0"/>
      <c r="HB804" s="0"/>
      <c r="HC804" s="0"/>
      <c r="HD804" s="0"/>
      <c r="HE804" s="0"/>
      <c r="HF804" s="0"/>
      <c r="HG804" s="0"/>
      <c r="HH804" s="0"/>
      <c r="HI804" s="0"/>
      <c r="HJ804" s="0"/>
      <c r="HK804" s="0"/>
      <c r="HL804" s="0"/>
      <c r="HM804" s="0"/>
      <c r="HN804" s="0"/>
      <c r="HO804" s="0"/>
      <c r="HP804" s="0"/>
      <c r="HQ804" s="0"/>
      <c r="HR804" s="0"/>
      <c r="HS804" s="0"/>
      <c r="HT804" s="0"/>
      <c r="HU804" s="0"/>
      <c r="HV804" s="0"/>
      <c r="HW804" s="0"/>
      <c r="HX804" s="0"/>
      <c r="HY804" s="0"/>
      <c r="HZ804" s="0"/>
      <c r="IA804" s="0"/>
      <c r="IB804" s="0"/>
      <c r="IC804" s="0"/>
      <c r="ID804" s="0"/>
      <c r="IE804" s="0"/>
      <c r="IF804" s="0"/>
      <c r="IG804" s="0"/>
      <c r="IH804" s="0"/>
      <c r="II804" s="0"/>
      <c r="IJ804" s="0"/>
      <c r="IK804" s="0"/>
      <c r="IL804" s="0"/>
      <c r="IM804" s="0"/>
      <c r="IN804" s="0"/>
      <c r="IO804" s="0"/>
      <c r="IP804" s="0"/>
      <c r="IQ804" s="0"/>
      <c r="IR804" s="0"/>
      <c r="IS804" s="0"/>
      <c r="IT804" s="0"/>
      <c r="IU804" s="0"/>
      <c r="IV804" s="0"/>
    </row>
    <row r="805" customFormat="false" ht="20.1" hidden="false" customHeight="true" outlineLevel="0" collapsed="false">
      <c r="A805" s="1238"/>
      <c r="B805" s="1238"/>
      <c r="C805" s="1238"/>
      <c r="D805" s="1238"/>
      <c r="E805" s="1238"/>
      <c r="F805" s="1238"/>
      <c r="G805" s="822" t="e">
        <f aca="false">(C805/D805)*(E805/F805)</f>
        <v>#DIV/0!</v>
      </c>
      <c r="H805" s="1237" t="n">
        <f aca="false">IF(F805="",0,G805*E805)</f>
        <v>0</v>
      </c>
      <c r="I805" s="877"/>
      <c r="J805" s="877"/>
      <c r="K805" s="877"/>
      <c r="L805" s="877"/>
      <c r="M805" s="877"/>
      <c r="Q805" s="55"/>
      <c r="R805" s="55"/>
      <c r="S805" s="55"/>
      <c r="T805" s="0"/>
      <c r="U805" s="0"/>
      <c r="V805" s="0"/>
      <c r="W805" s="0"/>
      <c r="X805" s="0"/>
      <c r="Y805" s="0"/>
      <c r="Z805" s="0"/>
      <c r="AA805" s="0"/>
      <c r="AB805" s="0"/>
      <c r="AC805" s="0"/>
      <c r="AD805" s="0"/>
      <c r="AE805" s="0"/>
      <c r="AF805" s="0"/>
      <c r="AG805" s="0"/>
      <c r="AH805" s="0"/>
      <c r="AI805" s="0"/>
      <c r="AJ805" s="0"/>
      <c r="AK805" s="0"/>
      <c r="AL805" s="0"/>
      <c r="AM805" s="0"/>
      <c r="AN805" s="0"/>
      <c r="AO805" s="0"/>
      <c r="AP805" s="0"/>
      <c r="AQ805" s="0"/>
      <c r="AR805" s="0"/>
      <c r="AS805" s="0"/>
      <c r="AT805" s="0"/>
      <c r="AU805" s="0"/>
      <c r="AV805" s="0"/>
      <c r="AW805" s="0"/>
      <c r="AX805" s="0"/>
      <c r="AY805" s="0"/>
      <c r="AZ805" s="0"/>
      <c r="BA805" s="0"/>
      <c r="BB805" s="0"/>
      <c r="BC805" s="0"/>
      <c r="BD805" s="0"/>
      <c r="BE805" s="0"/>
      <c r="BF805" s="0"/>
      <c r="BG805" s="0"/>
      <c r="BH805" s="0"/>
      <c r="BI805" s="0"/>
      <c r="BJ805" s="0"/>
      <c r="BK805" s="0"/>
      <c r="BL805" s="0"/>
      <c r="BM805" s="0"/>
      <c r="BN805" s="0"/>
      <c r="BO805" s="0"/>
      <c r="BP805" s="0"/>
      <c r="BQ805" s="0"/>
      <c r="BR805" s="0"/>
      <c r="BS805" s="0"/>
      <c r="BT805" s="0"/>
      <c r="BU805" s="0"/>
      <c r="BV805" s="0"/>
      <c r="BW805" s="0"/>
      <c r="BX805" s="0"/>
      <c r="BY805" s="0"/>
      <c r="BZ805" s="0"/>
      <c r="CA805" s="0"/>
      <c r="CB805" s="0"/>
      <c r="CC805" s="0"/>
      <c r="CD805" s="0"/>
      <c r="CE805" s="0"/>
      <c r="CF805" s="0"/>
      <c r="CG805" s="0"/>
      <c r="CH805" s="0"/>
      <c r="CI805" s="0"/>
      <c r="CJ805" s="0"/>
      <c r="CK805" s="0"/>
      <c r="CL805" s="0"/>
      <c r="CM805" s="0"/>
      <c r="CN805" s="0"/>
      <c r="CO805" s="0"/>
      <c r="CP805" s="0"/>
      <c r="CQ805" s="0"/>
      <c r="CR805" s="0"/>
      <c r="CS805" s="0"/>
      <c r="CT805" s="0"/>
      <c r="CU805" s="0"/>
      <c r="CV805" s="0"/>
      <c r="CW805" s="0"/>
      <c r="CX805" s="0"/>
      <c r="CY805" s="0"/>
      <c r="CZ805" s="0"/>
      <c r="DA805" s="0"/>
      <c r="DB805" s="0"/>
      <c r="DC805" s="0"/>
      <c r="DD805" s="0"/>
      <c r="DE805" s="0"/>
      <c r="DF805" s="0"/>
      <c r="DG805" s="0"/>
      <c r="DH805" s="0"/>
      <c r="DI805" s="0"/>
      <c r="DJ805" s="0"/>
      <c r="DK805" s="0"/>
      <c r="DL805" s="0"/>
      <c r="DM805" s="0"/>
      <c r="DN805" s="0"/>
      <c r="DO805" s="0"/>
      <c r="DP805" s="0"/>
      <c r="DQ805" s="0"/>
      <c r="DR805" s="0"/>
      <c r="DS805" s="0"/>
      <c r="DT805" s="0"/>
      <c r="DU805" s="0"/>
      <c r="DV805" s="0"/>
      <c r="DW805" s="0"/>
      <c r="DX805" s="0"/>
      <c r="DY805" s="0"/>
      <c r="DZ805" s="0"/>
      <c r="EA805" s="0"/>
      <c r="EB805" s="0"/>
      <c r="EC805" s="0"/>
      <c r="ED805" s="0"/>
      <c r="EE805" s="0"/>
      <c r="EF805" s="0"/>
      <c r="EG805" s="0"/>
      <c r="EH805" s="0"/>
      <c r="EI805" s="0"/>
      <c r="EJ805" s="0"/>
      <c r="EK805" s="0"/>
      <c r="EL805" s="0"/>
      <c r="EM805" s="0"/>
      <c r="EN805" s="0"/>
      <c r="EO805" s="0"/>
      <c r="EP805" s="0"/>
      <c r="EQ805" s="0"/>
      <c r="ER805" s="0"/>
      <c r="ES805" s="0"/>
      <c r="ET805" s="0"/>
      <c r="EU805" s="0"/>
      <c r="EV805" s="0"/>
      <c r="EW805" s="0"/>
      <c r="EX805" s="0"/>
      <c r="EY805" s="0"/>
      <c r="EZ805" s="0"/>
      <c r="FA805" s="0"/>
      <c r="FB805" s="0"/>
      <c r="FC805" s="0"/>
      <c r="FD805" s="0"/>
      <c r="FE805" s="0"/>
      <c r="FF805" s="0"/>
      <c r="FG805" s="0"/>
      <c r="FH805" s="0"/>
      <c r="FI805" s="0"/>
      <c r="FJ805" s="0"/>
      <c r="FK805" s="0"/>
      <c r="FL805" s="0"/>
      <c r="FM805" s="0"/>
      <c r="FN805" s="0"/>
      <c r="FO805" s="0"/>
      <c r="FP805" s="0"/>
      <c r="FQ805" s="0"/>
      <c r="FR805" s="0"/>
      <c r="FS805" s="0"/>
      <c r="FT805" s="0"/>
      <c r="FU805" s="0"/>
      <c r="FV805" s="0"/>
      <c r="FW805" s="0"/>
      <c r="FX805" s="0"/>
      <c r="FY805" s="0"/>
      <c r="FZ805" s="0"/>
      <c r="GA805" s="0"/>
      <c r="GB805" s="0"/>
      <c r="GC805" s="0"/>
      <c r="GD805" s="0"/>
      <c r="GE805" s="0"/>
      <c r="GF805" s="0"/>
      <c r="GG805" s="0"/>
      <c r="GH805" s="0"/>
      <c r="GI805" s="0"/>
      <c r="GJ805" s="0"/>
      <c r="GK805" s="0"/>
      <c r="GL805" s="0"/>
      <c r="GM805" s="0"/>
      <c r="GN805" s="0"/>
      <c r="GO805" s="0"/>
      <c r="GP805" s="0"/>
      <c r="GQ805" s="0"/>
      <c r="GR805" s="0"/>
      <c r="GS805" s="0"/>
      <c r="GT805" s="0"/>
      <c r="GU805" s="0"/>
      <c r="GV805" s="0"/>
      <c r="GW805" s="0"/>
      <c r="GX805" s="0"/>
      <c r="GY805" s="0"/>
      <c r="GZ805" s="0"/>
      <c r="HA805" s="0"/>
      <c r="HB805" s="0"/>
      <c r="HC805" s="0"/>
      <c r="HD805" s="0"/>
      <c r="HE805" s="0"/>
      <c r="HF805" s="0"/>
      <c r="HG805" s="0"/>
      <c r="HH805" s="0"/>
      <c r="HI805" s="0"/>
      <c r="HJ805" s="0"/>
      <c r="HK805" s="0"/>
      <c r="HL805" s="0"/>
      <c r="HM805" s="0"/>
      <c r="HN805" s="0"/>
      <c r="HO805" s="0"/>
      <c r="HP805" s="0"/>
      <c r="HQ805" s="0"/>
      <c r="HR805" s="0"/>
      <c r="HS805" s="0"/>
      <c r="HT805" s="0"/>
      <c r="HU805" s="0"/>
      <c r="HV805" s="0"/>
      <c r="HW805" s="0"/>
      <c r="HX805" s="0"/>
      <c r="HY805" s="0"/>
      <c r="HZ805" s="0"/>
      <c r="IA805" s="0"/>
      <c r="IB805" s="0"/>
      <c r="IC805" s="0"/>
      <c r="ID805" s="0"/>
      <c r="IE805" s="0"/>
      <c r="IF805" s="0"/>
      <c r="IG805" s="0"/>
      <c r="IH805" s="0"/>
      <c r="II805" s="0"/>
      <c r="IJ805" s="0"/>
      <c r="IK805" s="0"/>
      <c r="IL805" s="0"/>
      <c r="IM805" s="0"/>
      <c r="IN805" s="0"/>
      <c r="IO805" s="0"/>
      <c r="IP805" s="0"/>
      <c r="IQ805" s="0"/>
      <c r="IR805" s="0"/>
      <c r="IS805" s="0"/>
      <c r="IT805" s="0"/>
      <c r="IU805" s="0"/>
      <c r="IV805" s="0"/>
    </row>
    <row r="806" customFormat="false" ht="20.1" hidden="false" customHeight="true" outlineLevel="0" collapsed="false">
      <c r="A806" s="1238"/>
      <c r="B806" s="1238"/>
      <c r="C806" s="1238"/>
      <c r="D806" s="1238"/>
      <c r="E806" s="1238"/>
      <c r="F806" s="1238"/>
      <c r="G806" s="822" t="e">
        <f aca="false">(C806/D806)*(E806/F806)</f>
        <v>#DIV/0!</v>
      </c>
      <c r="H806" s="1237" t="n">
        <f aca="false">IF(F806="",0,G806*E806)</f>
        <v>0</v>
      </c>
      <c r="I806" s="877"/>
      <c r="J806" s="877"/>
      <c r="K806" s="877"/>
      <c r="L806" s="877"/>
      <c r="M806" s="877"/>
      <c r="Q806" s="55"/>
      <c r="R806" s="55"/>
      <c r="S806" s="55"/>
      <c r="T806" s="0"/>
      <c r="U806" s="0"/>
      <c r="V806" s="0"/>
      <c r="W806" s="0"/>
      <c r="X806" s="0"/>
      <c r="Y806" s="0"/>
      <c r="Z806" s="0"/>
      <c r="AA806" s="0"/>
      <c r="AB806" s="0"/>
      <c r="AC806" s="0"/>
      <c r="AD806" s="0"/>
      <c r="AE806" s="0"/>
      <c r="AF806" s="0"/>
      <c r="AG806" s="0"/>
      <c r="AH806" s="0"/>
      <c r="AI806" s="0"/>
      <c r="AJ806" s="0"/>
      <c r="AK806" s="0"/>
      <c r="AL806" s="0"/>
      <c r="AM806" s="0"/>
      <c r="AN806" s="0"/>
      <c r="AO806" s="0"/>
      <c r="AP806" s="0"/>
      <c r="AQ806" s="0"/>
      <c r="AR806" s="0"/>
      <c r="AS806" s="0"/>
      <c r="AT806" s="0"/>
      <c r="AU806" s="0"/>
      <c r="AV806" s="0"/>
      <c r="AW806" s="0"/>
      <c r="AX806" s="0"/>
      <c r="AY806" s="0"/>
      <c r="AZ806" s="0"/>
      <c r="BA806" s="0"/>
      <c r="BB806" s="0"/>
      <c r="BC806" s="0"/>
      <c r="BD806" s="0"/>
      <c r="BE806" s="0"/>
      <c r="BF806" s="0"/>
      <c r="BG806" s="0"/>
      <c r="BH806" s="0"/>
      <c r="BI806" s="0"/>
      <c r="BJ806" s="0"/>
      <c r="BK806" s="0"/>
      <c r="BL806" s="0"/>
      <c r="BM806" s="0"/>
      <c r="BN806" s="0"/>
      <c r="BO806" s="0"/>
      <c r="BP806" s="0"/>
      <c r="BQ806" s="0"/>
      <c r="BR806" s="0"/>
      <c r="BS806" s="0"/>
      <c r="BT806" s="0"/>
      <c r="BU806" s="0"/>
      <c r="BV806" s="0"/>
      <c r="BW806" s="0"/>
      <c r="BX806" s="0"/>
      <c r="BY806" s="0"/>
      <c r="BZ806" s="0"/>
      <c r="CA806" s="0"/>
      <c r="CB806" s="0"/>
      <c r="CC806" s="0"/>
      <c r="CD806" s="0"/>
      <c r="CE806" s="0"/>
      <c r="CF806" s="0"/>
      <c r="CG806" s="0"/>
      <c r="CH806" s="0"/>
      <c r="CI806" s="0"/>
      <c r="CJ806" s="0"/>
      <c r="CK806" s="0"/>
      <c r="CL806" s="0"/>
      <c r="CM806" s="0"/>
      <c r="CN806" s="0"/>
      <c r="CO806" s="0"/>
      <c r="CP806" s="0"/>
      <c r="CQ806" s="0"/>
      <c r="CR806" s="0"/>
      <c r="CS806" s="0"/>
      <c r="CT806" s="0"/>
      <c r="CU806" s="0"/>
      <c r="CV806" s="0"/>
      <c r="CW806" s="0"/>
      <c r="CX806" s="0"/>
      <c r="CY806" s="0"/>
      <c r="CZ806" s="0"/>
      <c r="DA806" s="0"/>
      <c r="DB806" s="0"/>
      <c r="DC806" s="0"/>
      <c r="DD806" s="0"/>
      <c r="DE806" s="0"/>
      <c r="DF806" s="0"/>
      <c r="DG806" s="0"/>
      <c r="DH806" s="0"/>
      <c r="DI806" s="0"/>
      <c r="DJ806" s="0"/>
      <c r="DK806" s="0"/>
      <c r="DL806" s="0"/>
      <c r="DM806" s="0"/>
      <c r="DN806" s="0"/>
      <c r="DO806" s="0"/>
      <c r="DP806" s="0"/>
      <c r="DQ806" s="0"/>
      <c r="DR806" s="0"/>
      <c r="DS806" s="0"/>
      <c r="DT806" s="0"/>
      <c r="DU806" s="0"/>
      <c r="DV806" s="0"/>
      <c r="DW806" s="0"/>
      <c r="DX806" s="0"/>
      <c r="DY806" s="0"/>
      <c r="DZ806" s="0"/>
      <c r="EA806" s="0"/>
      <c r="EB806" s="0"/>
      <c r="EC806" s="0"/>
      <c r="ED806" s="0"/>
      <c r="EE806" s="0"/>
      <c r="EF806" s="0"/>
      <c r="EG806" s="0"/>
      <c r="EH806" s="0"/>
      <c r="EI806" s="0"/>
      <c r="EJ806" s="0"/>
      <c r="EK806" s="0"/>
      <c r="EL806" s="0"/>
      <c r="EM806" s="0"/>
      <c r="EN806" s="0"/>
      <c r="EO806" s="0"/>
      <c r="EP806" s="0"/>
      <c r="EQ806" s="0"/>
      <c r="ER806" s="0"/>
      <c r="ES806" s="0"/>
      <c r="ET806" s="0"/>
      <c r="EU806" s="0"/>
      <c r="EV806" s="0"/>
      <c r="EW806" s="0"/>
      <c r="EX806" s="0"/>
      <c r="EY806" s="0"/>
      <c r="EZ806" s="0"/>
      <c r="FA806" s="0"/>
      <c r="FB806" s="0"/>
      <c r="FC806" s="0"/>
      <c r="FD806" s="0"/>
      <c r="FE806" s="0"/>
      <c r="FF806" s="0"/>
      <c r="FG806" s="0"/>
      <c r="FH806" s="0"/>
      <c r="FI806" s="0"/>
      <c r="FJ806" s="0"/>
      <c r="FK806" s="0"/>
      <c r="FL806" s="0"/>
      <c r="FM806" s="0"/>
      <c r="FN806" s="0"/>
      <c r="FO806" s="0"/>
      <c r="FP806" s="0"/>
      <c r="FQ806" s="0"/>
      <c r="FR806" s="0"/>
      <c r="FS806" s="0"/>
      <c r="FT806" s="0"/>
      <c r="FU806" s="0"/>
      <c r="FV806" s="0"/>
      <c r="FW806" s="0"/>
      <c r="FX806" s="0"/>
      <c r="FY806" s="0"/>
      <c r="FZ806" s="0"/>
      <c r="GA806" s="0"/>
      <c r="GB806" s="0"/>
      <c r="GC806" s="0"/>
      <c r="GD806" s="0"/>
      <c r="GE806" s="0"/>
      <c r="GF806" s="0"/>
      <c r="GG806" s="0"/>
      <c r="GH806" s="0"/>
      <c r="GI806" s="0"/>
      <c r="GJ806" s="0"/>
      <c r="GK806" s="0"/>
      <c r="GL806" s="0"/>
      <c r="GM806" s="0"/>
      <c r="GN806" s="0"/>
      <c r="GO806" s="0"/>
      <c r="GP806" s="0"/>
      <c r="GQ806" s="0"/>
      <c r="GR806" s="0"/>
      <c r="GS806" s="0"/>
      <c r="GT806" s="0"/>
      <c r="GU806" s="0"/>
      <c r="GV806" s="0"/>
      <c r="GW806" s="0"/>
      <c r="GX806" s="0"/>
      <c r="GY806" s="0"/>
      <c r="GZ806" s="0"/>
      <c r="HA806" s="0"/>
      <c r="HB806" s="0"/>
      <c r="HC806" s="0"/>
      <c r="HD806" s="0"/>
      <c r="HE806" s="0"/>
      <c r="HF806" s="0"/>
      <c r="HG806" s="0"/>
      <c r="HH806" s="0"/>
      <c r="HI806" s="0"/>
      <c r="HJ806" s="0"/>
      <c r="HK806" s="0"/>
      <c r="HL806" s="0"/>
      <c r="HM806" s="0"/>
      <c r="HN806" s="0"/>
      <c r="HO806" s="0"/>
      <c r="HP806" s="0"/>
      <c r="HQ806" s="0"/>
      <c r="HR806" s="0"/>
      <c r="HS806" s="0"/>
      <c r="HT806" s="0"/>
      <c r="HU806" s="0"/>
      <c r="HV806" s="0"/>
      <c r="HW806" s="0"/>
      <c r="HX806" s="0"/>
      <c r="HY806" s="0"/>
      <c r="HZ806" s="0"/>
      <c r="IA806" s="0"/>
      <c r="IB806" s="0"/>
      <c r="IC806" s="0"/>
      <c r="ID806" s="0"/>
      <c r="IE806" s="0"/>
      <c r="IF806" s="0"/>
      <c r="IG806" s="0"/>
      <c r="IH806" s="0"/>
      <c r="II806" s="0"/>
      <c r="IJ806" s="0"/>
      <c r="IK806" s="0"/>
      <c r="IL806" s="0"/>
      <c r="IM806" s="0"/>
      <c r="IN806" s="0"/>
      <c r="IO806" s="0"/>
      <c r="IP806" s="0"/>
      <c r="IQ806" s="0"/>
      <c r="IR806" s="0"/>
      <c r="IS806" s="0"/>
      <c r="IT806" s="0"/>
      <c r="IU806" s="0"/>
      <c r="IV806" s="0"/>
    </row>
    <row r="807" customFormat="false" ht="16.5" hidden="false" customHeight="true" outlineLevel="0" collapsed="false">
      <c r="A807" s="1238"/>
      <c r="B807" s="1238"/>
      <c r="C807" s="1238"/>
      <c r="D807" s="1238"/>
      <c r="E807" s="1238"/>
      <c r="F807" s="1238"/>
      <c r="G807" s="822" t="e">
        <f aca="false">(C807/D807)*(E807/F807)</f>
        <v>#DIV/0!</v>
      </c>
      <c r="H807" s="1237" t="n">
        <f aca="false">IF(F807="",0,G807*E807)</f>
        <v>0</v>
      </c>
      <c r="I807" s="877"/>
      <c r="J807" s="877"/>
      <c r="K807" s="877"/>
      <c r="L807" s="877"/>
      <c r="M807" s="877"/>
      <c r="Q807" s="55"/>
      <c r="R807" s="55"/>
      <c r="S807" s="55"/>
      <c r="T807" s="0"/>
      <c r="U807" s="0"/>
      <c r="V807" s="0"/>
      <c r="W807" s="0"/>
      <c r="X807" s="0"/>
      <c r="Y807" s="0"/>
      <c r="Z807" s="0"/>
      <c r="AA807" s="0"/>
      <c r="AB807" s="0"/>
      <c r="AC807" s="0"/>
      <c r="AD807" s="0"/>
      <c r="AE807" s="0"/>
      <c r="AF807" s="0"/>
      <c r="AG807" s="0"/>
      <c r="AH807" s="0"/>
      <c r="AI807" s="0"/>
      <c r="AJ807" s="0"/>
      <c r="AK807" s="0"/>
      <c r="AL807" s="0"/>
      <c r="AM807" s="0"/>
      <c r="AN807" s="0"/>
      <c r="AO807" s="0"/>
      <c r="AP807" s="0"/>
      <c r="AQ807" s="0"/>
      <c r="AR807" s="0"/>
      <c r="AS807" s="0"/>
      <c r="AT807" s="0"/>
      <c r="AU807" s="0"/>
      <c r="AV807" s="0"/>
      <c r="AW807" s="0"/>
      <c r="AX807" s="0"/>
      <c r="AY807" s="0"/>
      <c r="AZ807" s="0"/>
      <c r="BA807" s="0"/>
      <c r="BB807" s="0"/>
      <c r="BC807" s="0"/>
      <c r="BD807" s="0"/>
      <c r="BE807" s="0"/>
      <c r="BF807" s="0"/>
      <c r="BG807" s="0"/>
      <c r="BH807" s="0"/>
      <c r="BI807" s="0"/>
      <c r="BJ807" s="0"/>
      <c r="BK807" s="0"/>
      <c r="BL807" s="0"/>
      <c r="BM807" s="0"/>
      <c r="BN807" s="0"/>
      <c r="BO807" s="0"/>
      <c r="BP807" s="0"/>
      <c r="BQ807" s="0"/>
      <c r="BR807" s="0"/>
      <c r="BS807" s="0"/>
      <c r="BT807" s="0"/>
      <c r="BU807" s="0"/>
      <c r="BV807" s="0"/>
      <c r="BW807" s="0"/>
      <c r="BX807" s="0"/>
      <c r="BY807" s="0"/>
      <c r="BZ807" s="0"/>
      <c r="CA807" s="0"/>
      <c r="CB807" s="0"/>
      <c r="CC807" s="0"/>
      <c r="CD807" s="0"/>
      <c r="CE807" s="0"/>
      <c r="CF807" s="0"/>
      <c r="CG807" s="0"/>
      <c r="CH807" s="0"/>
      <c r="CI807" s="0"/>
      <c r="CJ807" s="0"/>
      <c r="CK807" s="0"/>
      <c r="CL807" s="0"/>
      <c r="CM807" s="0"/>
      <c r="CN807" s="0"/>
      <c r="CO807" s="0"/>
      <c r="CP807" s="0"/>
      <c r="CQ807" s="0"/>
      <c r="CR807" s="0"/>
      <c r="CS807" s="0"/>
      <c r="CT807" s="0"/>
      <c r="CU807" s="0"/>
      <c r="CV807" s="0"/>
      <c r="CW807" s="0"/>
      <c r="CX807" s="0"/>
      <c r="CY807" s="0"/>
      <c r="CZ807" s="0"/>
      <c r="DA807" s="0"/>
      <c r="DB807" s="0"/>
      <c r="DC807" s="0"/>
      <c r="DD807" s="0"/>
      <c r="DE807" s="0"/>
      <c r="DF807" s="0"/>
      <c r="DG807" s="0"/>
      <c r="DH807" s="0"/>
      <c r="DI807" s="0"/>
      <c r="DJ807" s="0"/>
      <c r="DK807" s="0"/>
      <c r="DL807" s="0"/>
      <c r="DM807" s="0"/>
      <c r="DN807" s="0"/>
      <c r="DO807" s="0"/>
      <c r="DP807" s="0"/>
      <c r="DQ807" s="0"/>
      <c r="DR807" s="0"/>
      <c r="DS807" s="0"/>
      <c r="DT807" s="0"/>
      <c r="DU807" s="0"/>
      <c r="DV807" s="0"/>
      <c r="DW807" s="0"/>
      <c r="DX807" s="0"/>
      <c r="DY807" s="0"/>
      <c r="DZ807" s="0"/>
      <c r="EA807" s="0"/>
      <c r="EB807" s="0"/>
      <c r="EC807" s="0"/>
      <c r="ED807" s="0"/>
      <c r="EE807" s="0"/>
      <c r="EF807" s="0"/>
      <c r="EG807" s="0"/>
      <c r="EH807" s="0"/>
      <c r="EI807" s="0"/>
      <c r="EJ807" s="0"/>
      <c r="EK807" s="0"/>
      <c r="EL807" s="0"/>
      <c r="EM807" s="0"/>
      <c r="EN807" s="0"/>
      <c r="EO807" s="0"/>
      <c r="EP807" s="0"/>
      <c r="EQ807" s="0"/>
      <c r="ER807" s="0"/>
      <c r="ES807" s="0"/>
      <c r="ET807" s="0"/>
      <c r="EU807" s="0"/>
      <c r="EV807" s="0"/>
      <c r="EW807" s="0"/>
      <c r="EX807" s="0"/>
      <c r="EY807" s="0"/>
      <c r="EZ807" s="0"/>
      <c r="FA807" s="0"/>
      <c r="FB807" s="0"/>
      <c r="FC807" s="0"/>
      <c r="FD807" s="0"/>
      <c r="FE807" s="0"/>
      <c r="FF807" s="0"/>
      <c r="FG807" s="0"/>
      <c r="FH807" s="0"/>
      <c r="FI807" s="0"/>
      <c r="FJ807" s="0"/>
      <c r="FK807" s="0"/>
      <c r="FL807" s="0"/>
      <c r="FM807" s="0"/>
      <c r="FN807" s="0"/>
      <c r="FO807" s="0"/>
      <c r="FP807" s="0"/>
      <c r="FQ807" s="0"/>
      <c r="FR807" s="0"/>
      <c r="FS807" s="0"/>
      <c r="FT807" s="0"/>
      <c r="FU807" s="0"/>
      <c r="FV807" s="0"/>
      <c r="FW807" s="0"/>
      <c r="FX807" s="0"/>
      <c r="FY807" s="0"/>
      <c r="FZ807" s="0"/>
      <c r="GA807" s="0"/>
      <c r="GB807" s="0"/>
      <c r="GC807" s="0"/>
      <c r="GD807" s="0"/>
      <c r="GE807" s="0"/>
      <c r="GF807" s="0"/>
      <c r="GG807" s="0"/>
      <c r="GH807" s="0"/>
      <c r="GI807" s="0"/>
      <c r="GJ807" s="0"/>
      <c r="GK807" s="0"/>
      <c r="GL807" s="0"/>
      <c r="GM807" s="0"/>
      <c r="GN807" s="0"/>
      <c r="GO807" s="0"/>
      <c r="GP807" s="0"/>
      <c r="GQ807" s="0"/>
      <c r="GR807" s="0"/>
      <c r="GS807" s="0"/>
      <c r="GT807" s="0"/>
      <c r="GU807" s="0"/>
      <c r="GV807" s="0"/>
      <c r="GW807" s="0"/>
      <c r="GX807" s="0"/>
      <c r="GY807" s="0"/>
      <c r="GZ807" s="0"/>
      <c r="HA807" s="0"/>
      <c r="HB807" s="0"/>
      <c r="HC807" s="0"/>
      <c r="HD807" s="0"/>
      <c r="HE807" s="0"/>
      <c r="HF807" s="0"/>
      <c r="HG807" s="0"/>
      <c r="HH807" s="0"/>
      <c r="HI807" s="0"/>
      <c r="HJ807" s="0"/>
      <c r="HK807" s="0"/>
      <c r="HL807" s="0"/>
      <c r="HM807" s="0"/>
      <c r="HN807" s="0"/>
      <c r="HO807" s="0"/>
      <c r="HP807" s="0"/>
      <c r="HQ807" s="0"/>
      <c r="HR807" s="0"/>
      <c r="HS807" s="0"/>
      <c r="HT807" s="0"/>
      <c r="HU807" s="0"/>
      <c r="HV807" s="0"/>
      <c r="HW807" s="0"/>
      <c r="HX807" s="0"/>
      <c r="HY807" s="0"/>
      <c r="HZ807" s="0"/>
      <c r="IA807" s="0"/>
      <c r="IB807" s="0"/>
      <c r="IC807" s="0"/>
      <c r="ID807" s="0"/>
      <c r="IE807" s="0"/>
      <c r="IF807" s="0"/>
      <c r="IG807" s="0"/>
      <c r="IH807" s="0"/>
      <c r="II807" s="0"/>
      <c r="IJ807" s="0"/>
      <c r="IK807" s="0"/>
      <c r="IL807" s="0"/>
      <c r="IM807" s="0"/>
      <c r="IN807" s="0"/>
      <c r="IO807" s="0"/>
      <c r="IP807" s="0"/>
      <c r="IQ807" s="0"/>
      <c r="IR807" s="0"/>
      <c r="IS807" s="0"/>
      <c r="IT807" s="0"/>
      <c r="IU807" s="0"/>
      <c r="IV807" s="0"/>
    </row>
    <row r="808" customFormat="false" ht="20.1" hidden="false" customHeight="true" outlineLevel="0" collapsed="false">
      <c r="A808" s="1238"/>
      <c r="B808" s="1238"/>
      <c r="C808" s="1238"/>
      <c r="D808" s="1238"/>
      <c r="E808" s="1238"/>
      <c r="F808" s="1238"/>
      <c r="G808" s="822" t="e">
        <f aca="false">(C808/D808)*(E808/F808)</f>
        <v>#DIV/0!</v>
      </c>
      <c r="H808" s="1237" t="n">
        <f aca="false">IF(F808="",0,G808*E808)</f>
        <v>0</v>
      </c>
      <c r="I808" s="877"/>
      <c r="J808" s="877"/>
      <c r="K808" s="877"/>
      <c r="L808" s="877"/>
      <c r="M808" s="877"/>
      <c r="Q808" s="55"/>
      <c r="R808" s="55"/>
      <c r="S808" s="55"/>
      <c r="T808" s="0"/>
      <c r="U808" s="0"/>
      <c r="V808" s="0"/>
      <c r="W808" s="0"/>
      <c r="X808" s="0"/>
      <c r="Y808" s="0"/>
      <c r="Z808" s="0"/>
      <c r="AA808" s="0"/>
      <c r="AB808" s="0"/>
      <c r="AC808" s="0"/>
      <c r="AD808" s="0"/>
      <c r="AE808" s="0"/>
      <c r="AF808" s="0"/>
      <c r="AG808" s="0"/>
      <c r="AH808" s="0"/>
      <c r="AI808" s="0"/>
      <c r="AJ808" s="0"/>
      <c r="AK808" s="0"/>
      <c r="AL808" s="0"/>
      <c r="AM808" s="0"/>
      <c r="AN808" s="0"/>
      <c r="AO808" s="0"/>
      <c r="AP808" s="0"/>
      <c r="AQ808" s="0"/>
      <c r="AR808" s="0"/>
      <c r="AS808" s="0"/>
      <c r="AT808" s="0"/>
      <c r="AU808" s="0"/>
      <c r="AV808" s="0"/>
      <c r="AW808" s="0"/>
      <c r="AX808" s="0"/>
      <c r="AY808" s="0"/>
      <c r="AZ808" s="0"/>
      <c r="BA808" s="0"/>
      <c r="BB808" s="0"/>
      <c r="BC808" s="0"/>
      <c r="BD808" s="0"/>
      <c r="BE808" s="0"/>
      <c r="BF808" s="0"/>
      <c r="BG808" s="0"/>
      <c r="BH808" s="0"/>
      <c r="BI808" s="0"/>
      <c r="BJ808" s="0"/>
      <c r="BK808" s="0"/>
      <c r="BL808" s="0"/>
      <c r="BM808" s="0"/>
      <c r="BN808" s="0"/>
      <c r="BO808" s="0"/>
      <c r="BP808" s="0"/>
      <c r="BQ808" s="0"/>
      <c r="BR808" s="0"/>
      <c r="BS808" s="0"/>
      <c r="BT808" s="0"/>
      <c r="BU808" s="0"/>
      <c r="BV808" s="0"/>
      <c r="BW808" s="0"/>
      <c r="BX808" s="0"/>
      <c r="BY808" s="0"/>
      <c r="BZ808" s="0"/>
      <c r="CA808" s="0"/>
      <c r="CB808" s="0"/>
      <c r="CC808" s="0"/>
      <c r="CD808" s="0"/>
      <c r="CE808" s="0"/>
      <c r="CF808" s="0"/>
      <c r="CG808" s="0"/>
      <c r="CH808" s="0"/>
      <c r="CI808" s="0"/>
      <c r="CJ808" s="0"/>
      <c r="CK808" s="0"/>
      <c r="CL808" s="0"/>
      <c r="CM808" s="0"/>
      <c r="CN808" s="0"/>
      <c r="CO808" s="0"/>
      <c r="CP808" s="0"/>
      <c r="CQ808" s="0"/>
      <c r="CR808" s="0"/>
      <c r="CS808" s="0"/>
      <c r="CT808" s="0"/>
      <c r="CU808" s="0"/>
      <c r="CV808" s="0"/>
      <c r="CW808" s="0"/>
      <c r="CX808" s="0"/>
      <c r="CY808" s="0"/>
      <c r="CZ808" s="0"/>
      <c r="DA808" s="0"/>
      <c r="DB808" s="0"/>
      <c r="DC808" s="0"/>
      <c r="DD808" s="0"/>
      <c r="DE808" s="0"/>
      <c r="DF808" s="0"/>
      <c r="DG808" s="0"/>
      <c r="DH808" s="0"/>
      <c r="DI808" s="0"/>
      <c r="DJ808" s="0"/>
      <c r="DK808" s="0"/>
      <c r="DL808" s="0"/>
      <c r="DM808" s="0"/>
      <c r="DN808" s="0"/>
      <c r="DO808" s="0"/>
      <c r="DP808" s="0"/>
      <c r="DQ808" s="0"/>
      <c r="DR808" s="0"/>
      <c r="DS808" s="0"/>
      <c r="DT808" s="0"/>
      <c r="DU808" s="0"/>
      <c r="DV808" s="0"/>
      <c r="DW808" s="0"/>
      <c r="DX808" s="0"/>
      <c r="DY808" s="0"/>
      <c r="DZ808" s="0"/>
      <c r="EA808" s="0"/>
      <c r="EB808" s="0"/>
      <c r="EC808" s="0"/>
      <c r="ED808" s="0"/>
      <c r="EE808" s="0"/>
      <c r="EF808" s="0"/>
      <c r="EG808" s="0"/>
      <c r="EH808" s="0"/>
      <c r="EI808" s="0"/>
      <c r="EJ808" s="0"/>
      <c r="EK808" s="0"/>
      <c r="EL808" s="0"/>
      <c r="EM808" s="0"/>
      <c r="EN808" s="0"/>
      <c r="EO808" s="0"/>
      <c r="EP808" s="0"/>
      <c r="EQ808" s="0"/>
      <c r="ER808" s="0"/>
      <c r="ES808" s="0"/>
      <c r="ET808" s="0"/>
      <c r="EU808" s="0"/>
      <c r="EV808" s="0"/>
      <c r="EW808" s="0"/>
      <c r="EX808" s="0"/>
      <c r="EY808" s="0"/>
      <c r="EZ808" s="0"/>
      <c r="FA808" s="0"/>
      <c r="FB808" s="0"/>
      <c r="FC808" s="0"/>
      <c r="FD808" s="0"/>
      <c r="FE808" s="0"/>
      <c r="FF808" s="0"/>
      <c r="FG808" s="0"/>
      <c r="FH808" s="0"/>
      <c r="FI808" s="0"/>
      <c r="FJ808" s="0"/>
      <c r="FK808" s="0"/>
      <c r="FL808" s="0"/>
      <c r="FM808" s="0"/>
      <c r="FN808" s="0"/>
      <c r="FO808" s="0"/>
      <c r="FP808" s="0"/>
      <c r="FQ808" s="0"/>
      <c r="FR808" s="0"/>
      <c r="FS808" s="0"/>
      <c r="FT808" s="0"/>
      <c r="FU808" s="0"/>
      <c r="FV808" s="0"/>
      <c r="FW808" s="0"/>
      <c r="FX808" s="0"/>
      <c r="FY808" s="0"/>
      <c r="FZ808" s="0"/>
      <c r="GA808" s="0"/>
      <c r="GB808" s="0"/>
      <c r="GC808" s="0"/>
      <c r="GD808" s="0"/>
      <c r="GE808" s="0"/>
      <c r="GF808" s="0"/>
      <c r="GG808" s="0"/>
      <c r="GH808" s="0"/>
      <c r="GI808" s="0"/>
      <c r="GJ808" s="0"/>
      <c r="GK808" s="0"/>
      <c r="GL808" s="0"/>
      <c r="GM808" s="0"/>
      <c r="GN808" s="0"/>
      <c r="GO808" s="0"/>
      <c r="GP808" s="0"/>
      <c r="GQ808" s="0"/>
      <c r="GR808" s="0"/>
      <c r="GS808" s="0"/>
      <c r="GT808" s="0"/>
      <c r="GU808" s="0"/>
      <c r="GV808" s="0"/>
      <c r="GW808" s="0"/>
      <c r="GX808" s="0"/>
      <c r="GY808" s="0"/>
      <c r="GZ808" s="0"/>
      <c r="HA808" s="0"/>
      <c r="HB808" s="0"/>
      <c r="HC808" s="0"/>
      <c r="HD808" s="0"/>
      <c r="HE808" s="0"/>
      <c r="HF808" s="0"/>
      <c r="HG808" s="0"/>
      <c r="HH808" s="0"/>
      <c r="HI808" s="0"/>
      <c r="HJ808" s="0"/>
      <c r="HK808" s="0"/>
      <c r="HL808" s="0"/>
      <c r="HM808" s="0"/>
      <c r="HN808" s="0"/>
      <c r="HO808" s="0"/>
      <c r="HP808" s="0"/>
      <c r="HQ808" s="0"/>
      <c r="HR808" s="0"/>
      <c r="HS808" s="0"/>
      <c r="HT808" s="0"/>
      <c r="HU808" s="0"/>
      <c r="HV808" s="0"/>
      <c r="HW808" s="0"/>
      <c r="HX808" s="0"/>
      <c r="HY808" s="0"/>
      <c r="HZ808" s="0"/>
      <c r="IA808" s="0"/>
      <c r="IB808" s="0"/>
      <c r="IC808" s="0"/>
      <c r="ID808" s="0"/>
      <c r="IE808" s="0"/>
      <c r="IF808" s="0"/>
      <c r="IG808" s="0"/>
      <c r="IH808" s="0"/>
      <c r="II808" s="0"/>
      <c r="IJ808" s="0"/>
      <c r="IK808" s="0"/>
      <c r="IL808" s="0"/>
      <c r="IM808" s="0"/>
      <c r="IN808" s="0"/>
      <c r="IO808" s="0"/>
      <c r="IP808" s="0"/>
      <c r="IQ808" s="0"/>
      <c r="IR808" s="0"/>
      <c r="IS808" s="0"/>
      <c r="IT808" s="0"/>
      <c r="IU808" s="0"/>
      <c r="IV808" s="0"/>
    </row>
    <row r="809" customFormat="false" ht="20.1" hidden="false" customHeight="true" outlineLevel="0" collapsed="false">
      <c r="A809" s="1238"/>
      <c r="B809" s="1238"/>
      <c r="C809" s="1238"/>
      <c r="D809" s="1238"/>
      <c r="E809" s="1238"/>
      <c r="F809" s="1238"/>
      <c r="G809" s="822" t="e">
        <f aca="false">(C809/D809)*(E809/F809)</f>
        <v>#DIV/0!</v>
      </c>
      <c r="H809" s="1237" t="n">
        <f aca="false">IF(F809="",0,G809*E809)</f>
        <v>0</v>
      </c>
      <c r="I809" s="877"/>
      <c r="J809" s="877"/>
      <c r="K809" s="877"/>
      <c r="L809" s="877"/>
      <c r="M809" s="877"/>
      <c r="Q809" s="55"/>
      <c r="R809" s="55"/>
      <c r="S809" s="55"/>
      <c r="T809" s="0"/>
      <c r="U809" s="0"/>
      <c r="V809" s="0"/>
      <c r="W809" s="0"/>
      <c r="X809" s="0"/>
      <c r="Y809" s="0"/>
      <c r="Z809" s="0"/>
      <c r="AA809" s="0"/>
      <c r="AB809" s="0"/>
      <c r="AC809" s="0"/>
      <c r="AD809" s="0"/>
      <c r="AE809" s="0"/>
      <c r="AF809" s="0"/>
      <c r="AG809" s="0"/>
      <c r="AH809" s="0"/>
      <c r="AI809" s="0"/>
      <c r="AJ809" s="0"/>
      <c r="AK809" s="0"/>
      <c r="AL809" s="0"/>
      <c r="AM809" s="0"/>
      <c r="AN809" s="0"/>
      <c r="AO809" s="0"/>
      <c r="AP809" s="0"/>
      <c r="AQ809" s="0"/>
      <c r="AR809" s="0"/>
      <c r="AS809" s="0"/>
      <c r="AT809" s="0"/>
      <c r="AU809" s="0"/>
      <c r="AV809" s="0"/>
      <c r="AW809" s="0"/>
      <c r="AX809" s="0"/>
      <c r="AY809" s="0"/>
      <c r="AZ809" s="0"/>
      <c r="BA809" s="0"/>
      <c r="BB809" s="0"/>
      <c r="BC809" s="0"/>
      <c r="BD809" s="0"/>
      <c r="BE809" s="0"/>
      <c r="BF809" s="0"/>
      <c r="BG809" s="0"/>
      <c r="BH809" s="0"/>
      <c r="BI809" s="0"/>
      <c r="BJ809" s="0"/>
      <c r="BK809" s="0"/>
      <c r="BL809" s="0"/>
      <c r="BM809" s="0"/>
      <c r="BN809" s="0"/>
      <c r="BO809" s="0"/>
      <c r="BP809" s="0"/>
      <c r="BQ809" s="0"/>
      <c r="BR809" s="0"/>
      <c r="BS809" s="0"/>
      <c r="BT809" s="0"/>
      <c r="BU809" s="0"/>
      <c r="BV809" s="0"/>
      <c r="BW809" s="0"/>
      <c r="BX809" s="0"/>
      <c r="BY809" s="0"/>
      <c r="BZ809" s="0"/>
      <c r="CA809" s="0"/>
      <c r="CB809" s="0"/>
      <c r="CC809" s="0"/>
      <c r="CD809" s="0"/>
      <c r="CE809" s="0"/>
      <c r="CF809" s="0"/>
      <c r="CG809" s="0"/>
      <c r="CH809" s="0"/>
      <c r="CI809" s="0"/>
      <c r="CJ809" s="0"/>
      <c r="CK809" s="0"/>
      <c r="CL809" s="0"/>
      <c r="CM809" s="0"/>
      <c r="CN809" s="0"/>
      <c r="CO809" s="0"/>
      <c r="CP809" s="0"/>
      <c r="CQ809" s="0"/>
      <c r="CR809" s="0"/>
      <c r="CS809" s="0"/>
      <c r="CT809" s="0"/>
      <c r="CU809" s="0"/>
      <c r="CV809" s="0"/>
      <c r="CW809" s="0"/>
      <c r="CX809" s="0"/>
      <c r="CY809" s="0"/>
      <c r="CZ809" s="0"/>
      <c r="DA809" s="0"/>
      <c r="DB809" s="0"/>
      <c r="DC809" s="0"/>
      <c r="DD809" s="0"/>
      <c r="DE809" s="0"/>
      <c r="DF809" s="0"/>
      <c r="DG809" s="0"/>
      <c r="DH809" s="0"/>
      <c r="DI809" s="0"/>
      <c r="DJ809" s="0"/>
      <c r="DK809" s="0"/>
      <c r="DL809" s="0"/>
      <c r="DM809" s="0"/>
      <c r="DN809" s="0"/>
      <c r="DO809" s="0"/>
      <c r="DP809" s="0"/>
      <c r="DQ809" s="0"/>
      <c r="DR809" s="0"/>
      <c r="DS809" s="0"/>
      <c r="DT809" s="0"/>
      <c r="DU809" s="0"/>
      <c r="DV809" s="0"/>
      <c r="DW809" s="0"/>
      <c r="DX809" s="0"/>
      <c r="DY809" s="0"/>
      <c r="DZ809" s="0"/>
      <c r="EA809" s="0"/>
      <c r="EB809" s="0"/>
      <c r="EC809" s="0"/>
      <c r="ED809" s="0"/>
      <c r="EE809" s="0"/>
      <c r="EF809" s="0"/>
      <c r="EG809" s="0"/>
      <c r="EH809" s="0"/>
      <c r="EI809" s="0"/>
      <c r="EJ809" s="0"/>
      <c r="EK809" s="0"/>
      <c r="EL809" s="0"/>
      <c r="EM809" s="0"/>
      <c r="EN809" s="0"/>
      <c r="EO809" s="0"/>
      <c r="EP809" s="0"/>
      <c r="EQ809" s="0"/>
      <c r="ER809" s="0"/>
      <c r="ES809" s="0"/>
      <c r="ET809" s="0"/>
      <c r="EU809" s="0"/>
      <c r="EV809" s="0"/>
      <c r="EW809" s="0"/>
      <c r="EX809" s="0"/>
      <c r="EY809" s="0"/>
      <c r="EZ809" s="0"/>
      <c r="FA809" s="0"/>
      <c r="FB809" s="0"/>
      <c r="FC809" s="0"/>
      <c r="FD809" s="0"/>
      <c r="FE809" s="0"/>
      <c r="FF809" s="0"/>
      <c r="FG809" s="0"/>
      <c r="FH809" s="0"/>
      <c r="FI809" s="0"/>
      <c r="FJ809" s="0"/>
      <c r="FK809" s="0"/>
      <c r="FL809" s="0"/>
      <c r="FM809" s="0"/>
      <c r="FN809" s="0"/>
      <c r="FO809" s="0"/>
      <c r="FP809" s="0"/>
      <c r="FQ809" s="0"/>
      <c r="FR809" s="0"/>
      <c r="FS809" s="0"/>
      <c r="FT809" s="0"/>
      <c r="FU809" s="0"/>
      <c r="FV809" s="0"/>
      <c r="FW809" s="0"/>
      <c r="FX809" s="0"/>
      <c r="FY809" s="0"/>
      <c r="FZ809" s="0"/>
      <c r="GA809" s="0"/>
      <c r="GB809" s="0"/>
      <c r="GC809" s="0"/>
      <c r="GD809" s="0"/>
      <c r="GE809" s="0"/>
      <c r="GF809" s="0"/>
      <c r="GG809" s="0"/>
      <c r="GH809" s="0"/>
      <c r="GI809" s="0"/>
      <c r="GJ809" s="0"/>
      <c r="GK809" s="0"/>
      <c r="GL809" s="0"/>
      <c r="GM809" s="0"/>
      <c r="GN809" s="0"/>
      <c r="GO809" s="0"/>
      <c r="GP809" s="0"/>
      <c r="GQ809" s="0"/>
      <c r="GR809" s="0"/>
      <c r="GS809" s="0"/>
      <c r="GT809" s="0"/>
      <c r="GU809" s="0"/>
      <c r="GV809" s="0"/>
      <c r="GW809" s="0"/>
      <c r="GX809" s="0"/>
      <c r="GY809" s="0"/>
      <c r="GZ809" s="0"/>
      <c r="HA809" s="0"/>
      <c r="HB809" s="0"/>
      <c r="HC809" s="0"/>
      <c r="HD809" s="0"/>
      <c r="HE809" s="0"/>
      <c r="HF809" s="0"/>
      <c r="HG809" s="0"/>
      <c r="HH809" s="0"/>
      <c r="HI809" s="0"/>
      <c r="HJ809" s="0"/>
      <c r="HK809" s="0"/>
      <c r="HL809" s="0"/>
      <c r="HM809" s="0"/>
      <c r="HN809" s="0"/>
      <c r="HO809" s="0"/>
      <c r="HP809" s="0"/>
      <c r="HQ809" s="0"/>
      <c r="HR809" s="0"/>
      <c r="HS809" s="0"/>
      <c r="HT809" s="0"/>
      <c r="HU809" s="0"/>
      <c r="HV809" s="0"/>
      <c r="HW809" s="0"/>
      <c r="HX809" s="0"/>
      <c r="HY809" s="0"/>
      <c r="HZ809" s="0"/>
      <c r="IA809" s="0"/>
      <c r="IB809" s="0"/>
      <c r="IC809" s="0"/>
      <c r="ID809" s="0"/>
      <c r="IE809" s="0"/>
      <c r="IF809" s="0"/>
      <c r="IG809" s="0"/>
      <c r="IH809" s="0"/>
      <c r="II809" s="0"/>
      <c r="IJ809" s="0"/>
      <c r="IK809" s="0"/>
      <c r="IL809" s="0"/>
      <c r="IM809" s="0"/>
      <c r="IN809" s="0"/>
      <c r="IO809" s="0"/>
      <c r="IP809" s="0"/>
      <c r="IQ809" s="0"/>
      <c r="IR809" s="0"/>
      <c r="IS809" s="0"/>
      <c r="IT809" s="0"/>
      <c r="IU809" s="0"/>
      <c r="IV809" s="0"/>
    </row>
    <row r="810" customFormat="false" ht="20.1" hidden="false" customHeight="true" outlineLevel="0" collapsed="false">
      <c r="A810" s="1238"/>
      <c r="B810" s="1238"/>
      <c r="C810" s="1238"/>
      <c r="D810" s="1238"/>
      <c r="E810" s="1238"/>
      <c r="F810" s="1238"/>
      <c r="G810" s="822" t="e">
        <f aca="false">(C810/D810)*(E810/F810)</f>
        <v>#DIV/0!</v>
      </c>
      <c r="H810" s="1237" t="n">
        <f aca="false">IF(F810="",0,G810*E810)</f>
        <v>0</v>
      </c>
      <c r="I810" s="877"/>
      <c r="J810" s="877"/>
      <c r="K810" s="877"/>
      <c r="L810" s="877"/>
      <c r="M810" s="877"/>
      <c r="Q810" s="55"/>
      <c r="R810" s="55"/>
      <c r="S810" s="55"/>
      <c r="T810" s="0"/>
      <c r="U810" s="0"/>
      <c r="V810" s="0"/>
      <c r="W810" s="0"/>
      <c r="X810" s="0"/>
      <c r="Y810" s="0"/>
      <c r="Z810" s="0"/>
      <c r="AA810" s="0"/>
      <c r="AB810" s="0"/>
      <c r="AC810" s="0"/>
      <c r="AD810" s="0"/>
      <c r="AE810" s="0"/>
      <c r="AF810" s="0"/>
      <c r="AG810" s="0"/>
      <c r="AH810" s="0"/>
      <c r="AI810" s="0"/>
      <c r="AJ810" s="0"/>
      <c r="AK810" s="0"/>
      <c r="AL810" s="0"/>
      <c r="AM810" s="0"/>
      <c r="AN810" s="0"/>
      <c r="AO810" s="0"/>
      <c r="AP810" s="0"/>
      <c r="AQ810" s="0"/>
      <c r="AR810" s="0"/>
      <c r="AS810" s="0"/>
      <c r="AT810" s="0"/>
      <c r="AU810" s="0"/>
      <c r="AV810" s="0"/>
      <c r="AW810" s="0"/>
      <c r="AX810" s="0"/>
      <c r="AY810" s="0"/>
      <c r="AZ810" s="0"/>
      <c r="BA810" s="0"/>
      <c r="BB810" s="0"/>
      <c r="BC810" s="0"/>
      <c r="BD810" s="0"/>
      <c r="BE810" s="0"/>
      <c r="BF810" s="0"/>
      <c r="BG810" s="0"/>
      <c r="BH810" s="0"/>
      <c r="BI810" s="0"/>
      <c r="BJ810" s="0"/>
      <c r="BK810" s="0"/>
      <c r="BL810" s="0"/>
      <c r="BM810" s="0"/>
      <c r="BN810" s="0"/>
      <c r="BO810" s="0"/>
      <c r="BP810" s="0"/>
      <c r="BQ810" s="0"/>
      <c r="BR810" s="0"/>
      <c r="BS810" s="0"/>
      <c r="BT810" s="0"/>
      <c r="BU810" s="0"/>
      <c r="BV810" s="0"/>
      <c r="BW810" s="0"/>
      <c r="BX810" s="0"/>
      <c r="BY810" s="0"/>
      <c r="BZ810" s="0"/>
      <c r="CA810" s="0"/>
      <c r="CB810" s="0"/>
      <c r="CC810" s="0"/>
      <c r="CD810" s="0"/>
      <c r="CE810" s="0"/>
      <c r="CF810" s="0"/>
      <c r="CG810" s="0"/>
      <c r="CH810" s="0"/>
      <c r="CI810" s="0"/>
      <c r="CJ810" s="0"/>
      <c r="CK810" s="0"/>
      <c r="CL810" s="0"/>
      <c r="CM810" s="0"/>
      <c r="CN810" s="0"/>
      <c r="CO810" s="0"/>
      <c r="CP810" s="0"/>
      <c r="CQ810" s="0"/>
      <c r="CR810" s="0"/>
      <c r="CS810" s="0"/>
      <c r="CT810" s="0"/>
      <c r="CU810" s="0"/>
      <c r="CV810" s="0"/>
      <c r="CW810" s="0"/>
      <c r="CX810" s="0"/>
      <c r="CY810" s="0"/>
      <c r="CZ810" s="0"/>
      <c r="DA810" s="0"/>
      <c r="DB810" s="0"/>
      <c r="DC810" s="0"/>
      <c r="DD810" s="0"/>
      <c r="DE810" s="0"/>
      <c r="DF810" s="0"/>
      <c r="DG810" s="0"/>
      <c r="DH810" s="0"/>
      <c r="DI810" s="0"/>
      <c r="DJ810" s="0"/>
      <c r="DK810" s="0"/>
      <c r="DL810" s="0"/>
      <c r="DM810" s="0"/>
      <c r="DN810" s="0"/>
      <c r="DO810" s="0"/>
      <c r="DP810" s="0"/>
      <c r="DQ810" s="0"/>
      <c r="DR810" s="0"/>
      <c r="DS810" s="0"/>
      <c r="DT810" s="0"/>
      <c r="DU810" s="0"/>
      <c r="DV810" s="0"/>
      <c r="DW810" s="0"/>
      <c r="DX810" s="0"/>
      <c r="DY810" s="0"/>
      <c r="DZ810" s="0"/>
      <c r="EA810" s="0"/>
      <c r="EB810" s="0"/>
      <c r="EC810" s="0"/>
      <c r="ED810" s="0"/>
      <c r="EE810" s="0"/>
      <c r="EF810" s="0"/>
      <c r="EG810" s="0"/>
      <c r="EH810" s="0"/>
      <c r="EI810" s="0"/>
      <c r="EJ810" s="0"/>
      <c r="EK810" s="0"/>
      <c r="EL810" s="0"/>
      <c r="EM810" s="0"/>
      <c r="EN810" s="0"/>
      <c r="EO810" s="0"/>
      <c r="EP810" s="0"/>
      <c r="EQ810" s="0"/>
      <c r="ER810" s="0"/>
      <c r="ES810" s="0"/>
      <c r="ET810" s="0"/>
      <c r="EU810" s="0"/>
      <c r="EV810" s="0"/>
      <c r="EW810" s="0"/>
      <c r="EX810" s="0"/>
      <c r="EY810" s="0"/>
      <c r="EZ810" s="0"/>
      <c r="FA810" s="0"/>
      <c r="FB810" s="0"/>
      <c r="FC810" s="0"/>
      <c r="FD810" s="0"/>
      <c r="FE810" s="0"/>
      <c r="FF810" s="0"/>
      <c r="FG810" s="0"/>
      <c r="FH810" s="0"/>
      <c r="FI810" s="0"/>
      <c r="FJ810" s="0"/>
      <c r="FK810" s="0"/>
      <c r="FL810" s="0"/>
      <c r="FM810" s="0"/>
      <c r="FN810" s="0"/>
      <c r="FO810" s="0"/>
      <c r="FP810" s="0"/>
      <c r="FQ810" s="0"/>
      <c r="FR810" s="0"/>
      <c r="FS810" s="0"/>
      <c r="FT810" s="0"/>
      <c r="FU810" s="0"/>
      <c r="FV810" s="0"/>
      <c r="FW810" s="0"/>
      <c r="FX810" s="0"/>
      <c r="FY810" s="0"/>
      <c r="FZ810" s="0"/>
      <c r="GA810" s="0"/>
      <c r="GB810" s="0"/>
      <c r="GC810" s="0"/>
      <c r="GD810" s="0"/>
      <c r="GE810" s="0"/>
      <c r="GF810" s="0"/>
      <c r="GG810" s="0"/>
      <c r="GH810" s="0"/>
      <c r="GI810" s="0"/>
      <c r="GJ810" s="0"/>
      <c r="GK810" s="0"/>
      <c r="GL810" s="0"/>
      <c r="GM810" s="0"/>
      <c r="GN810" s="0"/>
      <c r="GO810" s="0"/>
      <c r="GP810" s="0"/>
      <c r="GQ810" s="0"/>
      <c r="GR810" s="0"/>
      <c r="GS810" s="0"/>
      <c r="GT810" s="0"/>
      <c r="GU810" s="0"/>
      <c r="GV810" s="0"/>
      <c r="GW810" s="0"/>
      <c r="GX810" s="0"/>
      <c r="GY810" s="0"/>
      <c r="GZ810" s="0"/>
      <c r="HA810" s="0"/>
      <c r="HB810" s="0"/>
      <c r="HC810" s="0"/>
      <c r="HD810" s="0"/>
      <c r="HE810" s="0"/>
      <c r="HF810" s="0"/>
      <c r="HG810" s="0"/>
      <c r="HH810" s="0"/>
      <c r="HI810" s="0"/>
      <c r="HJ810" s="0"/>
      <c r="HK810" s="0"/>
      <c r="HL810" s="0"/>
      <c r="HM810" s="0"/>
      <c r="HN810" s="0"/>
      <c r="HO810" s="0"/>
      <c r="HP810" s="0"/>
      <c r="HQ810" s="0"/>
      <c r="HR810" s="0"/>
      <c r="HS810" s="0"/>
      <c r="HT810" s="0"/>
      <c r="HU810" s="0"/>
      <c r="HV810" s="0"/>
      <c r="HW810" s="0"/>
      <c r="HX810" s="0"/>
      <c r="HY810" s="0"/>
      <c r="HZ810" s="0"/>
      <c r="IA810" s="0"/>
      <c r="IB810" s="0"/>
      <c r="IC810" s="0"/>
      <c r="ID810" s="0"/>
      <c r="IE810" s="0"/>
      <c r="IF810" s="0"/>
      <c r="IG810" s="0"/>
      <c r="IH810" s="0"/>
      <c r="II810" s="0"/>
      <c r="IJ810" s="0"/>
      <c r="IK810" s="0"/>
      <c r="IL810" s="0"/>
      <c r="IM810" s="0"/>
      <c r="IN810" s="0"/>
      <c r="IO810" s="0"/>
      <c r="IP810" s="0"/>
      <c r="IQ810" s="0"/>
      <c r="IR810" s="0"/>
      <c r="IS810" s="0"/>
      <c r="IT810" s="0"/>
      <c r="IU810" s="0"/>
      <c r="IV810" s="0"/>
    </row>
    <row r="811" customFormat="false" ht="20.1" hidden="false" customHeight="true" outlineLevel="0" collapsed="false">
      <c r="A811" s="1238"/>
      <c r="B811" s="1238"/>
      <c r="C811" s="1238"/>
      <c r="D811" s="1238"/>
      <c r="E811" s="1238"/>
      <c r="F811" s="1238"/>
      <c r="G811" s="822" t="e">
        <f aca="false">(C811/D811)*(E811/F811)</f>
        <v>#DIV/0!</v>
      </c>
      <c r="H811" s="1237" t="n">
        <f aca="false">IF(F811="",0,G811*E811)</f>
        <v>0</v>
      </c>
      <c r="I811" s="877"/>
      <c r="J811" s="877"/>
      <c r="K811" s="877"/>
      <c r="L811" s="877"/>
      <c r="M811" s="877"/>
      <c r="Q811" s="55"/>
      <c r="R811" s="55"/>
      <c r="S811" s="55"/>
      <c r="T811" s="0"/>
      <c r="U811" s="0"/>
      <c r="V811" s="0"/>
      <c r="W811" s="0"/>
      <c r="X811" s="0"/>
      <c r="Y811" s="0"/>
      <c r="Z811" s="0"/>
      <c r="AA811" s="0"/>
      <c r="AB811" s="0"/>
      <c r="AC811" s="0"/>
      <c r="AD811" s="0"/>
      <c r="AE811" s="0"/>
      <c r="AF811" s="0"/>
      <c r="AG811" s="0"/>
      <c r="AH811" s="0"/>
      <c r="AI811" s="0"/>
      <c r="AJ811" s="0"/>
      <c r="AK811" s="0"/>
      <c r="AL811" s="0"/>
      <c r="AM811" s="0"/>
      <c r="AN811" s="0"/>
      <c r="AO811" s="0"/>
      <c r="AP811" s="0"/>
      <c r="AQ811" s="0"/>
      <c r="AR811" s="0"/>
      <c r="AS811" s="0"/>
      <c r="AT811" s="0"/>
      <c r="AU811" s="0"/>
      <c r="AV811" s="0"/>
      <c r="AW811" s="0"/>
      <c r="AX811" s="0"/>
      <c r="AY811" s="0"/>
      <c r="AZ811" s="0"/>
      <c r="BA811" s="0"/>
      <c r="BB811" s="0"/>
      <c r="BC811" s="0"/>
      <c r="BD811" s="0"/>
      <c r="BE811" s="0"/>
      <c r="BF811" s="0"/>
      <c r="BG811" s="0"/>
      <c r="BH811" s="0"/>
      <c r="BI811" s="0"/>
      <c r="BJ811" s="0"/>
      <c r="BK811" s="0"/>
      <c r="BL811" s="0"/>
      <c r="BM811" s="0"/>
      <c r="BN811" s="0"/>
      <c r="BO811" s="0"/>
      <c r="BP811" s="0"/>
      <c r="BQ811" s="0"/>
      <c r="BR811" s="0"/>
      <c r="BS811" s="0"/>
      <c r="BT811" s="0"/>
      <c r="BU811" s="0"/>
      <c r="BV811" s="0"/>
      <c r="BW811" s="0"/>
      <c r="BX811" s="0"/>
      <c r="BY811" s="0"/>
      <c r="BZ811" s="0"/>
      <c r="CA811" s="0"/>
      <c r="CB811" s="0"/>
      <c r="CC811" s="0"/>
      <c r="CD811" s="0"/>
      <c r="CE811" s="0"/>
      <c r="CF811" s="0"/>
      <c r="CG811" s="0"/>
      <c r="CH811" s="0"/>
      <c r="CI811" s="0"/>
      <c r="CJ811" s="0"/>
      <c r="CK811" s="0"/>
      <c r="CL811" s="0"/>
      <c r="CM811" s="0"/>
      <c r="CN811" s="0"/>
      <c r="CO811" s="0"/>
      <c r="CP811" s="0"/>
      <c r="CQ811" s="0"/>
      <c r="CR811" s="0"/>
      <c r="CS811" s="0"/>
      <c r="CT811" s="0"/>
      <c r="CU811" s="0"/>
      <c r="CV811" s="0"/>
      <c r="CW811" s="0"/>
      <c r="CX811" s="0"/>
      <c r="CY811" s="0"/>
      <c r="CZ811" s="0"/>
      <c r="DA811" s="0"/>
      <c r="DB811" s="0"/>
      <c r="DC811" s="0"/>
      <c r="DD811" s="0"/>
      <c r="DE811" s="0"/>
      <c r="DF811" s="0"/>
      <c r="DG811" s="0"/>
      <c r="DH811" s="0"/>
      <c r="DI811" s="0"/>
      <c r="DJ811" s="0"/>
      <c r="DK811" s="0"/>
      <c r="DL811" s="0"/>
      <c r="DM811" s="0"/>
      <c r="DN811" s="0"/>
      <c r="DO811" s="0"/>
      <c r="DP811" s="0"/>
      <c r="DQ811" s="0"/>
      <c r="DR811" s="0"/>
      <c r="DS811" s="0"/>
      <c r="DT811" s="0"/>
      <c r="DU811" s="0"/>
      <c r="DV811" s="0"/>
      <c r="DW811" s="0"/>
      <c r="DX811" s="0"/>
      <c r="DY811" s="0"/>
      <c r="DZ811" s="0"/>
      <c r="EA811" s="0"/>
      <c r="EB811" s="0"/>
      <c r="EC811" s="0"/>
      <c r="ED811" s="0"/>
      <c r="EE811" s="0"/>
      <c r="EF811" s="0"/>
      <c r="EG811" s="0"/>
      <c r="EH811" s="0"/>
      <c r="EI811" s="0"/>
      <c r="EJ811" s="0"/>
      <c r="EK811" s="0"/>
      <c r="EL811" s="0"/>
      <c r="EM811" s="0"/>
      <c r="EN811" s="0"/>
      <c r="EO811" s="0"/>
      <c r="EP811" s="0"/>
      <c r="EQ811" s="0"/>
      <c r="ER811" s="0"/>
      <c r="ES811" s="0"/>
      <c r="ET811" s="0"/>
      <c r="EU811" s="0"/>
      <c r="EV811" s="0"/>
      <c r="EW811" s="0"/>
      <c r="EX811" s="0"/>
      <c r="EY811" s="0"/>
      <c r="EZ811" s="0"/>
      <c r="FA811" s="0"/>
      <c r="FB811" s="0"/>
      <c r="FC811" s="0"/>
      <c r="FD811" s="0"/>
      <c r="FE811" s="0"/>
      <c r="FF811" s="0"/>
      <c r="FG811" s="0"/>
      <c r="FH811" s="0"/>
      <c r="FI811" s="0"/>
      <c r="FJ811" s="0"/>
      <c r="FK811" s="0"/>
      <c r="FL811" s="0"/>
      <c r="FM811" s="0"/>
      <c r="FN811" s="0"/>
      <c r="FO811" s="0"/>
      <c r="FP811" s="0"/>
      <c r="FQ811" s="0"/>
      <c r="FR811" s="0"/>
      <c r="FS811" s="0"/>
      <c r="FT811" s="0"/>
      <c r="FU811" s="0"/>
      <c r="FV811" s="0"/>
      <c r="FW811" s="0"/>
      <c r="FX811" s="0"/>
      <c r="FY811" s="0"/>
      <c r="FZ811" s="0"/>
      <c r="GA811" s="0"/>
      <c r="GB811" s="0"/>
      <c r="GC811" s="0"/>
      <c r="GD811" s="0"/>
      <c r="GE811" s="0"/>
      <c r="GF811" s="0"/>
      <c r="GG811" s="0"/>
      <c r="GH811" s="0"/>
      <c r="GI811" s="0"/>
      <c r="GJ811" s="0"/>
      <c r="GK811" s="0"/>
      <c r="GL811" s="0"/>
      <c r="GM811" s="0"/>
      <c r="GN811" s="0"/>
      <c r="GO811" s="0"/>
      <c r="GP811" s="0"/>
      <c r="GQ811" s="0"/>
      <c r="GR811" s="0"/>
      <c r="GS811" s="0"/>
      <c r="GT811" s="0"/>
      <c r="GU811" s="0"/>
      <c r="GV811" s="0"/>
      <c r="GW811" s="0"/>
      <c r="GX811" s="0"/>
      <c r="GY811" s="0"/>
      <c r="GZ811" s="0"/>
      <c r="HA811" s="0"/>
      <c r="HB811" s="0"/>
      <c r="HC811" s="0"/>
      <c r="HD811" s="0"/>
      <c r="HE811" s="0"/>
      <c r="HF811" s="0"/>
      <c r="HG811" s="0"/>
      <c r="HH811" s="0"/>
      <c r="HI811" s="0"/>
      <c r="HJ811" s="0"/>
      <c r="HK811" s="0"/>
      <c r="HL811" s="0"/>
      <c r="HM811" s="0"/>
      <c r="HN811" s="0"/>
      <c r="HO811" s="0"/>
      <c r="HP811" s="0"/>
      <c r="HQ811" s="0"/>
      <c r="HR811" s="0"/>
      <c r="HS811" s="0"/>
      <c r="HT811" s="0"/>
      <c r="HU811" s="0"/>
      <c r="HV811" s="0"/>
      <c r="HW811" s="0"/>
      <c r="HX811" s="0"/>
      <c r="HY811" s="0"/>
      <c r="HZ811" s="0"/>
      <c r="IA811" s="0"/>
      <c r="IB811" s="0"/>
      <c r="IC811" s="0"/>
      <c r="ID811" s="0"/>
      <c r="IE811" s="0"/>
      <c r="IF811" s="0"/>
      <c r="IG811" s="0"/>
      <c r="IH811" s="0"/>
      <c r="II811" s="0"/>
      <c r="IJ811" s="0"/>
      <c r="IK811" s="0"/>
      <c r="IL811" s="0"/>
      <c r="IM811" s="0"/>
      <c r="IN811" s="0"/>
      <c r="IO811" s="0"/>
      <c r="IP811" s="0"/>
      <c r="IQ811" s="0"/>
      <c r="IR811" s="0"/>
      <c r="IS811" s="0"/>
      <c r="IT811" s="0"/>
      <c r="IU811" s="0"/>
      <c r="IV811" s="0"/>
    </row>
    <row r="812" customFormat="false" ht="15" hidden="false" customHeight="true" outlineLevel="0" collapsed="false">
      <c r="A812" s="1238"/>
      <c r="B812" s="1238"/>
      <c r="C812" s="1238"/>
      <c r="D812" s="1238"/>
      <c r="E812" s="1238"/>
      <c r="F812" s="1238"/>
      <c r="G812" s="822" t="e">
        <f aca="false">(C812/D812)*(E812/F812)</f>
        <v>#DIV/0!</v>
      </c>
      <c r="H812" s="1237" t="n">
        <f aca="false">IF(F812="",0,G812*E812)</f>
        <v>0</v>
      </c>
      <c r="I812" s="877"/>
      <c r="J812" s="877"/>
      <c r="K812" s="877"/>
      <c r="L812" s="877"/>
      <c r="M812" s="877"/>
      <c r="Q812" s="55"/>
      <c r="R812" s="55"/>
      <c r="S812" s="55"/>
      <c r="T812" s="0"/>
      <c r="U812" s="0"/>
      <c r="V812" s="0"/>
      <c r="W812" s="0"/>
      <c r="X812" s="0"/>
      <c r="Y812" s="0"/>
      <c r="Z812" s="0"/>
      <c r="AA812" s="0"/>
      <c r="AB812" s="0"/>
      <c r="AC812" s="0"/>
      <c r="AD812" s="0"/>
      <c r="AE812" s="0"/>
      <c r="AF812" s="0"/>
      <c r="AG812" s="0"/>
      <c r="AH812" s="0"/>
      <c r="AI812" s="0"/>
      <c r="AJ812" s="0"/>
      <c r="AK812" s="0"/>
      <c r="AL812" s="0"/>
      <c r="AM812" s="0"/>
      <c r="AN812" s="0"/>
      <c r="AO812" s="0"/>
      <c r="AP812" s="0"/>
      <c r="AQ812" s="0"/>
      <c r="AR812" s="0"/>
      <c r="AS812" s="0"/>
      <c r="AT812" s="0"/>
      <c r="AU812" s="0"/>
      <c r="AV812" s="0"/>
      <c r="AW812" s="0"/>
      <c r="AX812" s="0"/>
      <c r="AY812" s="0"/>
      <c r="AZ812" s="0"/>
      <c r="BA812" s="0"/>
      <c r="BB812" s="0"/>
      <c r="BC812" s="0"/>
      <c r="BD812" s="0"/>
      <c r="BE812" s="0"/>
      <c r="BF812" s="0"/>
      <c r="BG812" s="0"/>
      <c r="BH812" s="0"/>
      <c r="BI812" s="0"/>
      <c r="BJ812" s="0"/>
      <c r="BK812" s="0"/>
      <c r="BL812" s="0"/>
      <c r="BM812" s="0"/>
      <c r="BN812" s="0"/>
      <c r="BO812" s="0"/>
      <c r="BP812" s="0"/>
      <c r="BQ812" s="0"/>
      <c r="BR812" s="0"/>
      <c r="BS812" s="0"/>
      <c r="BT812" s="0"/>
      <c r="BU812" s="0"/>
      <c r="BV812" s="0"/>
      <c r="BW812" s="0"/>
      <c r="BX812" s="0"/>
      <c r="BY812" s="0"/>
      <c r="BZ812" s="0"/>
      <c r="CA812" s="0"/>
      <c r="CB812" s="0"/>
      <c r="CC812" s="0"/>
      <c r="CD812" s="0"/>
      <c r="CE812" s="0"/>
      <c r="CF812" s="0"/>
      <c r="CG812" s="0"/>
      <c r="CH812" s="0"/>
      <c r="CI812" s="0"/>
      <c r="CJ812" s="0"/>
      <c r="CK812" s="0"/>
      <c r="CL812" s="0"/>
      <c r="CM812" s="0"/>
      <c r="CN812" s="0"/>
      <c r="CO812" s="0"/>
      <c r="CP812" s="0"/>
      <c r="CQ812" s="0"/>
      <c r="CR812" s="0"/>
      <c r="CS812" s="0"/>
      <c r="CT812" s="0"/>
      <c r="CU812" s="0"/>
      <c r="CV812" s="0"/>
      <c r="CW812" s="0"/>
      <c r="CX812" s="0"/>
      <c r="CY812" s="0"/>
      <c r="CZ812" s="0"/>
      <c r="DA812" s="0"/>
      <c r="DB812" s="0"/>
      <c r="DC812" s="0"/>
      <c r="DD812" s="0"/>
      <c r="DE812" s="0"/>
      <c r="DF812" s="0"/>
      <c r="DG812" s="0"/>
      <c r="DH812" s="0"/>
      <c r="DI812" s="0"/>
      <c r="DJ812" s="0"/>
      <c r="DK812" s="0"/>
      <c r="DL812" s="0"/>
      <c r="DM812" s="0"/>
      <c r="DN812" s="0"/>
      <c r="DO812" s="0"/>
      <c r="DP812" s="0"/>
      <c r="DQ812" s="0"/>
      <c r="DR812" s="0"/>
      <c r="DS812" s="0"/>
      <c r="DT812" s="0"/>
      <c r="DU812" s="0"/>
      <c r="DV812" s="0"/>
      <c r="DW812" s="0"/>
      <c r="DX812" s="0"/>
      <c r="DY812" s="0"/>
      <c r="DZ812" s="0"/>
      <c r="EA812" s="0"/>
      <c r="EB812" s="0"/>
      <c r="EC812" s="0"/>
      <c r="ED812" s="0"/>
      <c r="EE812" s="0"/>
      <c r="EF812" s="0"/>
      <c r="EG812" s="0"/>
      <c r="EH812" s="0"/>
      <c r="EI812" s="0"/>
      <c r="EJ812" s="0"/>
      <c r="EK812" s="0"/>
      <c r="EL812" s="0"/>
      <c r="EM812" s="0"/>
      <c r="EN812" s="0"/>
      <c r="EO812" s="0"/>
      <c r="EP812" s="0"/>
      <c r="EQ812" s="0"/>
      <c r="ER812" s="0"/>
      <c r="ES812" s="0"/>
      <c r="ET812" s="0"/>
      <c r="EU812" s="0"/>
      <c r="EV812" s="0"/>
      <c r="EW812" s="0"/>
      <c r="EX812" s="0"/>
      <c r="EY812" s="0"/>
      <c r="EZ812" s="0"/>
      <c r="FA812" s="0"/>
      <c r="FB812" s="0"/>
      <c r="FC812" s="0"/>
      <c r="FD812" s="0"/>
      <c r="FE812" s="0"/>
      <c r="FF812" s="0"/>
      <c r="FG812" s="0"/>
      <c r="FH812" s="0"/>
      <c r="FI812" s="0"/>
      <c r="FJ812" s="0"/>
      <c r="FK812" s="0"/>
      <c r="FL812" s="0"/>
      <c r="FM812" s="0"/>
      <c r="FN812" s="0"/>
      <c r="FO812" s="0"/>
      <c r="FP812" s="0"/>
      <c r="FQ812" s="0"/>
      <c r="FR812" s="0"/>
      <c r="FS812" s="0"/>
      <c r="FT812" s="0"/>
      <c r="FU812" s="0"/>
      <c r="FV812" s="0"/>
      <c r="FW812" s="0"/>
      <c r="FX812" s="0"/>
      <c r="FY812" s="0"/>
      <c r="FZ812" s="0"/>
      <c r="GA812" s="0"/>
      <c r="GB812" s="0"/>
      <c r="GC812" s="0"/>
      <c r="GD812" s="0"/>
      <c r="GE812" s="0"/>
      <c r="GF812" s="0"/>
      <c r="GG812" s="0"/>
      <c r="GH812" s="0"/>
      <c r="GI812" s="0"/>
      <c r="GJ812" s="0"/>
      <c r="GK812" s="0"/>
      <c r="GL812" s="0"/>
      <c r="GM812" s="0"/>
      <c r="GN812" s="0"/>
      <c r="GO812" s="0"/>
      <c r="GP812" s="0"/>
      <c r="GQ812" s="0"/>
      <c r="GR812" s="0"/>
      <c r="GS812" s="0"/>
      <c r="GT812" s="0"/>
      <c r="GU812" s="0"/>
      <c r="GV812" s="0"/>
      <c r="GW812" s="0"/>
      <c r="GX812" s="0"/>
      <c r="GY812" s="0"/>
      <c r="GZ812" s="0"/>
      <c r="HA812" s="0"/>
      <c r="HB812" s="0"/>
      <c r="HC812" s="0"/>
      <c r="HD812" s="0"/>
      <c r="HE812" s="0"/>
      <c r="HF812" s="0"/>
      <c r="HG812" s="0"/>
      <c r="HH812" s="0"/>
      <c r="HI812" s="0"/>
      <c r="HJ812" s="0"/>
      <c r="HK812" s="0"/>
      <c r="HL812" s="0"/>
      <c r="HM812" s="0"/>
      <c r="HN812" s="0"/>
      <c r="HO812" s="0"/>
      <c r="HP812" s="0"/>
      <c r="HQ812" s="0"/>
      <c r="HR812" s="0"/>
      <c r="HS812" s="0"/>
      <c r="HT812" s="0"/>
      <c r="HU812" s="0"/>
      <c r="HV812" s="0"/>
      <c r="HW812" s="0"/>
      <c r="HX812" s="0"/>
      <c r="HY812" s="0"/>
      <c r="HZ812" s="0"/>
      <c r="IA812" s="0"/>
      <c r="IB812" s="0"/>
      <c r="IC812" s="0"/>
      <c r="ID812" s="0"/>
      <c r="IE812" s="0"/>
      <c r="IF812" s="0"/>
      <c r="IG812" s="0"/>
      <c r="IH812" s="0"/>
      <c r="II812" s="0"/>
      <c r="IJ812" s="0"/>
      <c r="IK812" s="0"/>
      <c r="IL812" s="0"/>
      <c r="IM812" s="0"/>
      <c r="IN812" s="0"/>
      <c r="IO812" s="0"/>
      <c r="IP812" s="0"/>
      <c r="IQ812" s="0"/>
      <c r="IR812" s="0"/>
      <c r="IS812" s="0"/>
      <c r="IT812" s="0"/>
      <c r="IU812" s="0"/>
      <c r="IV812" s="0"/>
    </row>
    <row r="813" customFormat="false" ht="15" hidden="false" customHeight="true" outlineLevel="0" collapsed="false">
      <c r="A813" s="1238"/>
      <c r="B813" s="1238"/>
      <c r="C813" s="1238"/>
      <c r="D813" s="1238"/>
      <c r="E813" s="1238"/>
      <c r="F813" s="1238"/>
      <c r="G813" s="822" t="e">
        <f aca="false">(C813/D813)*(E813/F813)</f>
        <v>#DIV/0!</v>
      </c>
      <c r="H813" s="1237" t="n">
        <f aca="false">IF(F813="",0,G813*E813)</f>
        <v>0</v>
      </c>
      <c r="I813" s="877"/>
      <c r="J813" s="1239"/>
      <c r="K813" s="877"/>
      <c r="L813" s="877"/>
      <c r="M813" s="877"/>
      <c r="Q813" s="55"/>
      <c r="R813" s="55"/>
      <c r="S813" s="55"/>
      <c r="T813" s="0"/>
      <c r="U813" s="0"/>
      <c r="V813" s="0"/>
      <c r="W813" s="0"/>
      <c r="X813" s="0"/>
      <c r="Y813" s="0"/>
      <c r="Z813" s="0"/>
      <c r="AA813" s="0"/>
      <c r="AB813" s="0"/>
      <c r="AC813" s="0"/>
      <c r="AD813" s="0"/>
      <c r="AE813" s="0"/>
      <c r="AF813" s="0"/>
      <c r="AG813" s="0"/>
      <c r="AH813" s="0"/>
      <c r="AI813" s="0"/>
      <c r="AJ813" s="0"/>
      <c r="AK813" s="0"/>
      <c r="AL813" s="0"/>
      <c r="AM813" s="0"/>
      <c r="AN813" s="0"/>
      <c r="AO813" s="0"/>
      <c r="AP813" s="0"/>
      <c r="AQ813" s="0"/>
      <c r="AR813" s="0"/>
      <c r="AS813" s="0"/>
      <c r="AT813" s="0"/>
      <c r="AU813" s="0"/>
      <c r="AV813" s="0"/>
      <c r="AW813" s="0"/>
      <c r="AX813" s="0"/>
      <c r="AY813" s="0"/>
      <c r="AZ813" s="0"/>
      <c r="BA813" s="0"/>
      <c r="BB813" s="0"/>
      <c r="BC813" s="0"/>
      <c r="BD813" s="0"/>
      <c r="BE813" s="0"/>
      <c r="BF813" s="0"/>
      <c r="BG813" s="0"/>
      <c r="BH813" s="0"/>
      <c r="BI813" s="0"/>
      <c r="BJ813" s="0"/>
      <c r="BK813" s="0"/>
      <c r="BL813" s="0"/>
      <c r="BM813" s="0"/>
      <c r="BN813" s="0"/>
      <c r="BO813" s="0"/>
      <c r="BP813" s="0"/>
      <c r="BQ813" s="0"/>
      <c r="BR813" s="0"/>
      <c r="BS813" s="0"/>
      <c r="BT813" s="0"/>
      <c r="BU813" s="0"/>
      <c r="BV813" s="0"/>
      <c r="BW813" s="0"/>
      <c r="BX813" s="0"/>
      <c r="BY813" s="0"/>
      <c r="BZ813" s="0"/>
      <c r="CA813" s="0"/>
      <c r="CB813" s="0"/>
      <c r="CC813" s="0"/>
      <c r="CD813" s="0"/>
      <c r="CE813" s="0"/>
      <c r="CF813" s="0"/>
      <c r="CG813" s="0"/>
      <c r="CH813" s="0"/>
      <c r="CI813" s="0"/>
      <c r="CJ813" s="0"/>
      <c r="CK813" s="0"/>
      <c r="CL813" s="0"/>
      <c r="CM813" s="0"/>
      <c r="CN813" s="0"/>
      <c r="CO813" s="0"/>
      <c r="CP813" s="0"/>
      <c r="CQ813" s="0"/>
      <c r="CR813" s="0"/>
      <c r="CS813" s="0"/>
      <c r="CT813" s="0"/>
      <c r="CU813" s="0"/>
      <c r="CV813" s="0"/>
      <c r="CW813" s="0"/>
      <c r="CX813" s="0"/>
      <c r="CY813" s="0"/>
      <c r="CZ813" s="0"/>
      <c r="DA813" s="0"/>
      <c r="DB813" s="0"/>
      <c r="DC813" s="0"/>
      <c r="DD813" s="0"/>
      <c r="DE813" s="0"/>
      <c r="DF813" s="0"/>
      <c r="DG813" s="0"/>
      <c r="DH813" s="0"/>
      <c r="DI813" s="0"/>
      <c r="DJ813" s="0"/>
      <c r="DK813" s="0"/>
      <c r="DL813" s="0"/>
      <c r="DM813" s="0"/>
      <c r="DN813" s="0"/>
      <c r="DO813" s="0"/>
      <c r="DP813" s="0"/>
      <c r="DQ813" s="0"/>
      <c r="DR813" s="0"/>
      <c r="DS813" s="0"/>
      <c r="DT813" s="0"/>
      <c r="DU813" s="0"/>
      <c r="DV813" s="0"/>
      <c r="DW813" s="0"/>
      <c r="DX813" s="0"/>
      <c r="DY813" s="0"/>
      <c r="DZ813" s="0"/>
      <c r="EA813" s="0"/>
      <c r="EB813" s="0"/>
      <c r="EC813" s="0"/>
      <c r="ED813" s="0"/>
      <c r="EE813" s="0"/>
      <c r="EF813" s="0"/>
      <c r="EG813" s="0"/>
      <c r="EH813" s="0"/>
      <c r="EI813" s="0"/>
      <c r="EJ813" s="0"/>
      <c r="EK813" s="0"/>
      <c r="EL813" s="0"/>
      <c r="EM813" s="0"/>
      <c r="EN813" s="0"/>
      <c r="EO813" s="0"/>
      <c r="EP813" s="0"/>
      <c r="EQ813" s="0"/>
      <c r="ER813" s="0"/>
      <c r="ES813" s="0"/>
      <c r="ET813" s="0"/>
      <c r="EU813" s="0"/>
      <c r="EV813" s="0"/>
      <c r="EW813" s="0"/>
      <c r="EX813" s="0"/>
      <c r="EY813" s="0"/>
      <c r="EZ813" s="0"/>
      <c r="FA813" s="0"/>
      <c r="FB813" s="0"/>
      <c r="FC813" s="0"/>
      <c r="FD813" s="0"/>
      <c r="FE813" s="0"/>
      <c r="FF813" s="0"/>
      <c r="FG813" s="0"/>
      <c r="FH813" s="0"/>
      <c r="FI813" s="0"/>
      <c r="FJ813" s="0"/>
      <c r="FK813" s="0"/>
      <c r="FL813" s="0"/>
      <c r="FM813" s="0"/>
      <c r="FN813" s="0"/>
      <c r="FO813" s="0"/>
      <c r="FP813" s="0"/>
      <c r="FQ813" s="0"/>
      <c r="FR813" s="0"/>
      <c r="FS813" s="0"/>
      <c r="FT813" s="0"/>
      <c r="FU813" s="0"/>
      <c r="FV813" s="0"/>
      <c r="FW813" s="0"/>
      <c r="FX813" s="0"/>
      <c r="FY813" s="0"/>
      <c r="FZ813" s="0"/>
      <c r="GA813" s="0"/>
      <c r="GB813" s="0"/>
      <c r="GC813" s="0"/>
      <c r="GD813" s="0"/>
      <c r="GE813" s="0"/>
      <c r="GF813" s="0"/>
      <c r="GG813" s="0"/>
      <c r="GH813" s="0"/>
      <c r="GI813" s="0"/>
      <c r="GJ813" s="0"/>
      <c r="GK813" s="0"/>
      <c r="GL813" s="0"/>
      <c r="GM813" s="0"/>
      <c r="GN813" s="0"/>
      <c r="GO813" s="0"/>
      <c r="GP813" s="0"/>
      <c r="GQ813" s="0"/>
      <c r="GR813" s="0"/>
      <c r="GS813" s="0"/>
      <c r="GT813" s="0"/>
      <c r="GU813" s="0"/>
      <c r="GV813" s="0"/>
      <c r="GW813" s="0"/>
      <c r="GX813" s="0"/>
      <c r="GY813" s="0"/>
      <c r="GZ813" s="0"/>
      <c r="HA813" s="0"/>
      <c r="HB813" s="0"/>
      <c r="HC813" s="0"/>
      <c r="HD813" s="0"/>
      <c r="HE813" s="0"/>
      <c r="HF813" s="0"/>
      <c r="HG813" s="0"/>
      <c r="HH813" s="0"/>
      <c r="HI813" s="0"/>
      <c r="HJ813" s="0"/>
      <c r="HK813" s="0"/>
      <c r="HL813" s="0"/>
      <c r="HM813" s="0"/>
      <c r="HN813" s="0"/>
      <c r="HO813" s="0"/>
      <c r="HP813" s="0"/>
      <c r="HQ813" s="0"/>
      <c r="HR813" s="0"/>
      <c r="HS813" s="0"/>
      <c r="HT813" s="0"/>
      <c r="HU813" s="0"/>
      <c r="HV813" s="0"/>
      <c r="HW813" s="0"/>
      <c r="HX813" s="0"/>
      <c r="HY813" s="0"/>
      <c r="HZ813" s="0"/>
      <c r="IA813" s="0"/>
      <c r="IB813" s="0"/>
      <c r="IC813" s="0"/>
      <c r="ID813" s="0"/>
      <c r="IE813" s="0"/>
      <c r="IF813" s="0"/>
      <c r="IG813" s="0"/>
      <c r="IH813" s="0"/>
      <c r="II813" s="0"/>
      <c r="IJ813" s="0"/>
      <c r="IK813" s="0"/>
      <c r="IL813" s="0"/>
      <c r="IM813" s="0"/>
      <c r="IN813" s="0"/>
      <c r="IO813" s="0"/>
      <c r="IP813" s="0"/>
      <c r="IQ813" s="0"/>
      <c r="IR813" s="0"/>
      <c r="IS813" s="0"/>
      <c r="IT813" s="0"/>
      <c r="IU813" s="0"/>
      <c r="IV813" s="0"/>
    </row>
    <row r="814" customFormat="false" ht="15" hidden="false" customHeight="true" outlineLevel="0" collapsed="false">
      <c r="A814" s="1238"/>
      <c r="B814" s="1238"/>
      <c r="C814" s="1238"/>
      <c r="D814" s="1238"/>
      <c r="E814" s="1238"/>
      <c r="F814" s="1238"/>
      <c r="G814" s="822" t="e">
        <f aca="false">(C814/D814)*(E814/F814)</f>
        <v>#DIV/0!</v>
      </c>
      <c r="H814" s="1237" t="n">
        <f aca="false">IF(F814="",0,G814*E814)</f>
        <v>0</v>
      </c>
      <c r="I814" s="877"/>
      <c r="J814" s="1239"/>
      <c r="K814" s="877"/>
      <c r="L814" s="877"/>
      <c r="M814" s="877"/>
      <c r="Q814" s="55"/>
      <c r="R814" s="55"/>
      <c r="S814" s="55"/>
      <c r="T814" s="0"/>
      <c r="U814" s="0"/>
      <c r="V814" s="0"/>
      <c r="W814" s="0"/>
      <c r="X814" s="0"/>
      <c r="Y814" s="0"/>
      <c r="Z814" s="0"/>
      <c r="AA814" s="0"/>
      <c r="AB814" s="0"/>
      <c r="AC814" s="0"/>
      <c r="AD814" s="0"/>
      <c r="AE814" s="0"/>
      <c r="AF814" s="0"/>
      <c r="AG814" s="0"/>
      <c r="AH814" s="0"/>
      <c r="AI814" s="0"/>
      <c r="AJ814" s="0"/>
      <c r="AK814" s="0"/>
      <c r="AL814" s="0"/>
      <c r="AM814" s="0"/>
      <c r="AN814" s="0"/>
      <c r="AO814" s="0"/>
      <c r="AP814" s="0"/>
      <c r="AQ814" s="0"/>
      <c r="AR814" s="0"/>
      <c r="AS814" s="0"/>
      <c r="AT814" s="0"/>
      <c r="AU814" s="0"/>
      <c r="AV814" s="0"/>
      <c r="AW814" s="0"/>
      <c r="AX814" s="0"/>
      <c r="AY814" s="0"/>
      <c r="AZ814" s="0"/>
      <c r="BA814" s="0"/>
      <c r="BB814" s="0"/>
      <c r="BC814" s="0"/>
      <c r="BD814" s="0"/>
      <c r="BE814" s="0"/>
      <c r="BF814" s="0"/>
      <c r="BG814" s="0"/>
      <c r="BH814" s="0"/>
      <c r="BI814" s="0"/>
      <c r="BJ814" s="0"/>
      <c r="BK814" s="0"/>
      <c r="BL814" s="0"/>
      <c r="BM814" s="0"/>
      <c r="BN814" s="0"/>
      <c r="BO814" s="0"/>
      <c r="BP814" s="0"/>
      <c r="BQ814" s="0"/>
      <c r="BR814" s="0"/>
      <c r="BS814" s="0"/>
      <c r="BT814" s="0"/>
      <c r="BU814" s="0"/>
      <c r="BV814" s="0"/>
      <c r="BW814" s="0"/>
      <c r="BX814" s="0"/>
      <c r="BY814" s="0"/>
      <c r="BZ814" s="0"/>
      <c r="CA814" s="0"/>
      <c r="CB814" s="0"/>
      <c r="CC814" s="0"/>
      <c r="CD814" s="0"/>
      <c r="CE814" s="0"/>
      <c r="CF814" s="0"/>
      <c r="CG814" s="0"/>
      <c r="CH814" s="0"/>
      <c r="CI814" s="0"/>
      <c r="CJ814" s="0"/>
      <c r="CK814" s="0"/>
      <c r="CL814" s="0"/>
      <c r="CM814" s="0"/>
      <c r="CN814" s="0"/>
      <c r="CO814" s="0"/>
      <c r="CP814" s="0"/>
      <c r="CQ814" s="0"/>
      <c r="CR814" s="0"/>
      <c r="CS814" s="0"/>
      <c r="CT814" s="0"/>
      <c r="CU814" s="0"/>
      <c r="CV814" s="0"/>
      <c r="CW814" s="0"/>
      <c r="CX814" s="0"/>
      <c r="CY814" s="0"/>
      <c r="CZ814" s="0"/>
      <c r="DA814" s="0"/>
      <c r="DB814" s="0"/>
      <c r="DC814" s="0"/>
      <c r="DD814" s="0"/>
      <c r="DE814" s="0"/>
      <c r="DF814" s="0"/>
      <c r="DG814" s="0"/>
      <c r="DH814" s="0"/>
      <c r="DI814" s="0"/>
      <c r="DJ814" s="0"/>
      <c r="DK814" s="0"/>
      <c r="DL814" s="0"/>
      <c r="DM814" s="0"/>
      <c r="DN814" s="0"/>
      <c r="DO814" s="0"/>
      <c r="DP814" s="0"/>
      <c r="DQ814" s="0"/>
      <c r="DR814" s="0"/>
      <c r="DS814" s="0"/>
      <c r="DT814" s="0"/>
      <c r="DU814" s="0"/>
      <c r="DV814" s="0"/>
      <c r="DW814" s="0"/>
      <c r="DX814" s="0"/>
      <c r="DY814" s="0"/>
      <c r="DZ814" s="0"/>
      <c r="EA814" s="0"/>
      <c r="EB814" s="0"/>
      <c r="EC814" s="0"/>
      <c r="ED814" s="0"/>
      <c r="EE814" s="0"/>
      <c r="EF814" s="0"/>
      <c r="EG814" s="0"/>
      <c r="EH814" s="0"/>
      <c r="EI814" s="0"/>
      <c r="EJ814" s="0"/>
      <c r="EK814" s="0"/>
      <c r="EL814" s="0"/>
      <c r="EM814" s="0"/>
      <c r="EN814" s="0"/>
      <c r="EO814" s="0"/>
      <c r="EP814" s="0"/>
      <c r="EQ814" s="0"/>
      <c r="ER814" s="0"/>
      <c r="ES814" s="0"/>
      <c r="ET814" s="0"/>
      <c r="EU814" s="0"/>
      <c r="EV814" s="0"/>
      <c r="EW814" s="0"/>
      <c r="EX814" s="0"/>
      <c r="EY814" s="0"/>
      <c r="EZ814" s="0"/>
      <c r="FA814" s="0"/>
      <c r="FB814" s="0"/>
      <c r="FC814" s="0"/>
      <c r="FD814" s="0"/>
      <c r="FE814" s="0"/>
      <c r="FF814" s="0"/>
      <c r="FG814" s="0"/>
      <c r="FH814" s="0"/>
      <c r="FI814" s="0"/>
      <c r="FJ814" s="0"/>
      <c r="FK814" s="0"/>
      <c r="FL814" s="0"/>
      <c r="FM814" s="0"/>
      <c r="FN814" s="0"/>
      <c r="FO814" s="0"/>
      <c r="FP814" s="0"/>
      <c r="FQ814" s="0"/>
      <c r="FR814" s="0"/>
      <c r="FS814" s="0"/>
      <c r="FT814" s="0"/>
      <c r="FU814" s="0"/>
      <c r="FV814" s="0"/>
      <c r="FW814" s="0"/>
      <c r="FX814" s="0"/>
      <c r="FY814" s="0"/>
      <c r="FZ814" s="0"/>
      <c r="GA814" s="0"/>
      <c r="GB814" s="0"/>
      <c r="GC814" s="0"/>
      <c r="GD814" s="0"/>
      <c r="GE814" s="0"/>
      <c r="GF814" s="0"/>
      <c r="GG814" s="0"/>
      <c r="GH814" s="0"/>
      <c r="GI814" s="0"/>
      <c r="GJ814" s="0"/>
      <c r="GK814" s="0"/>
      <c r="GL814" s="0"/>
      <c r="GM814" s="0"/>
      <c r="GN814" s="0"/>
      <c r="GO814" s="0"/>
      <c r="GP814" s="0"/>
      <c r="GQ814" s="0"/>
      <c r="GR814" s="0"/>
      <c r="GS814" s="0"/>
      <c r="GT814" s="0"/>
      <c r="GU814" s="0"/>
      <c r="GV814" s="0"/>
      <c r="GW814" s="0"/>
      <c r="GX814" s="0"/>
      <c r="GY814" s="0"/>
      <c r="GZ814" s="0"/>
      <c r="HA814" s="0"/>
      <c r="HB814" s="0"/>
      <c r="HC814" s="0"/>
      <c r="HD814" s="0"/>
      <c r="HE814" s="0"/>
      <c r="HF814" s="0"/>
      <c r="HG814" s="0"/>
      <c r="HH814" s="0"/>
      <c r="HI814" s="0"/>
      <c r="HJ814" s="0"/>
      <c r="HK814" s="0"/>
      <c r="HL814" s="0"/>
      <c r="HM814" s="0"/>
      <c r="HN814" s="0"/>
      <c r="HO814" s="0"/>
      <c r="HP814" s="0"/>
      <c r="HQ814" s="0"/>
      <c r="HR814" s="0"/>
      <c r="HS814" s="0"/>
      <c r="HT814" s="0"/>
      <c r="HU814" s="0"/>
      <c r="HV814" s="0"/>
      <c r="HW814" s="0"/>
      <c r="HX814" s="0"/>
      <c r="HY814" s="0"/>
      <c r="HZ814" s="0"/>
      <c r="IA814" s="0"/>
      <c r="IB814" s="0"/>
      <c r="IC814" s="0"/>
      <c r="ID814" s="0"/>
      <c r="IE814" s="0"/>
      <c r="IF814" s="0"/>
      <c r="IG814" s="0"/>
      <c r="IH814" s="0"/>
      <c r="II814" s="0"/>
      <c r="IJ814" s="0"/>
      <c r="IK814" s="0"/>
      <c r="IL814" s="0"/>
      <c r="IM814" s="0"/>
      <c r="IN814" s="0"/>
      <c r="IO814" s="0"/>
      <c r="IP814" s="0"/>
      <c r="IQ814" s="0"/>
      <c r="IR814" s="0"/>
      <c r="IS814" s="0"/>
      <c r="IT814" s="0"/>
      <c r="IU814" s="0"/>
      <c r="IV814" s="0"/>
    </row>
    <row r="815" customFormat="false" ht="15" hidden="false" customHeight="true" outlineLevel="0" collapsed="false">
      <c r="A815" s="1238"/>
      <c r="B815" s="1238"/>
      <c r="C815" s="1238"/>
      <c r="D815" s="1238"/>
      <c r="E815" s="1238"/>
      <c r="F815" s="1238"/>
      <c r="G815" s="822" t="e">
        <f aca="false">(C815/D815)*(E815/F815)</f>
        <v>#DIV/0!</v>
      </c>
      <c r="H815" s="1237" t="n">
        <f aca="false">IF(F815="",0,G815*E815)</f>
        <v>0</v>
      </c>
      <c r="I815" s="877"/>
      <c r="J815" s="877"/>
      <c r="K815" s="877"/>
      <c r="L815" s="877"/>
      <c r="M815" s="877"/>
      <c r="Q815" s="55"/>
      <c r="R815" s="55"/>
      <c r="S815" s="55"/>
      <c r="T815" s="0"/>
      <c r="U815" s="0"/>
      <c r="V815" s="0"/>
      <c r="W815" s="0"/>
      <c r="X815" s="0"/>
      <c r="Y815" s="0"/>
      <c r="Z815" s="0"/>
      <c r="AA815" s="0"/>
      <c r="AB815" s="0"/>
      <c r="AC815" s="0"/>
      <c r="AD815" s="0"/>
      <c r="AE815" s="0"/>
      <c r="AF815" s="0"/>
      <c r="AG815" s="0"/>
      <c r="AH815" s="0"/>
      <c r="AI815" s="0"/>
      <c r="AJ815" s="0"/>
      <c r="AK815" s="0"/>
      <c r="AL815" s="0"/>
      <c r="AM815" s="0"/>
      <c r="AN815" s="0"/>
      <c r="AO815" s="0"/>
      <c r="AP815" s="0"/>
      <c r="AQ815" s="0"/>
      <c r="AR815" s="0"/>
      <c r="AS815" s="0"/>
      <c r="AT815" s="0"/>
      <c r="AU815" s="0"/>
      <c r="AV815" s="0"/>
      <c r="AW815" s="0"/>
      <c r="AX815" s="0"/>
      <c r="AY815" s="0"/>
      <c r="AZ815" s="0"/>
      <c r="BA815" s="0"/>
      <c r="BB815" s="0"/>
      <c r="BC815" s="0"/>
      <c r="BD815" s="0"/>
      <c r="BE815" s="0"/>
      <c r="BF815" s="0"/>
      <c r="BG815" s="0"/>
      <c r="BH815" s="0"/>
      <c r="BI815" s="0"/>
      <c r="BJ815" s="0"/>
      <c r="BK815" s="0"/>
      <c r="BL815" s="0"/>
      <c r="BM815" s="0"/>
      <c r="BN815" s="0"/>
      <c r="BO815" s="0"/>
      <c r="BP815" s="0"/>
      <c r="BQ815" s="0"/>
      <c r="BR815" s="0"/>
      <c r="BS815" s="0"/>
      <c r="BT815" s="0"/>
      <c r="BU815" s="0"/>
      <c r="BV815" s="0"/>
      <c r="BW815" s="0"/>
      <c r="BX815" s="0"/>
      <c r="BY815" s="0"/>
      <c r="BZ815" s="0"/>
      <c r="CA815" s="0"/>
      <c r="CB815" s="0"/>
      <c r="CC815" s="0"/>
      <c r="CD815" s="0"/>
      <c r="CE815" s="0"/>
      <c r="CF815" s="0"/>
      <c r="CG815" s="0"/>
      <c r="CH815" s="0"/>
      <c r="CI815" s="0"/>
      <c r="CJ815" s="0"/>
      <c r="CK815" s="0"/>
      <c r="CL815" s="0"/>
      <c r="CM815" s="0"/>
      <c r="CN815" s="0"/>
      <c r="CO815" s="0"/>
      <c r="CP815" s="0"/>
      <c r="CQ815" s="0"/>
      <c r="CR815" s="0"/>
      <c r="CS815" s="0"/>
      <c r="CT815" s="0"/>
      <c r="CU815" s="0"/>
      <c r="CV815" s="0"/>
      <c r="CW815" s="0"/>
      <c r="CX815" s="0"/>
      <c r="CY815" s="0"/>
      <c r="CZ815" s="0"/>
      <c r="DA815" s="0"/>
      <c r="DB815" s="0"/>
      <c r="DC815" s="0"/>
      <c r="DD815" s="0"/>
      <c r="DE815" s="0"/>
      <c r="DF815" s="0"/>
      <c r="DG815" s="0"/>
      <c r="DH815" s="0"/>
      <c r="DI815" s="0"/>
      <c r="DJ815" s="0"/>
      <c r="DK815" s="0"/>
      <c r="DL815" s="0"/>
      <c r="DM815" s="0"/>
      <c r="DN815" s="0"/>
      <c r="DO815" s="0"/>
      <c r="DP815" s="0"/>
      <c r="DQ815" s="0"/>
      <c r="DR815" s="0"/>
      <c r="DS815" s="0"/>
      <c r="DT815" s="0"/>
      <c r="DU815" s="0"/>
      <c r="DV815" s="0"/>
      <c r="DW815" s="0"/>
      <c r="DX815" s="0"/>
      <c r="DY815" s="0"/>
      <c r="DZ815" s="0"/>
      <c r="EA815" s="0"/>
      <c r="EB815" s="0"/>
      <c r="EC815" s="0"/>
      <c r="ED815" s="0"/>
      <c r="EE815" s="0"/>
      <c r="EF815" s="0"/>
      <c r="EG815" s="0"/>
      <c r="EH815" s="0"/>
      <c r="EI815" s="0"/>
      <c r="EJ815" s="0"/>
      <c r="EK815" s="0"/>
      <c r="EL815" s="0"/>
      <c r="EM815" s="0"/>
      <c r="EN815" s="0"/>
      <c r="EO815" s="0"/>
      <c r="EP815" s="0"/>
      <c r="EQ815" s="0"/>
      <c r="ER815" s="0"/>
      <c r="ES815" s="0"/>
      <c r="ET815" s="0"/>
      <c r="EU815" s="0"/>
      <c r="EV815" s="0"/>
      <c r="EW815" s="0"/>
      <c r="EX815" s="0"/>
      <c r="EY815" s="0"/>
      <c r="EZ815" s="0"/>
      <c r="FA815" s="0"/>
      <c r="FB815" s="0"/>
      <c r="FC815" s="0"/>
      <c r="FD815" s="0"/>
      <c r="FE815" s="0"/>
      <c r="FF815" s="0"/>
      <c r="FG815" s="0"/>
      <c r="FH815" s="0"/>
      <c r="FI815" s="0"/>
      <c r="FJ815" s="0"/>
      <c r="FK815" s="0"/>
      <c r="FL815" s="0"/>
      <c r="FM815" s="0"/>
      <c r="FN815" s="0"/>
      <c r="FO815" s="0"/>
      <c r="FP815" s="0"/>
      <c r="FQ815" s="0"/>
      <c r="FR815" s="0"/>
      <c r="FS815" s="0"/>
      <c r="FT815" s="0"/>
      <c r="FU815" s="0"/>
      <c r="FV815" s="0"/>
      <c r="FW815" s="0"/>
      <c r="FX815" s="0"/>
      <c r="FY815" s="0"/>
      <c r="FZ815" s="0"/>
      <c r="GA815" s="0"/>
      <c r="GB815" s="0"/>
      <c r="GC815" s="0"/>
      <c r="GD815" s="0"/>
      <c r="GE815" s="0"/>
      <c r="GF815" s="0"/>
      <c r="GG815" s="0"/>
      <c r="GH815" s="0"/>
      <c r="GI815" s="0"/>
      <c r="GJ815" s="0"/>
      <c r="GK815" s="0"/>
      <c r="GL815" s="0"/>
      <c r="GM815" s="0"/>
      <c r="GN815" s="0"/>
      <c r="GO815" s="0"/>
      <c r="GP815" s="0"/>
      <c r="GQ815" s="0"/>
      <c r="GR815" s="0"/>
      <c r="GS815" s="0"/>
      <c r="GT815" s="0"/>
      <c r="GU815" s="0"/>
      <c r="GV815" s="0"/>
      <c r="GW815" s="0"/>
      <c r="GX815" s="0"/>
      <c r="GY815" s="0"/>
      <c r="GZ815" s="0"/>
      <c r="HA815" s="0"/>
      <c r="HB815" s="0"/>
      <c r="HC815" s="0"/>
      <c r="HD815" s="0"/>
      <c r="HE815" s="0"/>
      <c r="HF815" s="0"/>
      <c r="HG815" s="0"/>
      <c r="HH815" s="0"/>
      <c r="HI815" s="0"/>
      <c r="HJ815" s="0"/>
      <c r="HK815" s="0"/>
      <c r="HL815" s="0"/>
      <c r="HM815" s="0"/>
      <c r="HN815" s="0"/>
      <c r="HO815" s="0"/>
      <c r="HP815" s="0"/>
      <c r="HQ815" s="0"/>
      <c r="HR815" s="0"/>
      <c r="HS815" s="0"/>
      <c r="HT815" s="0"/>
      <c r="HU815" s="0"/>
      <c r="HV815" s="0"/>
      <c r="HW815" s="0"/>
      <c r="HX815" s="0"/>
      <c r="HY815" s="0"/>
      <c r="HZ815" s="0"/>
      <c r="IA815" s="0"/>
      <c r="IB815" s="0"/>
      <c r="IC815" s="0"/>
      <c r="ID815" s="0"/>
      <c r="IE815" s="0"/>
      <c r="IF815" s="0"/>
      <c r="IG815" s="0"/>
      <c r="IH815" s="0"/>
      <c r="II815" s="0"/>
      <c r="IJ815" s="0"/>
      <c r="IK815" s="0"/>
      <c r="IL815" s="0"/>
      <c r="IM815" s="0"/>
      <c r="IN815" s="0"/>
      <c r="IO815" s="0"/>
      <c r="IP815" s="0"/>
      <c r="IQ815" s="0"/>
      <c r="IR815" s="0"/>
      <c r="IS815" s="0"/>
      <c r="IT815" s="0"/>
      <c r="IU815" s="0"/>
      <c r="IV815" s="0"/>
    </row>
    <row r="816" customFormat="false" ht="28.5" hidden="false" customHeight="true" outlineLevel="0" collapsed="false">
      <c r="A816" s="0"/>
      <c r="B816" s="0"/>
      <c r="C816" s="0"/>
      <c r="D816" s="0"/>
      <c r="E816" s="0"/>
      <c r="F816" s="0"/>
      <c r="G816" s="0"/>
      <c r="H816" s="0"/>
      <c r="I816" s="0"/>
      <c r="J816" s="11"/>
      <c r="K816" s="903"/>
      <c r="L816" s="877"/>
      <c r="M816" s="0"/>
      <c r="Q816" s="55"/>
      <c r="R816" s="55"/>
      <c r="S816" s="55"/>
      <c r="T816" s="0"/>
      <c r="U816" s="0"/>
      <c r="V816" s="0"/>
      <c r="W816" s="0"/>
      <c r="X816" s="0"/>
      <c r="Y816" s="0"/>
      <c r="Z816" s="0"/>
      <c r="AA816" s="0"/>
      <c r="AB816" s="0"/>
      <c r="AC816" s="0"/>
      <c r="AD816" s="0"/>
      <c r="AE816" s="0"/>
      <c r="AF816" s="0"/>
      <c r="AG816" s="0"/>
      <c r="AH816" s="0"/>
      <c r="AI816" s="0"/>
      <c r="AJ816" s="0"/>
      <c r="AK816" s="0"/>
      <c r="AL816" s="0"/>
      <c r="AM816" s="0"/>
      <c r="AN816" s="0"/>
      <c r="AO816" s="0"/>
      <c r="AP816" s="0"/>
      <c r="AQ816" s="0"/>
      <c r="AR816" s="0"/>
      <c r="AS816" s="0"/>
      <c r="AT816" s="0"/>
      <c r="AU816" s="0"/>
      <c r="AV816" s="0"/>
      <c r="AW816" s="0"/>
      <c r="AX816" s="0"/>
      <c r="AY816" s="0"/>
      <c r="AZ816" s="0"/>
      <c r="BA816" s="0"/>
      <c r="BB816" s="0"/>
      <c r="BC816" s="0"/>
      <c r="BD816" s="0"/>
      <c r="BE816" s="0"/>
      <c r="BF816" s="0"/>
      <c r="BG816" s="0"/>
      <c r="BH816" s="0"/>
      <c r="BI816" s="0"/>
      <c r="BJ816" s="0"/>
      <c r="BK816" s="0"/>
      <c r="BL816" s="0"/>
      <c r="BM816" s="0"/>
      <c r="BN816" s="0"/>
      <c r="BO816" s="0"/>
      <c r="BP816" s="0"/>
      <c r="BQ816" s="0"/>
      <c r="BR816" s="0"/>
      <c r="BS816" s="0"/>
      <c r="BT816" s="0"/>
      <c r="BU816" s="0"/>
      <c r="BV816" s="0"/>
      <c r="BW816" s="0"/>
      <c r="BX816" s="0"/>
      <c r="BY816" s="0"/>
      <c r="BZ816" s="0"/>
      <c r="CA816" s="0"/>
      <c r="CB816" s="0"/>
      <c r="CC816" s="0"/>
      <c r="CD816" s="0"/>
      <c r="CE816" s="0"/>
      <c r="CF816" s="0"/>
      <c r="CG816" s="0"/>
      <c r="CH816" s="0"/>
      <c r="CI816" s="0"/>
      <c r="CJ816" s="0"/>
      <c r="CK816" s="0"/>
      <c r="CL816" s="0"/>
      <c r="CM816" s="0"/>
      <c r="CN816" s="0"/>
      <c r="CO816" s="0"/>
      <c r="CP816" s="0"/>
      <c r="CQ816" s="0"/>
      <c r="CR816" s="0"/>
      <c r="CS816" s="0"/>
      <c r="CT816" s="0"/>
      <c r="CU816" s="0"/>
      <c r="CV816" s="0"/>
      <c r="CW816" s="0"/>
      <c r="CX816" s="0"/>
      <c r="CY816" s="0"/>
      <c r="CZ816" s="0"/>
      <c r="DA816" s="0"/>
      <c r="DB816" s="0"/>
      <c r="DC816" s="0"/>
      <c r="DD816" s="0"/>
      <c r="DE816" s="0"/>
      <c r="DF816" s="0"/>
      <c r="DG816" s="0"/>
      <c r="DH816" s="0"/>
      <c r="DI816" s="0"/>
      <c r="DJ816" s="0"/>
      <c r="DK816" s="0"/>
      <c r="DL816" s="0"/>
      <c r="DM816" s="0"/>
      <c r="DN816" s="0"/>
      <c r="DO816" s="0"/>
      <c r="DP816" s="0"/>
      <c r="DQ816" s="0"/>
      <c r="DR816" s="0"/>
      <c r="DS816" s="0"/>
      <c r="DT816" s="0"/>
      <c r="DU816" s="0"/>
      <c r="DV816" s="0"/>
      <c r="DW816" s="0"/>
      <c r="DX816" s="0"/>
      <c r="DY816" s="0"/>
      <c r="DZ816" s="0"/>
      <c r="EA816" s="0"/>
      <c r="EB816" s="0"/>
      <c r="EC816" s="0"/>
      <c r="ED816" s="0"/>
      <c r="EE816" s="0"/>
      <c r="EF816" s="0"/>
      <c r="EG816" s="0"/>
      <c r="EH816" s="0"/>
      <c r="EI816" s="0"/>
      <c r="EJ816" s="0"/>
      <c r="EK816" s="0"/>
      <c r="EL816" s="0"/>
      <c r="EM816" s="0"/>
      <c r="EN816" s="0"/>
      <c r="EO816" s="0"/>
      <c r="EP816" s="0"/>
      <c r="EQ816" s="0"/>
      <c r="ER816" s="0"/>
      <c r="ES816" s="0"/>
      <c r="ET816" s="0"/>
      <c r="EU816" s="0"/>
      <c r="EV816" s="0"/>
      <c r="EW816" s="0"/>
      <c r="EX816" s="0"/>
      <c r="EY816" s="0"/>
      <c r="EZ816" s="0"/>
      <c r="FA816" s="0"/>
      <c r="FB816" s="0"/>
      <c r="FC816" s="0"/>
      <c r="FD816" s="0"/>
      <c r="FE816" s="0"/>
      <c r="FF816" s="0"/>
      <c r="FG816" s="0"/>
      <c r="FH816" s="0"/>
      <c r="FI816" s="0"/>
      <c r="FJ816" s="0"/>
      <c r="FK816" s="0"/>
      <c r="FL816" s="0"/>
      <c r="FM816" s="0"/>
      <c r="FN816" s="0"/>
      <c r="FO816" s="0"/>
      <c r="FP816" s="0"/>
      <c r="FQ816" s="0"/>
      <c r="FR816" s="0"/>
      <c r="FS816" s="0"/>
      <c r="FT816" s="0"/>
      <c r="FU816" s="0"/>
      <c r="FV816" s="0"/>
      <c r="FW816" s="0"/>
      <c r="FX816" s="0"/>
      <c r="FY816" s="0"/>
      <c r="FZ816" s="0"/>
      <c r="GA816" s="0"/>
      <c r="GB816" s="0"/>
      <c r="GC816" s="0"/>
      <c r="GD816" s="0"/>
      <c r="GE816" s="0"/>
      <c r="GF816" s="0"/>
      <c r="GG816" s="0"/>
      <c r="GH816" s="0"/>
      <c r="GI816" s="0"/>
      <c r="GJ816" s="0"/>
      <c r="GK816" s="0"/>
      <c r="GL816" s="0"/>
      <c r="GM816" s="0"/>
      <c r="GN816" s="0"/>
      <c r="GO816" s="0"/>
      <c r="GP816" s="0"/>
      <c r="GQ816" s="0"/>
      <c r="GR816" s="0"/>
      <c r="GS816" s="0"/>
      <c r="GT816" s="0"/>
      <c r="GU816" s="0"/>
      <c r="GV816" s="0"/>
      <c r="GW816" s="0"/>
      <c r="GX816" s="0"/>
      <c r="GY816" s="0"/>
      <c r="GZ816" s="0"/>
      <c r="HA816" s="0"/>
      <c r="HB816" s="0"/>
      <c r="HC816" s="0"/>
      <c r="HD816" s="0"/>
      <c r="HE816" s="0"/>
      <c r="HF816" s="0"/>
      <c r="HG816" s="0"/>
      <c r="HH816" s="0"/>
      <c r="HI816" s="0"/>
      <c r="HJ816" s="0"/>
      <c r="HK816" s="0"/>
      <c r="HL816" s="0"/>
      <c r="HM816" s="0"/>
      <c r="HN816" s="0"/>
      <c r="HO816" s="0"/>
      <c r="HP816" s="0"/>
      <c r="HQ816" s="0"/>
      <c r="HR816" s="0"/>
      <c r="HS816" s="0"/>
      <c r="HT816" s="0"/>
      <c r="HU816" s="0"/>
      <c r="HV816" s="0"/>
      <c r="HW816" s="0"/>
      <c r="HX816" s="0"/>
      <c r="HY816" s="0"/>
      <c r="HZ816" s="0"/>
      <c r="IA816" s="0"/>
      <c r="IB816" s="0"/>
      <c r="IC816" s="0"/>
      <c r="ID816" s="0"/>
      <c r="IE816" s="0"/>
      <c r="IF816" s="0"/>
      <c r="IG816" s="0"/>
      <c r="IH816" s="0"/>
      <c r="II816" s="0"/>
      <c r="IJ816" s="0"/>
      <c r="IK816" s="0"/>
      <c r="IL816" s="0"/>
      <c r="IM816" s="0"/>
      <c r="IN816" s="0"/>
      <c r="IO816" s="0"/>
      <c r="IP816" s="0"/>
      <c r="IQ816" s="0"/>
      <c r="IR816" s="0"/>
      <c r="IS816" s="0"/>
      <c r="IT816" s="0"/>
      <c r="IU816" s="0"/>
      <c r="IV816" s="0"/>
    </row>
    <row r="817" customFormat="false" ht="19.5" hidden="false" customHeight="true" outlineLevel="0" collapsed="false">
      <c r="A817" s="951" t="s">
        <v>1576</v>
      </c>
      <c r="B817" s="0"/>
      <c r="C817" s="0"/>
      <c r="D817" s="1240" t="n">
        <v>4.17</v>
      </c>
      <c r="F817" s="951" t="s">
        <v>1577</v>
      </c>
      <c r="H817" s="1241" t="n">
        <v>1.33</v>
      </c>
      <c r="I817" s="0"/>
      <c r="J817" s="11"/>
      <c r="K817" s="903"/>
      <c r="L817" s="877"/>
      <c r="M817" s="0"/>
      <c r="Q817" s="55"/>
      <c r="R817" s="55"/>
      <c r="S817" s="55"/>
      <c r="T817" s="0"/>
      <c r="U817" s="0"/>
      <c r="V817" s="0"/>
      <c r="W817" s="0"/>
      <c r="X817" s="0"/>
      <c r="Y817" s="0"/>
      <c r="Z817" s="0"/>
      <c r="AA817" s="0"/>
      <c r="AB817" s="0"/>
      <c r="AC817" s="0"/>
      <c r="AD817" s="0"/>
      <c r="AE817" s="0"/>
      <c r="AF817" s="0"/>
      <c r="AG817" s="0"/>
      <c r="AH817" s="0"/>
      <c r="AI817" s="0"/>
      <c r="AJ817" s="0"/>
      <c r="AK817" s="0"/>
      <c r="AL817" s="0"/>
      <c r="AM817" s="0"/>
      <c r="AN817" s="0"/>
      <c r="AO817" s="0"/>
      <c r="AP817" s="0"/>
      <c r="AQ817" s="0"/>
      <c r="AR817" s="0"/>
      <c r="AS817" s="0"/>
      <c r="AT817" s="0"/>
      <c r="AU817" s="0"/>
      <c r="AV817" s="0"/>
      <c r="AW817" s="0"/>
      <c r="AX817" s="0"/>
      <c r="AY817" s="0"/>
      <c r="AZ817" s="0"/>
      <c r="BA817" s="0"/>
      <c r="BB817" s="0"/>
      <c r="BC817" s="0"/>
      <c r="BD817" s="0"/>
      <c r="BE817" s="0"/>
      <c r="BF817" s="0"/>
      <c r="BG817" s="0"/>
      <c r="BH817" s="0"/>
      <c r="BI817" s="0"/>
      <c r="BJ817" s="0"/>
      <c r="BK817" s="0"/>
      <c r="BL817" s="0"/>
      <c r="BM817" s="0"/>
      <c r="BN817" s="0"/>
      <c r="BO817" s="0"/>
      <c r="BP817" s="0"/>
      <c r="BQ817" s="0"/>
      <c r="BR817" s="0"/>
      <c r="BS817" s="0"/>
      <c r="BT817" s="0"/>
      <c r="BU817" s="0"/>
      <c r="BV817" s="0"/>
      <c r="BW817" s="0"/>
      <c r="BX817" s="0"/>
      <c r="BY817" s="0"/>
      <c r="BZ817" s="0"/>
      <c r="CA817" s="0"/>
      <c r="CB817" s="0"/>
      <c r="CC817" s="0"/>
      <c r="CD817" s="0"/>
      <c r="CE817" s="0"/>
      <c r="CF817" s="0"/>
      <c r="CG817" s="0"/>
      <c r="CH817" s="0"/>
      <c r="CI817" s="0"/>
      <c r="CJ817" s="0"/>
      <c r="CK817" s="0"/>
      <c r="CL817" s="0"/>
      <c r="CM817" s="0"/>
      <c r="CN817" s="0"/>
      <c r="CO817" s="0"/>
      <c r="CP817" s="0"/>
      <c r="CQ817" s="0"/>
      <c r="CR817" s="0"/>
      <c r="CS817" s="0"/>
      <c r="CT817" s="0"/>
      <c r="CU817" s="0"/>
      <c r="CV817" s="0"/>
      <c r="CW817" s="0"/>
      <c r="CX817" s="0"/>
      <c r="CY817" s="0"/>
      <c r="CZ817" s="0"/>
      <c r="DA817" s="0"/>
      <c r="DB817" s="0"/>
      <c r="DC817" s="0"/>
      <c r="DD817" s="0"/>
      <c r="DE817" s="0"/>
      <c r="DF817" s="0"/>
      <c r="DG817" s="0"/>
      <c r="DH817" s="0"/>
      <c r="DI817" s="0"/>
      <c r="DJ817" s="0"/>
      <c r="DK817" s="0"/>
      <c r="DL817" s="0"/>
      <c r="DM817" s="0"/>
      <c r="DN817" s="0"/>
      <c r="DO817" s="0"/>
      <c r="DP817" s="0"/>
      <c r="DQ817" s="0"/>
      <c r="DR817" s="0"/>
      <c r="DS817" s="0"/>
      <c r="DT817" s="0"/>
      <c r="DU817" s="0"/>
      <c r="DV817" s="0"/>
      <c r="DW817" s="0"/>
      <c r="DX817" s="0"/>
      <c r="DY817" s="0"/>
      <c r="DZ817" s="0"/>
      <c r="EA817" s="0"/>
      <c r="EB817" s="0"/>
      <c r="EC817" s="0"/>
      <c r="ED817" s="0"/>
      <c r="EE817" s="0"/>
      <c r="EF817" s="0"/>
      <c r="EG817" s="0"/>
      <c r="EH817" s="0"/>
      <c r="EI817" s="0"/>
      <c r="EJ817" s="0"/>
      <c r="EK817" s="0"/>
      <c r="EL817" s="0"/>
      <c r="EM817" s="0"/>
      <c r="EN817" s="0"/>
      <c r="EO817" s="0"/>
      <c r="EP817" s="0"/>
      <c r="EQ817" s="0"/>
      <c r="ER817" s="0"/>
      <c r="ES817" s="0"/>
      <c r="ET817" s="0"/>
      <c r="EU817" s="0"/>
      <c r="EV817" s="0"/>
      <c r="EW817" s="0"/>
      <c r="EX817" s="0"/>
      <c r="EY817" s="0"/>
      <c r="EZ817" s="0"/>
      <c r="FA817" s="0"/>
      <c r="FB817" s="0"/>
      <c r="FC817" s="0"/>
      <c r="FD817" s="0"/>
      <c r="FE817" s="0"/>
      <c r="FF817" s="0"/>
      <c r="FG817" s="0"/>
      <c r="FH817" s="0"/>
      <c r="FI817" s="0"/>
      <c r="FJ817" s="0"/>
      <c r="FK817" s="0"/>
      <c r="FL817" s="0"/>
      <c r="FM817" s="0"/>
      <c r="FN817" s="0"/>
      <c r="FO817" s="0"/>
      <c r="FP817" s="0"/>
      <c r="FQ817" s="0"/>
      <c r="FR817" s="0"/>
      <c r="FS817" s="0"/>
      <c r="FT817" s="0"/>
      <c r="FU817" s="0"/>
      <c r="FV817" s="0"/>
      <c r="FW817" s="0"/>
      <c r="FX817" s="0"/>
      <c r="FY817" s="0"/>
      <c r="FZ817" s="0"/>
      <c r="GA817" s="0"/>
      <c r="GB817" s="0"/>
      <c r="GC817" s="0"/>
      <c r="GD817" s="0"/>
      <c r="GE817" s="0"/>
      <c r="GF817" s="0"/>
      <c r="GG817" s="0"/>
      <c r="GH817" s="0"/>
      <c r="GI817" s="0"/>
      <c r="GJ817" s="0"/>
      <c r="GK817" s="0"/>
      <c r="GL817" s="0"/>
      <c r="GM817" s="0"/>
      <c r="GN817" s="0"/>
      <c r="GO817" s="0"/>
      <c r="GP817" s="0"/>
      <c r="GQ817" s="0"/>
      <c r="GR817" s="0"/>
      <c r="GS817" s="0"/>
      <c r="GT817" s="0"/>
      <c r="GU817" s="0"/>
      <c r="GV817" s="0"/>
      <c r="GW817" s="0"/>
      <c r="GX817" s="0"/>
      <c r="GY817" s="0"/>
      <c r="GZ817" s="0"/>
      <c r="HA817" s="0"/>
      <c r="HB817" s="0"/>
      <c r="HC817" s="0"/>
      <c r="HD817" s="0"/>
      <c r="HE817" s="0"/>
      <c r="HF817" s="0"/>
      <c r="HG817" s="0"/>
      <c r="HH817" s="0"/>
      <c r="HI817" s="0"/>
      <c r="HJ817" s="0"/>
      <c r="HK817" s="0"/>
      <c r="HL817" s="0"/>
      <c r="HM817" s="0"/>
      <c r="HN817" s="0"/>
      <c r="HO817" s="0"/>
      <c r="HP817" s="0"/>
      <c r="HQ817" s="0"/>
      <c r="HR817" s="0"/>
      <c r="HS817" s="0"/>
      <c r="HT817" s="0"/>
      <c r="HU817" s="0"/>
      <c r="HV817" s="0"/>
      <c r="HW817" s="0"/>
      <c r="HX817" s="0"/>
      <c r="HY817" s="0"/>
      <c r="HZ817" s="0"/>
      <c r="IA817" s="0"/>
      <c r="IB817" s="0"/>
      <c r="IC817" s="0"/>
      <c r="ID817" s="0"/>
      <c r="IE817" s="0"/>
      <c r="IF817" s="0"/>
      <c r="IG817" s="0"/>
      <c r="IH817" s="0"/>
      <c r="II817" s="0"/>
      <c r="IJ817" s="0"/>
      <c r="IK817" s="0"/>
      <c r="IL817" s="0"/>
      <c r="IM817" s="0"/>
      <c r="IN817" s="0"/>
      <c r="IO817" s="0"/>
      <c r="IP817" s="0"/>
      <c r="IQ817" s="0"/>
      <c r="IR817" s="0"/>
      <c r="IS817" s="0"/>
      <c r="IT817" s="0"/>
      <c r="IU817" s="0"/>
      <c r="IV817" s="0"/>
    </row>
    <row r="818" customFormat="false" ht="20.1" hidden="false" customHeight="true" outlineLevel="0" collapsed="false">
      <c r="A818" s="1232"/>
      <c r="B818" s="1232"/>
      <c r="C818" s="1232"/>
      <c r="D818" s="1232"/>
      <c r="F818" s="951"/>
      <c r="G818" s="14"/>
      <c r="H818" s="1242"/>
      <c r="J818" s="11"/>
      <c r="K818" s="903"/>
      <c r="L818" s="877"/>
      <c r="Q818" s="55"/>
      <c r="R818" s="55"/>
      <c r="S818" s="55"/>
      <c r="T818" s="0"/>
      <c r="U818" s="0"/>
      <c r="V818" s="0"/>
      <c r="W818" s="0"/>
      <c r="X818" s="0"/>
      <c r="Y818" s="0"/>
      <c r="Z818" s="0"/>
      <c r="AA818" s="0"/>
      <c r="AB818" s="0"/>
      <c r="AC818" s="0"/>
      <c r="AD818" s="0"/>
      <c r="AE818" s="0"/>
      <c r="AF818" s="0"/>
      <c r="AG818" s="0"/>
      <c r="AH818" s="0"/>
      <c r="AI818" s="0"/>
      <c r="AJ818" s="0"/>
      <c r="AK818" s="0"/>
      <c r="AL818" s="0"/>
      <c r="AM818" s="0"/>
      <c r="AN818" s="0"/>
      <c r="AO818" s="0"/>
      <c r="AP818" s="0"/>
      <c r="AQ818" s="0"/>
      <c r="AR818" s="0"/>
      <c r="AS818" s="0"/>
      <c r="AT818" s="0"/>
      <c r="AU818" s="0"/>
      <c r="AV818" s="0"/>
      <c r="AW818" s="0"/>
      <c r="AX818" s="0"/>
      <c r="AY818" s="0"/>
      <c r="AZ818" s="0"/>
      <c r="BA818" s="0"/>
      <c r="BB818" s="0"/>
      <c r="BC818" s="0"/>
      <c r="BD818" s="0"/>
      <c r="BE818" s="0"/>
      <c r="BF818" s="0"/>
      <c r="BG818" s="0"/>
      <c r="BH818" s="0"/>
      <c r="BI818" s="0"/>
      <c r="BJ818" s="0"/>
      <c r="BK818" s="0"/>
      <c r="BL818" s="0"/>
      <c r="BM818" s="0"/>
      <c r="BN818" s="0"/>
      <c r="BO818" s="0"/>
      <c r="BP818" s="0"/>
      <c r="BQ818" s="0"/>
      <c r="BR818" s="0"/>
      <c r="BS818" s="0"/>
      <c r="BT818" s="0"/>
      <c r="BU818" s="0"/>
      <c r="BV818" s="0"/>
      <c r="BW818" s="0"/>
      <c r="BX818" s="0"/>
      <c r="BY818" s="0"/>
      <c r="BZ818" s="0"/>
      <c r="CA818" s="0"/>
      <c r="CB818" s="0"/>
      <c r="CC818" s="0"/>
      <c r="CD818" s="0"/>
      <c r="CE818" s="0"/>
      <c r="CF818" s="0"/>
      <c r="CG818" s="0"/>
      <c r="CH818" s="0"/>
      <c r="CI818" s="0"/>
      <c r="CJ818" s="0"/>
      <c r="CK818" s="0"/>
      <c r="CL818" s="0"/>
      <c r="CM818" s="0"/>
      <c r="CN818" s="0"/>
      <c r="CO818" s="0"/>
      <c r="CP818" s="0"/>
      <c r="CQ818" s="0"/>
      <c r="CR818" s="0"/>
      <c r="CS818" s="0"/>
      <c r="CT818" s="0"/>
      <c r="CU818" s="0"/>
      <c r="CV818" s="0"/>
      <c r="CW818" s="0"/>
      <c r="CX818" s="0"/>
      <c r="CY818" s="0"/>
      <c r="CZ818" s="0"/>
      <c r="DA818" s="0"/>
      <c r="DB818" s="0"/>
      <c r="DC818" s="0"/>
      <c r="DD818" s="0"/>
      <c r="DE818" s="0"/>
      <c r="DF818" s="0"/>
      <c r="DG818" s="0"/>
      <c r="DH818" s="0"/>
      <c r="DI818" s="0"/>
      <c r="DJ818" s="0"/>
      <c r="DK818" s="0"/>
      <c r="DL818" s="0"/>
      <c r="DM818" s="0"/>
      <c r="DN818" s="0"/>
      <c r="DO818" s="0"/>
      <c r="DP818" s="0"/>
      <c r="DQ818" s="0"/>
      <c r="DR818" s="0"/>
      <c r="DS818" s="0"/>
      <c r="DT818" s="0"/>
      <c r="DU818" s="0"/>
      <c r="DV818" s="0"/>
      <c r="DW818" s="0"/>
      <c r="DX818" s="0"/>
      <c r="DY818" s="0"/>
      <c r="DZ818" s="0"/>
      <c r="EA818" s="0"/>
      <c r="EB818" s="0"/>
      <c r="EC818" s="0"/>
      <c r="ED818" s="0"/>
      <c r="EE818" s="0"/>
      <c r="EF818" s="0"/>
      <c r="EG818" s="0"/>
      <c r="EH818" s="0"/>
      <c r="EI818" s="0"/>
      <c r="EJ818" s="0"/>
      <c r="EK818" s="0"/>
      <c r="EL818" s="0"/>
      <c r="EM818" s="0"/>
      <c r="EN818" s="0"/>
      <c r="EO818" s="0"/>
      <c r="EP818" s="0"/>
      <c r="EQ818" s="0"/>
      <c r="ER818" s="0"/>
      <c r="ES818" s="0"/>
      <c r="ET818" s="0"/>
      <c r="EU818" s="0"/>
      <c r="EV818" s="0"/>
      <c r="EW818" s="0"/>
      <c r="EX818" s="0"/>
      <c r="EY818" s="0"/>
      <c r="EZ818" s="0"/>
      <c r="FA818" s="0"/>
      <c r="FB818" s="0"/>
      <c r="FC818" s="0"/>
      <c r="FD818" s="0"/>
      <c r="FE818" s="0"/>
      <c r="FF818" s="0"/>
      <c r="FG818" s="0"/>
      <c r="FH818" s="0"/>
      <c r="FI818" s="0"/>
      <c r="FJ818" s="0"/>
      <c r="FK818" s="0"/>
      <c r="FL818" s="0"/>
      <c r="FM818" s="0"/>
      <c r="FN818" s="0"/>
      <c r="FO818" s="0"/>
      <c r="FP818" s="0"/>
      <c r="FQ818" s="0"/>
      <c r="FR818" s="0"/>
      <c r="FS818" s="0"/>
      <c r="FT818" s="0"/>
      <c r="FU818" s="0"/>
      <c r="FV818" s="0"/>
      <c r="FW818" s="0"/>
      <c r="FX818" s="0"/>
      <c r="FY818" s="0"/>
      <c r="FZ818" s="0"/>
      <c r="GA818" s="0"/>
      <c r="GB818" s="0"/>
      <c r="GC818" s="0"/>
      <c r="GD818" s="0"/>
      <c r="GE818" s="0"/>
      <c r="GF818" s="0"/>
      <c r="GG818" s="0"/>
      <c r="GH818" s="0"/>
      <c r="GI818" s="0"/>
      <c r="GJ818" s="0"/>
      <c r="GK818" s="0"/>
      <c r="GL818" s="0"/>
      <c r="GM818" s="0"/>
      <c r="GN818" s="0"/>
      <c r="GO818" s="0"/>
      <c r="GP818" s="0"/>
      <c r="GQ818" s="0"/>
      <c r="GR818" s="0"/>
      <c r="GS818" s="0"/>
      <c r="GT818" s="0"/>
      <c r="GU818" s="0"/>
      <c r="GV818" s="0"/>
      <c r="GW818" s="0"/>
      <c r="GX818" s="0"/>
      <c r="GY818" s="0"/>
      <c r="GZ818" s="0"/>
      <c r="HA818" s="0"/>
      <c r="HB818" s="0"/>
      <c r="HC818" s="0"/>
      <c r="HD818" s="0"/>
      <c r="HE818" s="0"/>
      <c r="HF818" s="0"/>
      <c r="HG818" s="0"/>
      <c r="HH818" s="0"/>
      <c r="HI818" s="0"/>
      <c r="HJ818" s="0"/>
      <c r="HK818" s="0"/>
      <c r="HL818" s="0"/>
      <c r="HM818" s="0"/>
      <c r="HN818" s="0"/>
      <c r="HO818" s="0"/>
      <c r="HP818" s="0"/>
      <c r="HQ818" s="0"/>
      <c r="HR818" s="0"/>
      <c r="HS818" s="0"/>
      <c r="HT818" s="0"/>
      <c r="HU818" s="0"/>
      <c r="HV818" s="0"/>
      <c r="HW818" s="0"/>
      <c r="HX818" s="0"/>
      <c r="HY818" s="0"/>
      <c r="HZ818" s="0"/>
      <c r="IA818" s="0"/>
      <c r="IB818" s="0"/>
      <c r="IC818" s="0"/>
      <c r="ID818" s="0"/>
      <c r="IE818" s="0"/>
      <c r="IF818" s="0"/>
      <c r="IG818" s="0"/>
      <c r="IH818" s="0"/>
      <c r="II818" s="0"/>
      <c r="IJ818" s="0"/>
      <c r="IK818" s="0"/>
      <c r="IL818" s="0"/>
      <c r="IM818" s="0"/>
      <c r="IN818" s="0"/>
      <c r="IO818" s="0"/>
      <c r="IP818" s="0"/>
      <c r="IQ818" s="0"/>
      <c r="IR818" s="0"/>
      <c r="IS818" s="0"/>
      <c r="IT818" s="0"/>
      <c r="IU818" s="0"/>
      <c r="IV818" s="0"/>
    </row>
    <row r="819" customFormat="false" ht="20.1" hidden="false" customHeight="true" outlineLevel="0" collapsed="false">
      <c r="A819" s="951" t="s">
        <v>1578</v>
      </c>
      <c r="D819" s="55"/>
      <c r="E819" s="55"/>
      <c r="F819" s="906" t="s">
        <v>253</v>
      </c>
      <c r="G819" s="14"/>
      <c r="H819" s="14"/>
      <c r="I819" s="14"/>
      <c r="J819" s="14"/>
      <c r="K819" s="14"/>
      <c r="L819" s="14"/>
      <c r="M819" s="14"/>
      <c r="N819" s="14"/>
      <c r="Q819" s="55"/>
      <c r="R819" s="55"/>
      <c r="S819" s="55"/>
      <c r="T819" s="0"/>
      <c r="U819" s="0"/>
      <c r="V819" s="0"/>
      <c r="W819" s="0"/>
      <c r="X819" s="0"/>
      <c r="Y819" s="0"/>
      <c r="Z819" s="0"/>
      <c r="AA819" s="0"/>
      <c r="AB819" s="0"/>
      <c r="AC819" s="0"/>
      <c r="AD819" s="0"/>
      <c r="AE819" s="0"/>
      <c r="AF819" s="0"/>
      <c r="AG819" s="0"/>
      <c r="AH819" s="0"/>
      <c r="AI819" s="0"/>
      <c r="AJ819" s="0"/>
      <c r="AK819" s="0"/>
      <c r="AL819" s="0"/>
      <c r="AM819" s="0"/>
      <c r="AN819" s="0"/>
      <c r="AO819" s="0"/>
      <c r="AP819" s="0"/>
      <c r="AQ819" s="0"/>
      <c r="AR819" s="0"/>
      <c r="AS819" s="0"/>
      <c r="AT819" s="0"/>
      <c r="AU819" s="0"/>
      <c r="AV819" s="0"/>
      <c r="AW819" s="0"/>
      <c r="AX819" s="0"/>
      <c r="AY819" s="0"/>
      <c r="AZ819" s="0"/>
      <c r="BA819" s="0"/>
      <c r="BB819" s="0"/>
      <c r="BC819" s="0"/>
      <c r="BD819" s="0"/>
      <c r="BE819" s="0"/>
      <c r="BF819" s="0"/>
      <c r="BG819" s="0"/>
      <c r="BH819" s="0"/>
      <c r="BI819" s="0"/>
      <c r="BJ819" s="0"/>
      <c r="BK819" s="0"/>
      <c r="BL819" s="0"/>
      <c r="BM819" s="0"/>
      <c r="BN819" s="0"/>
      <c r="BO819" s="0"/>
      <c r="BP819" s="0"/>
      <c r="BQ819" s="0"/>
      <c r="BR819" s="0"/>
      <c r="BS819" s="0"/>
      <c r="BT819" s="0"/>
      <c r="BU819" s="0"/>
      <c r="BV819" s="0"/>
      <c r="BW819" s="0"/>
      <c r="BX819" s="0"/>
      <c r="BY819" s="0"/>
      <c r="BZ819" s="0"/>
      <c r="CA819" s="0"/>
      <c r="CB819" s="0"/>
      <c r="CC819" s="0"/>
      <c r="CD819" s="0"/>
      <c r="CE819" s="0"/>
      <c r="CF819" s="0"/>
      <c r="CG819" s="0"/>
      <c r="CH819" s="0"/>
      <c r="CI819" s="0"/>
      <c r="CJ819" s="0"/>
      <c r="CK819" s="0"/>
      <c r="CL819" s="0"/>
      <c r="CM819" s="0"/>
      <c r="CN819" s="0"/>
      <c r="CO819" s="0"/>
      <c r="CP819" s="0"/>
      <c r="CQ819" s="0"/>
      <c r="CR819" s="0"/>
      <c r="CS819" s="0"/>
      <c r="CT819" s="0"/>
      <c r="CU819" s="0"/>
      <c r="CV819" s="0"/>
      <c r="CW819" s="0"/>
      <c r="CX819" s="0"/>
      <c r="CY819" s="0"/>
      <c r="CZ819" s="0"/>
      <c r="DA819" s="0"/>
      <c r="DB819" s="0"/>
      <c r="DC819" s="0"/>
      <c r="DD819" s="0"/>
      <c r="DE819" s="0"/>
      <c r="DF819" s="0"/>
      <c r="DG819" s="0"/>
      <c r="DH819" s="0"/>
      <c r="DI819" s="0"/>
      <c r="DJ819" s="0"/>
      <c r="DK819" s="0"/>
      <c r="DL819" s="0"/>
      <c r="DM819" s="0"/>
      <c r="DN819" s="0"/>
      <c r="DO819" s="0"/>
      <c r="DP819" s="0"/>
      <c r="DQ819" s="0"/>
      <c r="DR819" s="0"/>
      <c r="DS819" s="0"/>
      <c r="DT819" s="0"/>
      <c r="DU819" s="0"/>
      <c r="DV819" s="0"/>
      <c r="DW819" s="0"/>
      <c r="DX819" s="0"/>
      <c r="DY819" s="0"/>
      <c r="DZ819" s="0"/>
      <c r="EA819" s="0"/>
      <c r="EB819" s="0"/>
      <c r="EC819" s="0"/>
      <c r="ED819" s="0"/>
      <c r="EE819" s="0"/>
      <c r="EF819" s="0"/>
      <c r="EG819" s="0"/>
      <c r="EH819" s="0"/>
      <c r="EI819" s="0"/>
      <c r="EJ819" s="0"/>
      <c r="EK819" s="0"/>
      <c r="EL819" s="0"/>
      <c r="EM819" s="0"/>
      <c r="EN819" s="0"/>
      <c r="EO819" s="0"/>
      <c r="EP819" s="0"/>
      <c r="EQ819" s="0"/>
      <c r="ER819" s="0"/>
      <c r="ES819" s="0"/>
      <c r="ET819" s="0"/>
      <c r="EU819" s="0"/>
      <c r="EV819" s="0"/>
      <c r="EW819" s="0"/>
      <c r="EX819" s="0"/>
      <c r="EY819" s="0"/>
      <c r="EZ819" s="0"/>
      <c r="FA819" s="0"/>
      <c r="FB819" s="0"/>
      <c r="FC819" s="0"/>
      <c r="FD819" s="0"/>
      <c r="FE819" s="0"/>
      <c r="FF819" s="0"/>
      <c r="FG819" s="0"/>
      <c r="FH819" s="0"/>
      <c r="FI819" s="0"/>
      <c r="FJ819" s="0"/>
      <c r="FK819" s="0"/>
      <c r="FL819" s="0"/>
      <c r="FM819" s="0"/>
      <c r="FN819" s="0"/>
      <c r="FO819" s="0"/>
      <c r="FP819" s="0"/>
      <c r="FQ819" s="0"/>
      <c r="FR819" s="0"/>
      <c r="FS819" s="0"/>
      <c r="FT819" s="0"/>
      <c r="FU819" s="0"/>
      <c r="FV819" s="0"/>
      <c r="FW819" s="0"/>
      <c r="FX819" s="0"/>
      <c r="FY819" s="0"/>
      <c r="FZ819" s="0"/>
      <c r="GA819" s="0"/>
      <c r="GB819" s="0"/>
      <c r="GC819" s="0"/>
      <c r="GD819" s="0"/>
      <c r="GE819" s="0"/>
      <c r="GF819" s="0"/>
      <c r="GG819" s="0"/>
      <c r="GH819" s="0"/>
      <c r="GI819" s="0"/>
      <c r="GJ819" s="0"/>
      <c r="GK819" s="0"/>
      <c r="GL819" s="0"/>
      <c r="GM819" s="0"/>
      <c r="GN819" s="0"/>
      <c r="GO819" s="0"/>
      <c r="GP819" s="0"/>
      <c r="GQ819" s="0"/>
      <c r="GR819" s="0"/>
      <c r="GS819" s="0"/>
      <c r="GT819" s="0"/>
      <c r="GU819" s="0"/>
      <c r="GV819" s="0"/>
      <c r="GW819" s="0"/>
      <c r="GX819" s="0"/>
      <c r="GY819" s="0"/>
      <c r="GZ819" s="0"/>
      <c r="HA819" s="0"/>
      <c r="HB819" s="0"/>
      <c r="HC819" s="0"/>
      <c r="HD819" s="0"/>
      <c r="HE819" s="0"/>
      <c r="HF819" s="0"/>
      <c r="HG819" s="0"/>
      <c r="HH819" s="0"/>
      <c r="HI819" s="0"/>
      <c r="HJ819" s="0"/>
      <c r="HK819" s="0"/>
      <c r="HL819" s="0"/>
      <c r="HM819" s="0"/>
      <c r="HN819" s="0"/>
      <c r="HO819" s="0"/>
      <c r="HP819" s="0"/>
      <c r="HQ819" s="0"/>
      <c r="HR819" s="0"/>
      <c r="HS819" s="0"/>
      <c r="HT819" s="0"/>
      <c r="HU819" s="0"/>
      <c r="HV819" s="0"/>
      <c r="HW819" s="0"/>
      <c r="HX819" s="0"/>
      <c r="HY819" s="0"/>
      <c r="HZ819" s="0"/>
      <c r="IA819" s="0"/>
      <c r="IB819" s="0"/>
      <c r="IC819" s="0"/>
      <c r="ID819" s="0"/>
      <c r="IE819" s="0"/>
      <c r="IF819" s="0"/>
      <c r="IG819" s="0"/>
      <c r="IH819" s="0"/>
      <c r="II819" s="0"/>
      <c r="IJ819" s="0"/>
      <c r="IK819" s="0"/>
      <c r="IL819" s="0"/>
      <c r="IM819" s="0"/>
      <c r="IN819" s="0"/>
      <c r="IO819" s="0"/>
      <c r="IP819" s="0"/>
      <c r="IQ819" s="0"/>
      <c r="IR819" s="0"/>
      <c r="IS819" s="0"/>
      <c r="IT819" s="0"/>
      <c r="IU819" s="0"/>
      <c r="IV819" s="0"/>
    </row>
    <row r="820" customFormat="false" ht="19.5" hidden="false" customHeight="true" outlineLevel="0" collapsed="false">
      <c r="A820" s="1243" t="s">
        <v>1579</v>
      </c>
      <c r="B820" s="1243"/>
      <c r="C820" s="1243"/>
      <c r="D820" s="55"/>
      <c r="E820" s="14"/>
      <c r="F820" s="14"/>
      <c r="G820" s="14"/>
      <c r="H820" s="14"/>
      <c r="I820" s="14"/>
      <c r="J820" s="14"/>
      <c r="K820" s="14"/>
      <c r="L820" s="14"/>
      <c r="M820" s="14"/>
      <c r="N820" s="14"/>
      <c r="Q820" s="55"/>
      <c r="R820" s="55"/>
      <c r="S820" s="55"/>
      <c r="T820" s="0"/>
      <c r="U820" s="0"/>
      <c r="V820" s="0"/>
      <c r="W820" s="0"/>
      <c r="X820" s="0"/>
      <c r="Y820" s="0"/>
      <c r="Z820" s="0"/>
      <c r="AA820" s="0"/>
      <c r="AB820" s="0"/>
      <c r="AC820" s="0"/>
      <c r="AD820" s="0"/>
      <c r="AE820" s="0"/>
      <c r="AF820" s="0"/>
      <c r="AG820" s="0"/>
      <c r="AH820" s="0"/>
      <c r="AI820" s="0"/>
      <c r="AJ820" s="0"/>
      <c r="AK820" s="0"/>
      <c r="AL820" s="0"/>
      <c r="AM820" s="0"/>
      <c r="AN820" s="0"/>
      <c r="AO820" s="0"/>
      <c r="AP820" s="0"/>
      <c r="AQ820" s="0"/>
      <c r="AR820" s="0"/>
      <c r="AS820" s="0"/>
      <c r="AT820" s="0"/>
      <c r="AU820" s="0"/>
      <c r="AV820" s="0"/>
      <c r="AW820" s="0"/>
      <c r="AX820" s="0"/>
      <c r="AY820" s="0"/>
      <c r="AZ820" s="0"/>
      <c r="BA820" s="0"/>
      <c r="BB820" s="0"/>
      <c r="BC820" s="0"/>
      <c r="BD820" s="0"/>
      <c r="BE820" s="0"/>
      <c r="BF820" s="0"/>
      <c r="BG820" s="0"/>
      <c r="BH820" s="0"/>
      <c r="BI820" s="0"/>
      <c r="BJ820" s="0"/>
      <c r="BK820" s="0"/>
      <c r="BL820" s="0"/>
      <c r="BM820" s="0"/>
      <c r="BN820" s="0"/>
      <c r="BO820" s="0"/>
      <c r="BP820" s="0"/>
      <c r="BQ820" s="0"/>
      <c r="BR820" s="0"/>
      <c r="BS820" s="0"/>
      <c r="BT820" s="0"/>
      <c r="BU820" s="0"/>
      <c r="BV820" s="0"/>
      <c r="BW820" s="0"/>
      <c r="BX820" s="0"/>
      <c r="BY820" s="0"/>
      <c r="BZ820" s="0"/>
      <c r="CA820" s="0"/>
      <c r="CB820" s="0"/>
      <c r="CC820" s="0"/>
      <c r="CD820" s="0"/>
      <c r="CE820" s="0"/>
      <c r="CF820" s="0"/>
      <c r="CG820" s="0"/>
      <c r="CH820" s="0"/>
      <c r="CI820" s="0"/>
      <c r="CJ820" s="0"/>
      <c r="CK820" s="0"/>
      <c r="CL820" s="0"/>
      <c r="CM820" s="0"/>
      <c r="CN820" s="0"/>
      <c r="CO820" s="0"/>
      <c r="CP820" s="0"/>
      <c r="CQ820" s="0"/>
      <c r="CR820" s="0"/>
      <c r="CS820" s="0"/>
      <c r="CT820" s="0"/>
      <c r="CU820" s="0"/>
      <c r="CV820" s="0"/>
      <c r="CW820" s="0"/>
      <c r="CX820" s="0"/>
      <c r="CY820" s="0"/>
      <c r="CZ820" s="0"/>
      <c r="DA820" s="0"/>
      <c r="DB820" s="0"/>
      <c r="DC820" s="0"/>
      <c r="DD820" s="0"/>
      <c r="DE820" s="0"/>
      <c r="DF820" s="0"/>
      <c r="DG820" s="0"/>
      <c r="DH820" s="0"/>
      <c r="DI820" s="0"/>
      <c r="DJ820" s="0"/>
      <c r="DK820" s="0"/>
      <c r="DL820" s="0"/>
      <c r="DM820" s="0"/>
      <c r="DN820" s="0"/>
      <c r="DO820" s="0"/>
      <c r="DP820" s="0"/>
      <c r="DQ820" s="0"/>
      <c r="DR820" s="0"/>
      <c r="DS820" s="0"/>
      <c r="DT820" s="0"/>
      <c r="DU820" s="0"/>
      <c r="DV820" s="0"/>
      <c r="DW820" s="0"/>
      <c r="DX820" s="0"/>
      <c r="DY820" s="0"/>
      <c r="DZ820" s="0"/>
      <c r="EA820" s="0"/>
      <c r="EB820" s="0"/>
      <c r="EC820" s="0"/>
      <c r="ED820" s="0"/>
      <c r="EE820" s="0"/>
      <c r="EF820" s="0"/>
      <c r="EG820" s="0"/>
      <c r="EH820" s="0"/>
      <c r="EI820" s="0"/>
      <c r="EJ820" s="0"/>
      <c r="EK820" s="0"/>
      <c r="EL820" s="0"/>
      <c r="EM820" s="0"/>
      <c r="EN820" s="0"/>
      <c r="EO820" s="0"/>
      <c r="EP820" s="0"/>
      <c r="EQ820" s="0"/>
      <c r="ER820" s="0"/>
      <c r="ES820" s="0"/>
      <c r="ET820" s="0"/>
      <c r="EU820" s="0"/>
      <c r="EV820" s="0"/>
      <c r="EW820" s="0"/>
      <c r="EX820" s="0"/>
      <c r="EY820" s="0"/>
      <c r="EZ820" s="0"/>
      <c r="FA820" s="0"/>
      <c r="FB820" s="0"/>
      <c r="FC820" s="0"/>
      <c r="FD820" s="0"/>
      <c r="FE820" s="0"/>
      <c r="FF820" s="0"/>
      <c r="FG820" s="0"/>
      <c r="FH820" s="0"/>
      <c r="FI820" s="0"/>
      <c r="FJ820" s="0"/>
      <c r="FK820" s="0"/>
      <c r="FL820" s="0"/>
      <c r="FM820" s="0"/>
      <c r="FN820" s="0"/>
      <c r="FO820" s="0"/>
      <c r="FP820" s="0"/>
      <c r="FQ820" s="0"/>
      <c r="FR820" s="0"/>
      <c r="FS820" s="0"/>
      <c r="FT820" s="0"/>
      <c r="FU820" s="0"/>
      <c r="FV820" s="0"/>
      <c r="FW820" s="0"/>
      <c r="FX820" s="0"/>
      <c r="FY820" s="0"/>
      <c r="FZ820" s="0"/>
      <c r="GA820" s="0"/>
      <c r="GB820" s="0"/>
      <c r="GC820" s="0"/>
      <c r="GD820" s="0"/>
      <c r="GE820" s="0"/>
      <c r="GF820" s="0"/>
      <c r="GG820" s="0"/>
      <c r="GH820" s="0"/>
      <c r="GI820" s="0"/>
      <c r="GJ820" s="0"/>
      <c r="GK820" s="0"/>
      <c r="GL820" s="0"/>
      <c r="GM820" s="0"/>
      <c r="GN820" s="0"/>
      <c r="GO820" s="0"/>
      <c r="GP820" s="0"/>
      <c r="GQ820" s="0"/>
      <c r="GR820" s="0"/>
      <c r="GS820" s="0"/>
      <c r="GT820" s="0"/>
      <c r="GU820" s="0"/>
      <c r="GV820" s="0"/>
      <c r="GW820" s="0"/>
      <c r="GX820" s="0"/>
      <c r="GY820" s="0"/>
      <c r="GZ820" s="0"/>
      <c r="HA820" s="0"/>
      <c r="HB820" s="0"/>
      <c r="HC820" s="0"/>
      <c r="HD820" s="0"/>
      <c r="HE820" s="0"/>
      <c r="HF820" s="0"/>
      <c r="HG820" s="0"/>
      <c r="HH820" s="0"/>
      <c r="HI820" s="0"/>
      <c r="HJ820" s="0"/>
      <c r="HK820" s="0"/>
      <c r="HL820" s="0"/>
      <c r="HM820" s="0"/>
      <c r="HN820" s="0"/>
      <c r="HO820" s="0"/>
      <c r="HP820" s="0"/>
      <c r="HQ820" s="0"/>
      <c r="HR820" s="0"/>
      <c r="HS820" s="0"/>
      <c r="HT820" s="0"/>
      <c r="HU820" s="0"/>
      <c r="HV820" s="0"/>
      <c r="HW820" s="0"/>
      <c r="HX820" s="0"/>
      <c r="HY820" s="0"/>
      <c r="HZ820" s="0"/>
      <c r="IA820" s="0"/>
      <c r="IB820" s="0"/>
      <c r="IC820" s="0"/>
      <c r="ID820" s="0"/>
      <c r="IE820" s="0"/>
      <c r="IF820" s="0"/>
      <c r="IG820" s="0"/>
      <c r="IH820" s="0"/>
      <c r="II820" s="0"/>
      <c r="IJ820" s="0"/>
      <c r="IK820" s="0"/>
      <c r="IL820" s="0"/>
      <c r="IM820" s="0"/>
      <c r="IN820" s="0"/>
      <c r="IO820" s="0"/>
      <c r="IP820" s="0"/>
      <c r="IQ820" s="0"/>
      <c r="IR820" s="0"/>
      <c r="IS820" s="0"/>
      <c r="IT820" s="0"/>
      <c r="IU820" s="0"/>
      <c r="IV820" s="0"/>
    </row>
    <row r="821" customFormat="false" ht="19.5" hidden="false" customHeight="true" outlineLevel="0" collapsed="false">
      <c r="A821" s="14"/>
      <c r="B821" s="1011"/>
      <c r="C821" s="14"/>
      <c r="D821" s="14"/>
      <c r="E821" s="14"/>
      <c r="F821" s="14"/>
      <c r="G821" s="14"/>
      <c r="H821" s="14"/>
      <c r="I821" s="14"/>
      <c r="J821" s="14"/>
      <c r="K821" s="14"/>
      <c r="L821" s="14"/>
      <c r="M821" s="14"/>
      <c r="N821" s="14"/>
      <c r="Q821" s="55"/>
      <c r="R821" s="55"/>
      <c r="S821" s="55"/>
      <c r="T821" s="0"/>
      <c r="U821" s="0"/>
      <c r="V821" s="0"/>
      <c r="W821" s="0"/>
      <c r="X821" s="0"/>
      <c r="Y821" s="0"/>
      <c r="Z821" s="0"/>
      <c r="AA821" s="0"/>
      <c r="AB821" s="0"/>
      <c r="AC821" s="0"/>
      <c r="AD821" s="0"/>
      <c r="AE821" s="0"/>
      <c r="AF821" s="0"/>
      <c r="AG821" s="0"/>
      <c r="AH821" s="0"/>
      <c r="AI821" s="0"/>
      <c r="AJ821" s="0"/>
      <c r="AK821" s="0"/>
      <c r="AL821" s="0"/>
      <c r="AM821" s="0"/>
      <c r="AN821" s="0"/>
      <c r="AO821" s="0"/>
      <c r="AP821" s="0"/>
      <c r="AQ821" s="0"/>
      <c r="AR821" s="0"/>
      <c r="AS821" s="0"/>
      <c r="AT821" s="0"/>
      <c r="AU821" s="0"/>
      <c r="AV821" s="0"/>
      <c r="AW821" s="0"/>
      <c r="AX821" s="0"/>
      <c r="AY821" s="0"/>
      <c r="AZ821" s="0"/>
      <c r="BA821" s="0"/>
      <c r="BB821" s="0"/>
      <c r="BC821" s="0"/>
      <c r="BD821" s="0"/>
      <c r="BE821" s="0"/>
      <c r="BF821" s="0"/>
      <c r="BG821" s="0"/>
      <c r="BH821" s="0"/>
      <c r="BI821" s="0"/>
      <c r="BJ821" s="0"/>
      <c r="BK821" s="0"/>
      <c r="BL821" s="0"/>
      <c r="BM821" s="0"/>
      <c r="BN821" s="0"/>
      <c r="BO821" s="0"/>
      <c r="BP821" s="0"/>
      <c r="BQ821" s="0"/>
      <c r="BR821" s="0"/>
      <c r="BS821" s="0"/>
      <c r="BT821" s="0"/>
      <c r="BU821" s="0"/>
      <c r="BV821" s="0"/>
      <c r="BW821" s="0"/>
      <c r="BX821" s="0"/>
      <c r="BY821" s="0"/>
      <c r="BZ821" s="0"/>
      <c r="CA821" s="0"/>
      <c r="CB821" s="0"/>
      <c r="CC821" s="0"/>
      <c r="CD821" s="0"/>
      <c r="CE821" s="0"/>
      <c r="CF821" s="0"/>
      <c r="CG821" s="0"/>
      <c r="CH821" s="0"/>
      <c r="CI821" s="0"/>
      <c r="CJ821" s="0"/>
      <c r="CK821" s="0"/>
      <c r="CL821" s="0"/>
      <c r="CM821" s="0"/>
      <c r="CN821" s="0"/>
      <c r="CO821" s="0"/>
      <c r="CP821" s="0"/>
      <c r="CQ821" s="0"/>
      <c r="CR821" s="0"/>
      <c r="CS821" s="0"/>
      <c r="CT821" s="0"/>
      <c r="CU821" s="0"/>
      <c r="CV821" s="0"/>
      <c r="CW821" s="0"/>
      <c r="CX821" s="0"/>
      <c r="CY821" s="0"/>
      <c r="CZ821" s="0"/>
      <c r="DA821" s="0"/>
      <c r="DB821" s="0"/>
      <c r="DC821" s="0"/>
      <c r="DD821" s="0"/>
      <c r="DE821" s="0"/>
      <c r="DF821" s="0"/>
      <c r="DG821" s="0"/>
      <c r="DH821" s="0"/>
      <c r="DI821" s="0"/>
      <c r="DJ821" s="0"/>
      <c r="DK821" s="0"/>
      <c r="DL821" s="0"/>
      <c r="DM821" s="0"/>
      <c r="DN821" s="0"/>
      <c r="DO821" s="0"/>
      <c r="DP821" s="0"/>
      <c r="DQ821" s="0"/>
      <c r="DR821" s="0"/>
      <c r="DS821" s="0"/>
      <c r="DT821" s="0"/>
      <c r="DU821" s="0"/>
      <c r="DV821" s="0"/>
      <c r="DW821" s="0"/>
      <c r="DX821" s="0"/>
      <c r="DY821" s="0"/>
      <c r="DZ821" s="0"/>
      <c r="EA821" s="0"/>
      <c r="EB821" s="0"/>
      <c r="EC821" s="0"/>
      <c r="ED821" s="0"/>
      <c r="EE821" s="0"/>
      <c r="EF821" s="0"/>
      <c r="EG821" s="0"/>
      <c r="EH821" s="0"/>
      <c r="EI821" s="0"/>
      <c r="EJ821" s="0"/>
      <c r="EK821" s="0"/>
      <c r="EL821" s="0"/>
      <c r="EM821" s="0"/>
      <c r="EN821" s="0"/>
      <c r="EO821" s="0"/>
      <c r="EP821" s="0"/>
      <c r="EQ821" s="0"/>
      <c r="ER821" s="0"/>
      <c r="ES821" s="0"/>
      <c r="ET821" s="0"/>
      <c r="EU821" s="0"/>
      <c r="EV821" s="0"/>
      <c r="EW821" s="0"/>
      <c r="EX821" s="0"/>
      <c r="EY821" s="0"/>
      <c r="EZ821" s="0"/>
      <c r="FA821" s="0"/>
      <c r="FB821" s="0"/>
      <c r="FC821" s="0"/>
      <c r="FD821" s="0"/>
      <c r="FE821" s="0"/>
      <c r="FF821" s="0"/>
      <c r="FG821" s="0"/>
      <c r="FH821" s="0"/>
      <c r="FI821" s="0"/>
      <c r="FJ821" s="0"/>
      <c r="FK821" s="0"/>
      <c r="FL821" s="0"/>
      <c r="FM821" s="0"/>
      <c r="FN821" s="0"/>
      <c r="FO821" s="0"/>
      <c r="FP821" s="0"/>
      <c r="FQ821" s="0"/>
      <c r="FR821" s="0"/>
      <c r="FS821" s="0"/>
      <c r="FT821" s="0"/>
      <c r="FU821" s="0"/>
      <c r="FV821" s="0"/>
      <c r="FW821" s="0"/>
      <c r="FX821" s="0"/>
      <c r="FY821" s="0"/>
      <c r="FZ821" s="0"/>
      <c r="GA821" s="0"/>
      <c r="GB821" s="0"/>
      <c r="GC821" s="0"/>
      <c r="GD821" s="0"/>
      <c r="GE821" s="0"/>
      <c r="GF821" s="0"/>
      <c r="GG821" s="0"/>
      <c r="GH821" s="0"/>
      <c r="GI821" s="0"/>
      <c r="GJ821" s="0"/>
      <c r="GK821" s="0"/>
      <c r="GL821" s="0"/>
      <c r="GM821" s="0"/>
      <c r="GN821" s="0"/>
      <c r="GO821" s="0"/>
      <c r="GP821" s="0"/>
      <c r="GQ821" s="0"/>
      <c r="GR821" s="0"/>
      <c r="GS821" s="0"/>
      <c r="GT821" s="0"/>
      <c r="GU821" s="0"/>
      <c r="GV821" s="0"/>
      <c r="GW821" s="0"/>
      <c r="GX821" s="0"/>
      <c r="GY821" s="0"/>
      <c r="GZ821" s="0"/>
      <c r="HA821" s="0"/>
      <c r="HB821" s="0"/>
      <c r="HC821" s="0"/>
      <c r="HD821" s="0"/>
      <c r="HE821" s="0"/>
      <c r="HF821" s="0"/>
      <c r="HG821" s="0"/>
      <c r="HH821" s="0"/>
      <c r="HI821" s="0"/>
      <c r="HJ821" s="0"/>
      <c r="HK821" s="0"/>
      <c r="HL821" s="0"/>
      <c r="HM821" s="0"/>
      <c r="HN821" s="0"/>
      <c r="HO821" s="0"/>
      <c r="HP821" s="0"/>
      <c r="HQ821" s="0"/>
      <c r="HR821" s="0"/>
      <c r="HS821" s="0"/>
      <c r="HT821" s="0"/>
      <c r="HU821" s="0"/>
      <c r="HV821" s="0"/>
      <c r="HW821" s="0"/>
      <c r="HX821" s="0"/>
      <c r="HY821" s="0"/>
      <c r="HZ821" s="0"/>
      <c r="IA821" s="0"/>
      <c r="IB821" s="0"/>
      <c r="IC821" s="0"/>
      <c r="ID821" s="0"/>
      <c r="IE821" s="0"/>
      <c r="IF821" s="0"/>
      <c r="IG821" s="0"/>
      <c r="IH821" s="0"/>
      <c r="II821" s="0"/>
      <c r="IJ821" s="0"/>
      <c r="IK821" s="0"/>
      <c r="IL821" s="0"/>
      <c r="IM821" s="0"/>
      <c r="IN821" s="0"/>
      <c r="IO821" s="0"/>
      <c r="IP821" s="0"/>
      <c r="IQ821" s="0"/>
      <c r="IR821" s="0"/>
      <c r="IS821" s="0"/>
      <c r="IT821" s="0"/>
      <c r="IU821" s="0"/>
      <c r="IV821" s="0"/>
    </row>
    <row r="822" customFormat="false" ht="19.5" hidden="false" customHeight="true" outlineLevel="0" collapsed="false">
      <c r="A822" s="951" t="s">
        <v>1580</v>
      </c>
      <c r="B822" s="1011"/>
      <c r="C822" s="14"/>
      <c r="D822" s="14"/>
      <c r="E822" s="14"/>
      <c r="F822" s="14"/>
      <c r="G822" s="14"/>
      <c r="H822" s="14"/>
      <c r="I822" s="14"/>
      <c r="J822" s="14"/>
      <c r="K822" s="14"/>
      <c r="L822" s="14"/>
      <c r="M822" s="14"/>
      <c r="N822" s="14"/>
      <c r="Q822" s="55"/>
      <c r="R822" s="55"/>
      <c r="S822" s="55"/>
      <c r="T822" s="0"/>
      <c r="U822" s="0"/>
      <c r="V822" s="0"/>
      <c r="W822" s="0"/>
      <c r="X822" s="0"/>
      <c r="Y822" s="0"/>
      <c r="Z822" s="0"/>
      <c r="AA822" s="0"/>
      <c r="AB822" s="0"/>
      <c r="AC822" s="0"/>
      <c r="AD822" s="0"/>
      <c r="AE822" s="0"/>
      <c r="AF822" s="0"/>
      <c r="AG822" s="0"/>
      <c r="AH822" s="0"/>
      <c r="AI822" s="0"/>
      <c r="AJ822" s="0"/>
      <c r="AK822" s="0"/>
      <c r="AL822" s="0"/>
      <c r="AM822" s="0"/>
      <c r="AN822" s="0"/>
      <c r="AO822" s="0"/>
      <c r="AP822" s="0"/>
      <c r="AQ822" s="0"/>
      <c r="AR822" s="0"/>
      <c r="AS822" s="0"/>
      <c r="AT822" s="0"/>
      <c r="AU822" s="0"/>
      <c r="AV822" s="0"/>
      <c r="AW822" s="0"/>
      <c r="AX822" s="0"/>
      <c r="AY822" s="0"/>
      <c r="AZ822" s="0"/>
      <c r="BA822" s="0"/>
      <c r="BB822" s="0"/>
      <c r="BC822" s="0"/>
      <c r="BD822" s="0"/>
      <c r="BE822" s="0"/>
      <c r="BF822" s="0"/>
      <c r="BG822" s="0"/>
      <c r="BH822" s="0"/>
      <c r="BI822" s="0"/>
      <c r="BJ822" s="0"/>
      <c r="BK822" s="0"/>
      <c r="BL822" s="0"/>
      <c r="BM822" s="0"/>
      <c r="BN822" s="0"/>
      <c r="BO822" s="0"/>
      <c r="BP822" s="0"/>
      <c r="BQ822" s="0"/>
      <c r="BR822" s="0"/>
      <c r="BS822" s="0"/>
      <c r="BT822" s="0"/>
      <c r="BU822" s="0"/>
      <c r="BV822" s="0"/>
      <c r="BW822" s="0"/>
      <c r="BX822" s="0"/>
      <c r="BY822" s="0"/>
      <c r="BZ822" s="0"/>
      <c r="CA822" s="0"/>
      <c r="CB822" s="0"/>
      <c r="CC822" s="0"/>
      <c r="CD822" s="0"/>
      <c r="CE822" s="0"/>
      <c r="CF822" s="0"/>
      <c r="CG822" s="0"/>
      <c r="CH822" s="0"/>
      <c r="CI822" s="0"/>
      <c r="CJ822" s="0"/>
      <c r="CK822" s="0"/>
      <c r="CL822" s="0"/>
      <c r="CM822" s="0"/>
      <c r="CN822" s="0"/>
      <c r="CO822" s="0"/>
      <c r="CP822" s="0"/>
      <c r="CQ822" s="0"/>
      <c r="CR822" s="0"/>
      <c r="CS822" s="0"/>
      <c r="CT822" s="0"/>
      <c r="CU822" s="0"/>
      <c r="CV822" s="0"/>
      <c r="CW822" s="0"/>
      <c r="CX822" s="0"/>
      <c r="CY822" s="0"/>
      <c r="CZ822" s="0"/>
      <c r="DA822" s="0"/>
      <c r="DB822" s="0"/>
      <c r="DC822" s="0"/>
      <c r="DD822" s="0"/>
      <c r="DE822" s="0"/>
      <c r="DF822" s="0"/>
      <c r="DG822" s="0"/>
      <c r="DH822" s="0"/>
      <c r="DI822" s="0"/>
      <c r="DJ822" s="0"/>
      <c r="DK822" s="0"/>
      <c r="DL822" s="0"/>
      <c r="DM822" s="0"/>
      <c r="DN822" s="0"/>
      <c r="DO822" s="0"/>
      <c r="DP822" s="0"/>
      <c r="DQ822" s="0"/>
      <c r="DR822" s="0"/>
      <c r="DS822" s="0"/>
      <c r="DT822" s="0"/>
      <c r="DU822" s="0"/>
      <c r="DV822" s="0"/>
      <c r="DW822" s="0"/>
      <c r="DX822" s="0"/>
      <c r="DY822" s="0"/>
      <c r="DZ822" s="0"/>
      <c r="EA822" s="0"/>
      <c r="EB822" s="0"/>
      <c r="EC822" s="0"/>
      <c r="ED822" s="0"/>
      <c r="EE822" s="0"/>
      <c r="EF822" s="0"/>
      <c r="EG822" s="0"/>
      <c r="EH822" s="0"/>
      <c r="EI822" s="0"/>
      <c r="EJ822" s="0"/>
      <c r="EK822" s="0"/>
      <c r="EL822" s="0"/>
      <c r="EM822" s="0"/>
      <c r="EN822" s="0"/>
      <c r="EO822" s="0"/>
      <c r="EP822" s="0"/>
      <c r="EQ822" s="0"/>
      <c r="ER822" s="0"/>
      <c r="ES822" s="0"/>
      <c r="ET822" s="0"/>
      <c r="EU822" s="0"/>
      <c r="EV822" s="0"/>
      <c r="EW822" s="0"/>
      <c r="EX822" s="0"/>
      <c r="EY822" s="0"/>
      <c r="EZ822" s="0"/>
      <c r="FA822" s="0"/>
      <c r="FB822" s="0"/>
      <c r="FC822" s="0"/>
      <c r="FD822" s="0"/>
      <c r="FE822" s="0"/>
      <c r="FF822" s="0"/>
      <c r="FG822" s="0"/>
      <c r="FH822" s="0"/>
      <c r="FI822" s="0"/>
      <c r="FJ822" s="0"/>
      <c r="FK822" s="0"/>
      <c r="FL822" s="0"/>
      <c r="FM822" s="0"/>
      <c r="FN822" s="0"/>
      <c r="FO822" s="0"/>
      <c r="FP822" s="0"/>
      <c r="FQ822" s="0"/>
      <c r="FR822" s="0"/>
      <c r="FS822" s="0"/>
      <c r="FT822" s="0"/>
      <c r="FU822" s="0"/>
      <c r="FV822" s="0"/>
      <c r="FW822" s="0"/>
      <c r="FX822" s="0"/>
      <c r="FY822" s="0"/>
      <c r="FZ822" s="0"/>
      <c r="GA822" s="0"/>
      <c r="GB822" s="0"/>
      <c r="GC822" s="0"/>
      <c r="GD822" s="0"/>
      <c r="GE822" s="0"/>
      <c r="GF822" s="0"/>
      <c r="GG822" s="0"/>
      <c r="GH822" s="0"/>
      <c r="GI822" s="0"/>
      <c r="GJ822" s="0"/>
      <c r="GK822" s="0"/>
      <c r="GL822" s="0"/>
      <c r="GM822" s="0"/>
      <c r="GN822" s="0"/>
      <c r="GO822" s="0"/>
      <c r="GP822" s="0"/>
      <c r="GQ822" s="0"/>
      <c r="GR822" s="0"/>
      <c r="GS822" s="0"/>
      <c r="GT822" s="0"/>
      <c r="GU822" s="0"/>
      <c r="GV822" s="0"/>
      <c r="GW822" s="0"/>
      <c r="GX822" s="0"/>
      <c r="GY822" s="0"/>
      <c r="GZ822" s="0"/>
      <c r="HA822" s="0"/>
      <c r="HB822" s="0"/>
      <c r="HC822" s="0"/>
      <c r="HD822" s="0"/>
      <c r="HE822" s="0"/>
      <c r="HF822" s="0"/>
      <c r="HG822" s="0"/>
      <c r="HH822" s="0"/>
      <c r="HI822" s="0"/>
      <c r="HJ822" s="0"/>
      <c r="HK822" s="0"/>
      <c r="HL822" s="0"/>
      <c r="HM822" s="0"/>
      <c r="HN822" s="0"/>
      <c r="HO822" s="0"/>
      <c r="HP822" s="0"/>
      <c r="HQ822" s="0"/>
      <c r="HR822" s="0"/>
      <c r="HS822" s="0"/>
      <c r="HT822" s="0"/>
      <c r="HU822" s="0"/>
      <c r="HV822" s="0"/>
      <c r="HW822" s="0"/>
      <c r="HX822" s="0"/>
      <c r="HY822" s="0"/>
      <c r="HZ822" s="0"/>
      <c r="IA822" s="0"/>
      <c r="IB822" s="0"/>
      <c r="IC822" s="0"/>
      <c r="ID822" s="0"/>
      <c r="IE822" s="0"/>
      <c r="IF822" s="0"/>
      <c r="IG822" s="0"/>
      <c r="IH822" s="0"/>
      <c r="II822" s="0"/>
      <c r="IJ822" s="0"/>
      <c r="IK822" s="0"/>
      <c r="IL822" s="0"/>
      <c r="IM822" s="0"/>
      <c r="IN822" s="0"/>
      <c r="IO822" s="0"/>
      <c r="IP822" s="0"/>
      <c r="IQ822" s="0"/>
      <c r="IR822" s="0"/>
      <c r="IS822" s="0"/>
      <c r="IT822" s="0"/>
      <c r="IU822" s="0"/>
      <c r="IV822" s="0"/>
    </row>
    <row r="823" customFormat="false" ht="19.5" hidden="false" customHeight="true" outlineLevel="0" collapsed="false">
      <c r="A823" s="850" t="s">
        <v>1261</v>
      </c>
      <c r="B823" s="1244" t="s">
        <v>497</v>
      </c>
      <c r="C823" s="1244"/>
      <c r="D823" s="1244"/>
      <c r="E823" s="1121" t="s">
        <v>253</v>
      </c>
      <c r="F823" s="1122"/>
      <c r="L823" s="14"/>
      <c r="M823" s="14"/>
      <c r="N823" s="14"/>
      <c r="Q823" s="55"/>
      <c r="R823" s="55"/>
      <c r="S823" s="55"/>
      <c r="T823" s="0"/>
      <c r="U823" s="0"/>
      <c r="V823" s="0"/>
      <c r="W823" s="0"/>
      <c r="X823" s="0"/>
      <c r="Y823" s="0"/>
      <c r="Z823" s="0"/>
      <c r="AA823" s="0"/>
      <c r="AB823" s="0"/>
      <c r="AC823" s="0"/>
      <c r="AD823" s="0"/>
      <c r="AE823" s="0"/>
      <c r="AF823" s="0"/>
      <c r="AG823" s="0"/>
      <c r="AH823" s="0"/>
      <c r="AI823" s="0"/>
      <c r="AJ823" s="0"/>
      <c r="AK823" s="0"/>
      <c r="AL823" s="0"/>
      <c r="AM823" s="0"/>
      <c r="AN823" s="0"/>
      <c r="AO823" s="0"/>
      <c r="AP823" s="0"/>
      <c r="AQ823" s="0"/>
      <c r="AR823" s="0"/>
      <c r="AS823" s="0"/>
      <c r="AT823" s="0"/>
      <c r="AU823" s="0"/>
      <c r="AV823" s="0"/>
      <c r="AW823" s="0"/>
      <c r="AX823" s="0"/>
      <c r="AY823" s="0"/>
      <c r="AZ823" s="0"/>
      <c r="BA823" s="0"/>
      <c r="BB823" s="0"/>
      <c r="BC823" s="0"/>
      <c r="BD823" s="0"/>
      <c r="BE823" s="0"/>
      <c r="BF823" s="0"/>
      <c r="BG823" s="0"/>
      <c r="BH823" s="0"/>
      <c r="BI823" s="0"/>
      <c r="BJ823" s="0"/>
      <c r="BK823" s="0"/>
      <c r="BL823" s="0"/>
      <c r="BM823" s="0"/>
      <c r="BN823" s="0"/>
      <c r="BO823" s="0"/>
      <c r="BP823" s="0"/>
      <c r="BQ823" s="0"/>
      <c r="BR823" s="0"/>
      <c r="BS823" s="0"/>
      <c r="BT823" s="0"/>
      <c r="BU823" s="0"/>
      <c r="BV823" s="0"/>
      <c r="BW823" s="0"/>
      <c r="BX823" s="0"/>
      <c r="BY823" s="0"/>
      <c r="BZ823" s="0"/>
      <c r="CA823" s="0"/>
      <c r="CB823" s="0"/>
      <c r="CC823" s="0"/>
      <c r="CD823" s="0"/>
      <c r="CE823" s="0"/>
      <c r="CF823" s="0"/>
      <c r="CG823" s="0"/>
      <c r="CH823" s="0"/>
      <c r="CI823" s="0"/>
      <c r="CJ823" s="0"/>
      <c r="CK823" s="0"/>
      <c r="CL823" s="0"/>
      <c r="CM823" s="0"/>
      <c r="CN823" s="0"/>
      <c r="CO823" s="0"/>
      <c r="CP823" s="0"/>
      <c r="CQ823" s="0"/>
      <c r="CR823" s="0"/>
      <c r="CS823" s="0"/>
      <c r="CT823" s="0"/>
      <c r="CU823" s="0"/>
      <c r="CV823" s="0"/>
      <c r="CW823" s="0"/>
      <c r="CX823" s="0"/>
      <c r="CY823" s="0"/>
      <c r="CZ823" s="0"/>
      <c r="DA823" s="0"/>
      <c r="DB823" s="0"/>
      <c r="DC823" s="0"/>
      <c r="DD823" s="0"/>
      <c r="DE823" s="0"/>
      <c r="DF823" s="0"/>
      <c r="DG823" s="0"/>
      <c r="DH823" s="0"/>
      <c r="DI823" s="0"/>
      <c r="DJ823" s="0"/>
      <c r="DK823" s="0"/>
      <c r="DL823" s="0"/>
      <c r="DM823" s="0"/>
      <c r="DN823" s="0"/>
      <c r="DO823" s="0"/>
      <c r="DP823" s="0"/>
      <c r="DQ823" s="0"/>
      <c r="DR823" s="0"/>
      <c r="DS823" s="0"/>
      <c r="DT823" s="0"/>
      <c r="DU823" s="0"/>
      <c r="DV823" s="0"/>
      <c r="DW823" s="0"/>
      <c r="DX823" s="0"/>
      <c r="DY823" s="0"/>
      <c r="DZ823" s="0"/>
      <c r="EA823" s="0"/>
      <c r="EB823" s="0"/>
      <c r="EC823" s="0"/>
      <c r="ED823" s="0"/>
      <c r="EE823" s="0"/>
      <c r="EF823" s="0"/>
      <c r="EG823" s="0"/>
      <c r="EH823" s="0"/>
      <c r="EI823" s="0"/>
      <c r="EJ823" s="0"/>
      <c r="EK823" s="0"/>
      <c r="EL823" s="0"/>
      <c r="EM823" s="0"/>
      <c r="EN823" s="0"/>
      <c r="EO823" s="0"/>
      <c r="EP823" s="0"/>
      <c r="EQ823" s="0"/>
      <c r="ER823" s="0"/>
      <c r="ES823" s="0"/>
      <c r="ET823" s="0"/>
      <c r="EU823" s="0"/>
      <c r="EV823" s="0"/>
      <c r="EW823" s="0"/>
      <c r="EX823" s="0"/>
      <c r="EY823" s="0"/>
      <c r="EZ823" s="0"/>
      <c r="FA823" s="0"/>
      <c r="FB823" s="0"/>
      <c r="FC823" s="0"/>
      <c r="FD823" s="0"/>
      <c r="FE823" s="0"/>
      <c r="FF823" s="0"/>
      <c r="FG823" s="0"/>
      <c r="FH823" s="0"/>
      <c r="FI823" s="0"/>
      <c r="FJ823" s="0"/>
      <c r="FK823" s="0"/>
      <c r="FL823" s="0"/>
      <c r="FM823" s="0"/>
      <c r="FN823" s="0"/>
      <c r="FO823" s="0"/>
      <c r="FP823" s="0"/>
      <c r="FQ823" s="0"/>
      <c r="FR823" s="0"/>
      <c r="FS823" s="0"/>
      <c r="FT823" s="0"/>
      <c r="FU823" s="0"/>
      <c r="FV823" s="0"/>
      <c r="FW823" s="0"/>
      <c r="FX823" s="0"/>
      <c r="FY823" s="0"/>
      <c r="FZ823" s="0"/>
      <c r="GA823" s="0"/>
      <c r="GB823" s="0"/>
      <c r="GC823" s="0"/>
      <c r="GD823" s="0"/>
      <c r="GE823" s="0"/>
      <c r="GF823" s="0"/>
      <c r="GG823" s="0"/>
      <c r="GH823" s="0"/>
      <c r="GI823" s="0"/>
      <c r="GJ823" s="0"/>
      <c r="GK823" s="0"/>
      <c r="GL823" s="0"/>
      <c r="GM823" s="0"/>
      <c r="GN823" s="0"/>
      <c r="GO823" s="0"/>
      <c r="GP823" s="0"/>
      <c r="GQ823" s="0"/>
      <c r="GR823" s="0"/>
      <c r="GS823" s="0"/>
      <c r="GT823" s="0"/>
      <c r="GU823" s="0"/>
      <c r="GV823" s="0"/>
      <c r="GW823" s="0"/>
      <c r="GX823" s="0"/>
      <c r="GY823" s="0"/>
      <c r="GZ823" s="0"/>
      <c r="HA823" s="0"/>
      <c r="HB823" s="0"/>
      <c r="HC823" s="0"/>
      <c r="HD823" s="0"/>
      <c r="HE823" s="0"/>
      <c r="HF823" s="0"/>
      <c r="HG823" s="0"/>
      <c r="HH823" s="0"/>
      <c r="HI823" s="0"/>
      <c r="HJ823" s="0"/>
      <c r="HK823" s="0"/>
      <c r="HL823" s="0"/>
      <c r="HM823" s="0"/>
      <c r="HN823" s="0"/>
      <c r="HO823" s="0"/>
      <c r="HP823" s="0"/>
      <c r="HQ823" s="0"/>
      <c r="HR823" s="0"/>
      <c r="HS823" s="0"/>
      <c r="HT823" s="0"/>
      <c r="HU823" s="0"/>
      <c r="HV823" s="0"/>
      <c r="HW823" s="0"/>
      <c r="HX823" s="0"/>
      <c r="HY823" s="0"/>
      <c r="HZ823" s="0"/>
      <c r="IA823" s="0"/>
      <c r="IB823" s="0"/>
      <c r="IC823" s="0"/>
      <c r="ID823" s="0"/>
      <c r="IE823" s="0"/>
      <c r="IF823" s="0"/>
      <c r="IG823" s="0"/>
      <c r="IH823" s="0"/>
      <c r="II823" s="0"/>
      <c r="IJ823" s="0"/>
      <c r="IK823" s="0"/>
      <c r="IL823" s="0"/>
      <c r="IM823" s="0"/>
      <c r="IN823" s="0"/>
      <c r="IO823" s="0"/>
      <c r="IP823" s="0"/>
      <c r="IQ823" s="0"/>
      <c r="IR823" s="0"/>
      <c r="IS823" s="0"/>
      <c r="IT823" s="0"/>
      <c r="IU823" s="0"/>
      <c r="IV823" s="0"/>
    </row>
    <row r="824" customFormat="false" ht="19.5" hidden="false" customHeight="true" outlineLevel="0" collapsed="false">
      <c r="B824" s="1244" t="s">
        <v>498</v>
      </c>
      <c r="C824" s="1244"/>
      <c r="D824" s="1244"/>
      <c r="E824" s="1121" t="s">
        <v>253</v>
      </c>
      <c r="F824" s="1122"/>
      <c r="L824" s="14"/>
      <c r="M824" s="14"/>
      <c r="N824" s="14"/>
      <c r="Q824" s="55"/>
      <c r="R824" s="55"/>
      <c r="S824" s="55"/>
      <c r="T824" s="0"/>
      <c r="U824" s="0"/>
      <c r="V824" s="0"/>
      <c r="W824" s="0"/>
      <c r="X824" s="0"/>
      <c r="Y824" s="0"/>
      <c r="Z824" s="0"/>
      <c r="AA824" s="0"/>
      <c r="AB824" s="0"/>
      <c r="AC824" s="0"/>
      <c r="AD824" s="0"/>
      <c r="AE824" s="0"/>
      <c r="AF824" s="0"/>
      <c r="AG824" s="0"/>
      <c r="AH824" s="0"/>
      <c r="AI824" s="0"/>
      <c r="AJ824" s="0"/>
      <c r="AK824" s="0"/>
      <c r="AL824" s="0"/>
      <c r="AM824" s="0"/>
      <c r="AN824" s="0"/>
      <c r="AO824" s="0"/>
      <c r="AP824" s="0"/>
      <c r="AQ824" s="0"/>
      <c r="AR824" s="0"/>
      <c r="AS824" s="0"/>
      <c r="AT824" s="0"/>
      <c r="AU824" s="0"/>
      <c r="AV824" s="0"/>
      <c r="AW824" s="0"/>
      <c r="AX824" s="0"/>
      <c r="AY824" s="0"/>
      <c r="AZ824" s="0"/>
      <c r="BA824" s="0"/>
      <c r="BB824" s="0"/>
      <c r="BC824" s="0"/>
      <c r="BD824" s="0"/>
      <c r="BE824" s="0"/>
      <c r="BF824" s="0"/>
      <c r="BG824" s="0"/>
      <c r="BH824" s="0"/>
      <c r="BI824" s="0"/>
      <c r="BJ824" s="0"/>
      <c r="BK824" s="0"/>
      <c r="BL824" s="0"/>
      <c r="BM824" s="0"/>
      <c r="BN824" s="0"/>
      <c r="BO824" s="0"/>
      <c r="BP824" s="0"/>
      <c r="BQ824" s="0"/>
      <c r="BR824" s="0"/>
      <c r="BS824" s="0"/>
      <c r="BT824" s="0"/>
      <c r="BU824" s="0"/>
      <c r="BV824" s="0"/>
      <c r="BW824" s="0"/>
      <c r="BX824" s="0"/>
      <c r="BY824" s="0"/>
      <c r="BZ824" s="0"/>
      <c r="CA824" s="0"/>
      <c r="CB824" s="0"/>
      <c r="CC824" s="0"/>
      <c r="CD824" s="0"/>
      <c r="CE824" s="0"/>
      <c r="CF824" s="0"/>
      <c r="CG824" s="0"/>
      <c r="CH824" s="0"/>
      <c r="CI824" s="0"/>
      <c r="CJ824" s="0"/>
      <c r="CK824" s="0"/>
      <c r="CL824" s="0"/>
      <c r="CM824" s="0"/>
      <c r="CN824" s="0"/>
      <c r="CO824" s="0"/>
      <c r="CP824" s="0"/>
      <c r="CQ824" s="0"/>
      <c r="CR824" s="0"/>
      <c r="CS824" s="0"/>
      <c r="CT824" s="0"/>
      <c r="CU824" s="0"/>
      <c r="CV824" s="0"/>
      <c r="CW824" s="0"/>
      <c r="CX824" s="0"/>
      <c r="CY824" s="0"/>
      <c r="CZ824" s="0"/>
      <c r="DA824" s="0"/>
      <c r="DB824" s="0"/>
      <c r="DC824" s="0"/>
      <c r="DD824" s="0"/>
      <c r="DE824" s="0"/>
      <c r="DF824" s="0"/>
      <c r="DG824" s="0"/>
      <c r="DH824" s="0"/>
      <c r="DI824" s="0"/>
      <c r="DJ824" s="0"/>
      <c r="DK824" s="0"/>
      <c r="DL824" s="0"/>
      <c r="DM824" s="0"/>
      <c r="DN824" s="0"/>
      <c r="DO824" s="0"/>
      <c r="DP824" s="0"/>
      <c r="DQ824" s="0"/>
      <c r="DR824" s="0"/>
      <c r="DS824" s="0"/>
      <c r="DT824" s="0"/>
      <c r="DU824" s="0"/>
      <c r="DV824" s="0"/>
      <c r="DW824" s="0"/>
      <c r="DX824" s="0"/>
      <c r="DY824" s="0"/>
      <c r="DZ824" s="0"/>
      <c r="EA824" s="0"/>
      <c r="EB824" s="0"/>
      <c r="EC824" s="0"/>
      <c r="ED824" s="0"/>
      <c r="EE824" s="0"/>
      <c r="EF824" s="0"/>
      <c r="EG824" s="0"/>
      <c r="EH824" s="0"/>
      <c r="EI824" s="0"/>
      <c r="EJ824" s="0"/>
      <c r="EK824" s="0"/>
      <c r="EL824" s="0"/>
      <c r="EM824" s="0"/>
      <c r="EN824" s="0"/>
      <c r="EO824" s="0"/>
      <c r="EP824" s="0"/>
      <c r="EQ824" s="0"/>
      <c r="ER824" s="0"/>
      <c r="ES824" s="0"/>
      <c r="ET824" s="0"/>
      <c r="EU824" s="0"/>
      <c r="EV824" s="0"/>
      <c r="EW824" s="0"/>
      <c r="EX824" s="0"/>
      <c r="EY824" s="0"/>
      <c r="EZ824" s="0"/>
      <c r="FA824" s="0"/>
      <c r="FB824" s="0"/>
      <c r="FC824" s="0"/>
      <c r="FD824" s="0"/>
      <c r="FE824" s="0"/>
      <c r="FF824" s="0"/>
      <c r="FG824" s="0"/>
      <c r="FH824" s="0"/>
      <c r="FI824" s="0"/>
      <c r="FJ824" s="0"/>
      <c r="FK824" s="0"/>
      <c r="FL824" s="0"/>
      <c r="FM824" s="0"/>
      <c r="FN824" s="0"/>
      <c r="FO824" s="0"/>
      <c r="FP824" s="0"/>
      <c r="FQ824" s="0"/>
      <c r="FR824" s="0"/>
      <c r="FS824" s="0"/>
      <c r="FT824" s="0"/>
      <c r="FU824" s="0"/>
      <c r="FV824" s="0"/>
      <c r="FW824" s="0"/>
      <c r="FX824" s="0"/>
      <c r="FY824" s="0"/>
      <c r="FZ824" s="0"/>
      <c r="GA824" s="0"/>
      <c r="GB824" s="0"/>
      <c r="GC824" s="0"/>
      <c r="GD824" s="0"/>
      <c r="GE824" s="0"/>
      <c r="GF824" s="0"/>
      <c r="GG824" s="0"/>
      <c r="GH824" s="0"/>
      <c r="GI824" s="0"/>
      <c r="GJ824" s="0"/>
      <c r="GK824" s="0"/>
      <c r="GL824" s="0"/>
      <c r="GM824" s="0"/>
      <c r="GN824" s="0"/>
      <c r="GO824" s="0"/>
      <c r="GP824" s="0"/>
      <c r="GQ824" s="0"/>
      <c r="GR824" s="0"/>
      <c r="GS824" s="0"/>
      <c r="GT824" s="0"/>
      <c r="GU824" s="0"/>
      <c r="GV824" s="0"/>
      <c r="GW824" s="0"/>
      <c r="GX824" s="0"/>
      <c r="GY824" s="0"/>
      <c r="GZ824" s="0"/>
      <c r="HA824" s="0"/>
      <c r="HB824" s="0"/>
      <c r="HC824" s="0"/>
      <c r="HD824" s="0"/>
      <c r="HE824" s="0"/>
      <c r="HF824" s="0"/>
      <c r="HG824" s="0"/>
      <c r="HH824" s="0"/>
      <c r="HI824" s="0"/>
      <c r="HJ824" s="0"/>
      <c r="HK824" s="0"/>
      <c r="HL824" s="0"/>
      <c r="HM824" s="0"/>
      <c r="HN824" s="0"/>
      <c r="HO824" s="0"/>
      <c r="HP824" s="0"/>
      <c r="HQ824" s="0"/>
      <c r="HR824" s="0"/>
      <c r="HS824" s="0"/>
      <c r="HT824" s="0"/>
      <c r="HU824" s="0"/>
      <c r="HV824" s="0"/>
      <c r="HW824" s="0"/>
      <c r="HX824" s="0"/>
      <c r="HY824" s="0"/>
      <c r="HZ824" s="0"/>
      <c r="IA824" s="0"/>
      <c r="IB824" s="0"/>
      <c r="IC824" s="0"/>
      <c r="ID824" s="0"/>
      <c r="IE824" s="0"/>
      <c r="IF824" s="0"/>
      <c r="IG824" s="0"/>
      <c r="IH824" s="0"/>
      <c r="II824" s="0"/>
      <c r="IJ824" s="0"/>
      <c r="IK824" s="0"/>
      <c r="IL824" s="0"/>
      <c r="IM824" s="0"/>
      <c r="IN824" s="0"/>
      <c r="IO824" s="0"/>
      <c r="IP824" s="0"/>
      <c r="IQ824" s="0"/>
      <c r="IR824" s="0"/>
      <c r="IS824" s="0"/>
      <c r="IT824" s="0"/>
      <c r="IU824" s="0"/>
      <c r="IV824" s="0"/>
    </row>
    <row r="825" customFormat="false" ht="19.5" hidden="false" customHeight="true" outlineLevel="0" collapsed="false">
      <c r="B825" s="1244" t="s">
        <v>499</v>
      </c>
      <c r="C825" s="1244"/>
      <c r="D825" s="1244"/>
      <c r="E825" s="1121" t="s">
        <v>253</v>
      </c>
      <c r="F825" s="1122"/>
      <c r="L825" s="14"/>
      <c r="M825" s="14"/>
      <c r="N825" s="14"/>
      <c r="Q825" s="55"/>
      <c r="R825" s="55"/>
      <c r="S825" s="55"/>
      <c r="T825" s="0"/>
      <c r="U825" s="0"/>
      <c r="V825" s="0"/>
      <c r="W825" s="0"/>
      <c r="X825" s="0"/>
      <c r="Y825" s="0"/>
      <c r="Z825" s="0"/>
      <c r="AA825" s="0"/>
      <c r="AB825" s="0"/>
      <c r="AC825" s="0"/>
      <c r="AD825" s="0"/>
      <c r="AE825" s="0"/>
      <c r="AF825" s="0"/>
      <c r="AG825" s="0"/>
      <c r="AH825" s="0"/>
      <c r="AI825" s="0"/>
      <c r="AJ825" s="0"/>
      <c r="AK825" s="0"/>
      <c r="AL825" s="0"/>
      <c r="AM825" s="0"/>
      <c r="AN825" s="0"/>
      <c r="AO825" s="0"/>
      <c r="AP825" s="0"/>
      <c r="AQ825" s="0"/>
      <c r="AR825" s="0"/>
      <c r="AS825" s="0"/>
      <c r="AT825" s="0"/>
      <c r="AU825" s="0"/>
      <c r="AV825" s="0"/>
      <c r="AW825" s="0"/>
      <c r="AX825" s="0"/>
      <c r="AY825" s="0"/>
      <c r="AZ825" s="0"/>
      <c r="BA825" s="0"/>
      <c r="BB825" s="0"/>
      <c r="BC825" s="0"/>
      <c r="BD825" s="0"/>
      <c r="BE825" s="0"/>
      <c r="BF825" s="0"/>
      <c r="BG825" s="0"/>
      <c r="BH825" s="0"/>
      <c r="BI825" s="0"/>
      <c r="BJ825" s="0"/>
      <c r="BK825" s="0"/>
      <c r="BL825" s="0"/>
      <c r="BM825" s="0"/>
      <c r="BN825" s="0"/>
      <c r="BO825" s="0"/>
      <c r="BP825" s="0"/>
      <c r="BQ825" s="0"/>
      <c r="BR825" s="0"/>
      <c r="BS825" s="0"/>
      <c r="BT825" s="0"/>
      <c r="BU825" s="0"/>
      <c r="BV825" s="0"/>
      <c r="BW825" s="0"/>
      <c r="BX825" s="0"/>
      <c r="BY825" s="0"/>
      <c r="BZ825" s="0"/>
      <c r="CA825" s="0"/>
      <c r="CB825" s="0"/>
      <c r="CC825" s="0"/>
      <c r="CD825" s="0"/>
      <c r="CE825" s="0"/>
      <c r="CF825" s="0"/>
      <c r="CG825" s="0"/>
      <c r="CH825" s="0"/>
      <c r="CI825" s="0"/>
      <c r="CJ825" s="0"/>
      <c r="CK825" s="0"/>
      <c r="CL825" s="0"/>
      <c r="CM825" s="0"/>
      <c r="CN825" s="0"/>
      <c r="CO825" s="0"/>
      <c r="CP825" s="0"/>
      <c r="CQ825" s="0"/>
      <c r="CR825" s="0"/>
      <c r="CS825" s="0"/>
      <c r="CT825" s="0"/>
      <c r="CU825" s="0"/>
      <c r="CV825" s="0"/>
      <c r="CW825" s="0"/>
      <c r="CX825" s="0"/>
      <c r="CY825" s="0"/>
      <c r="CZ825" s="0"/>
      <c r="DA825" s="0"/>
      <c r="DB825" s="0"/>
      <c r="DC825" s="0"/>
      <c r="DD825" s="0"/>
      <c r="DE825" s="0"/>
      <c r="DF825" s="0"/>
      <c r="DG825" s="0"/>
      <c r="DH825" s="0"/>
      <c r="DI825" s="0"/>
      <c r="DJ825" s="0"/>
      <c r="DK825" s="0"/>
      <c r="DL825" s="0"/>
      <c r="DM825" s="0"/>
      <c r="DN825" s="0"/>
      <c r="DO825" s="0"/>
      <c r="DP825" s="0"/>
      <c r="DQ825" s="0"/>
      <c r="DR825" s="0"/>
      <c r="DS825" s="0"/>
      <c r="DT825" s="0"/>
      <c r="DU825" s="0"/>
      <c r="DV825" s="0"/>
      <c r="DW825" s="0"/>
      <c r="DX825" s="0"/>
      <c r="DY825" s="0"/>
      <c r="DZ825" s="0"/>
      <c r="EA825" s="0"/>
      <c r="EB825" s="0"/>
      <c r="EC825" s="0"/>
      <c r="ED825" s="0"/>
      <c r="EE825" s="0"/>
      <c r="EF825" s="0"/>
      <c r="EG825" s="0"/>
      <c r="EH825" s="0"/>
      <c r="EI825" s="0"/>
      <c r="EJ825" s="0"/>
      <c r="EK825" s="0"/>
      <c r="EL825" s="0"/>
      <c r="EM825" s="0"/>
      <c r="EN825" s="0"/>
      <c r="EO825" s="0"/>
      <c r="EP825" s="0"/>
      <c r="EQ825" s="0"/>
      <c r="ER825" s="0"/>
      <c r="ES825" s="0"/>
      <c r="ET825" s="0"/>
      <c r="EU825" s="0"/>
      <c r="EV825" s="0"/>
      <c r="EW825" s="0"/>
      <c r="EX825" s="0"/>
      <c r="EY825" s="0"/>
      <c r="EZ825" s="0"/>
      <c r="FA825" s="0"/>
      <c r="FB825" s="0"/>
      <c r="FC825" s="0"/>
      <c r="FD825" s="0"/>
      <c r="FE825" s="0"/>
      <c r="FF825" s="0"/>
      <c r="FG825" s="0"/>
      <c r="FH825" s="0"/>
      <c r="FI825" s="0"/>
      <c r="FJ825" s="0"/>
      <c r="FK825" s="0"/>
      <c r="FL825" s="0"/>
      <c r="FM825" s="0"/>
      <c r="FN825" s="0"/>
      <c r="FO825" s="0"/>
      <c r="FP825" s="0"/>
      <c r="FQ825" s="0"/>
      <c r="FR825" s="0"/>
      <c r="FS825" s="0"/>
      <c r="FT825" s="0"/>
      <c r="FU825" s="0"/>
      <c r="FV825" s="0"/>
      <c r="FW825" s="0"/>
      <c r="FX825" s="0"/>
      <c r="FY825" s="0"/>
      <c r="FZ825" s="0"/>
      <c r="GA825" s="0"/>
      <c r="GB825" s="0"/>
      <c r="GC825" s="0"/>
      <c r="GD825" s="0"/>
      <c r="GE825" s="0"/>
      <c r="GF825" s="0"/>
      <c r="GG825" s="0"/>
      <c r="GH825" s="0"/>
      <c r="GI825" s="0"/>
      <c r="GJ825" s="0"/>
      <c r="GK825" s="0"/>
      <c r="GL825" s="0"/>
      <c r="GM825" s="0"/>
      <c r="GN825" s="0"/>
      <c r="GO825" s="0"/>
      <c r="GP825" s="0"/>
      <c r="GQ825" s="0"/>
      <c r="GR825" s="0"/>
      <c r="GS825" s="0"/>
      <c r="GT825" s="0"/>
      <c r="GU825" s="0"/>
      <c r="GV825" s="0"/>
      <c r="GW825" s="0"/>
      <c r="GX825" s="0"/>
      <c r="GY825" s="0"/>
      <c r="GZ825" s="0"/>
      <c r="HA825" s="0"/>
      <c r="HB825" s="0"/>
      <c r="HC825" s="0"/>
      <c r="HD825" s="0"/>
      <c r="HE825" s="0"/>
      <c r="HF825" s="0"/>
      <c r="HG825" s="0"/>
      <c r="HH825" s="0"/>
      <c r="HI825" s="0"/>
      <c r="HJ825" s="0"/>
      <c r="HK825" s="0"/>
      <c r="HL825" s="0"/>
      <c r="HM825" s="0"/>
      <c r="HN825" s="0"/>
      <c r="HO825" s="0"/>
      <c r="HP825" s="0"/>
      <c r="HQ825" s="0"/>
      <c r="HR825" s="0"/>
      <c r="HS825" s="0"/>
      <c r="HT825" s="0"/>
      <c r="HU825" s="0"/>
      <c r="HV825" s="0"/>
      <c r="HW825" s="0"/>
      <c r="HX825" s="0"/>
      <c r="HY825" s="0"/>
      <c r="HZ825" s="0"/>
      <c r="IA825" s="0"/>
      <c r="IB825" s="0"/>
      <c r="IC825" s="0"/>
      <c r="ID825" s="0"/>
      <c r="IE825" s="0"/>
      <c r="IF825" s="0"/>
      <c r="IG825" s="0"/>
      <c r="IH825" s="0"/>
      <c r="II825" s="0"/>
      <c r="IJ825" s="0"/>
      <c r="IK825" s="0"/>
      <c r="IL825" s="0"/>
      <c r="IM825" s="0"/>
      <c r="IN825" s="0"/>
      <c r="IO825" s="0"/>
      <c r="IP825" s="0"/>
      <c r="IQ825" s="0"/>
      <c r="IR825" s="0"/>
      <c r="IS825" s="0"/>
      <c r="IT825" s="0"/>
      <c r="IU825" s="0"/>
      <c r="IV825" s="0"/>
    </row>
    <row r="826" customFormat="false" ht="19.5" hidden="false" customHeight="true" outlineLevel="0" collapsed="false">
      <c r="B826" s="1244" t="s">
        <v>500</v>
      </c>
      <c r="C826" s="1244"/>
      <c r="D826" s="1244"/>
      <c r="E826" s="1121" t="s">
        <v>253</v>
      </c>
      <c r="F826" s="1122"/>
      <c r="L826" s="14"/>
      <c r="M826" s="14"/>
      <c r="N826" s="14"/>
      <c r="Q826" s="55"/>
      <c r="R826" s="55"/>
      <c r="S826" s="55"/>
      <c r="T826" s="0"/>
      <c r="U826" s="0"/>
      <c r="V826" s="0"/>
      <c r="W826" s="0"/>
      <c r="X826" s="0"/>
      <c r="Y826" s="0"/>
      <c r="Z826" s="0"/>
      <c r="AA826" s="0"/>
      <c r="AB826" s="0"/>
      <c r="AC826" s="0"/>
      <c r="AD826" s="0"/>
      <c r="AE826" s="0"/>
      <c r="AF826" s="0"/>
      <c r="AG826" s="0"/>
      <c r="AH826" s="0"/>
      <c r="AI826" s="0"/>
      <c r="AJ826" s="0"/>
      <c r="AK826" s="0"/>
      <c r="AL826" s="0"/>
      <c r="AM826" s="0"/>
      <c r="AN826" s="0"/>
      <c r="AO826" s="0"/>
      <c r="AP826" s="0"/>
      <c r="AQ826" s="0"/>
      <c r="AR826" s="0"/>
      <c r="AS826" s="0"/>
      <c r="AT826" s="0"/>
      <c r="AU826" s="0"/>
      <c r="AV826" s="0"/>
      <c r="AW826" s="0"/>
      <c r="AX826" s="0"/>
      <c r="AY826" s="0"/>
      <c r="AZ826" s="0"/>
      <c r="BA826" s="0"/>
      <c r="BB826" s="0"/>
      <c r="BC826" s="0"/>
      <c r="BD826" s="0"/>
      <c r="BE826" s="0"/>
      <c r="BF826" s="0"/>
      <c r="BG826" s="0"/>
      <c r="BH826" s="0"/>
      <c r="BI826" s="0"/>
      <c r="BJ826" s="0"/>
      <c r="BK826" s="0"/>
      <c r="BL826" s="0"/>
      <c r="BM826" s="0"/>
      <c r="BN826" s="0"/>
      <c r="BO826" s="0"/>
      <c r="BP826" s="0"/>
      <c r="BQ826" s="0"/>
      <c r="BR826" s="0"/>
      <c r="BS826" s="0"/>
      <c r="BT826" s="0"/>
      <c r="BU826" s="0"/>
      <c r="BV826" s="0"/>
      <c r="BW826" s="0"/>
      <c r="BX826" s="0"/>
      <c r="BY826" s="0"/>
      <c r="BZ826" s="0"/>
      <c r="CA826" s="0"/>
      <c r="CB826" s="0"/>
      <c r="CC826" s="0"/>
      <c r="CD826" s="0"/>
      <c r="CE826" s="0"/>
      <c r="CF826" s="0"/>
      <c r="CG826" s="0"/>
      <c r="CH826" s="0"/>
      <c r="CI826" s="0"/>
      <c r="CJ826" s="0"/>
      <c r="CK826" s="0"/>
      <c r="CL826" s="0"/>
      <c r="CM826" s="0"/>
      <c r="CN826" s="0"/>
      <c r="CO826" s="0"/>
      <c r="CP826" s="0"/>
      <c r="CQ826" s="0"/>
      <c r="CR826" s="0"/>
      <c r="CS826" s="0"/>
      <c r="CT826" s="0"/>
      <c r="CU826" s="0"/>
      <c r="CV826" s="0"/>
      <c r="CW826" s="0"/>
      <c r="CX826" s="0"/>
      <c r="CY826" s="0"/>
      <c r="CZ826" s="0"/>
      <c r="DA826" s="0"/>
      <c r="DB826" s="0"/>
      <c r="DC826" s="0"/>
      <c r="DD826" s="0"/>
      <c r="DE826" s="0"/>
      <c r="DF826" s="0"/>
      <c r="DG826" s="0"/>
      <c r="DH826" s="0"/>
      <c r="DI826" s="0"/>
      <c r="DJ826" s="0"/>
      <c r="DK826" s="0"/>
      <c r="DL826" s="0"/>
      <c r="DM826" s="0"/>
      <c r="DN826" s="0"/>
      <c r="DO826" s="0"/>
      <c r="DP826" s="0"/>
      <c r="DQ826" s="0"/>
      <c r="DR826" s="0"/>
      <c r="DS826" s="0"/>
      <c r="DT826" s="0"/>
      <c r="DU826" s="0"/>
      <c r="DV826" s="0"/>
      <c r="DW826" s="0"/>
      <c r="DX826" s="0"/>
      <c r="DY826" s="0"/>
      <c r="DZ826" s="0"/>
      <c r="EA826" s="0"/>
      <c r="EB826" s="0"/>
      <c r="EC826" s="0"/>
      <c r="ED826" s="0"/>
      <c r="EE826" s="0"/>
      <c r="EF826" s="0"/>
      <c r="EG826" s="0"/>
      <c r="EH826" s="0"/>
      <c r="EI826" s="0"/>
      <c r="EJ826" s="0"/>
      <c r="EK826" s="0"/>
      <c r="EL826" s="0"/>
      <c r="EM826" s="0"/>
      <c r="EN826" s="0"/>
      <c r="EO826" s="0"/>
      <c r="EP826" s="0"/>
      <c r="EQ826" s="0"/>
      <c r="ER826" s="0"/>
      <c r="ES826" s="0"/>
      <c r="ET826" s="0"/>
      <c r="EU826" s="0"/>
      <c r="EV826" s="0"/>
      <c r="EW826" s="0"/>
      <c r="EX826" s="0"/>
      <c r="EY826" s="0"/>
      <c r="EZ826" s="0"/>
      <c r="FA826" s="0"/>
      <c r="FB826" s="0"/>
      <c r="FC826" s="0"/>
      <c r="FD826" s="0"/>
      <c r="FE826" s="0"/>
      <c r="FF826" s="0"/>
      <c r="FG826" s="0"/>
      <c r="FH826" s="0"/>
      <c r="FI826" s="0"/>
      <c r="FJ826" s="0"/>
      <c r="FK826" s="0"/>
      <c r="FL826" s="0"/>
      <c r="FM826" s="0"/>
      <c r="FN826" s="0"/>
      <c r="FO826" s="0"/>
      <c r="FP826" s="0"/>
      <c r="FQ826" s="0"/>
      <c r="FR826" s="0"/>
      <c r="FS826" s="0"/>
      <c r="FT826" s="0"/>
      <c r="FU826" s="0"/>
      <c r="FV826" s="0"/>
      <c r="FW826" s="0"/>
      <c r="FX826" s="0"/>
      <c r="FY826" s="0"/>
      <c r="FZ826" s="0"/>
      <c r="GA826" s="0"/>
      <c r="GB826" s="0"/>
      <c r="GC826" s="0"/>
      <c r="GD826" s="0"/>
      <c r="GE826" s="0"/>
      <c r="GF826" s="0"/>
      <c r="GG826" s="0"/>
      <c r="GH826" s="0"/>
      <c r="GI826" s="0"/>
      <c r="GJ826" s="0"/>
      <c r="GK826" s="0"/>
      <c r="GL826" s="0"/>
      <c r="GM826" s="0"/>
      <c r="GN826" s="0"/>
      <c r="GO826" s="0"/>
      <c r="GP826" s="0"/>
      <c r="GQ826" s="0"/>
      <c r="GR826" s="0"/>
      <c r="GS826" s="0"/>
      <c r="GT826" s="0"/>
      <c r="GU826" s="0"/>
      <c r="GV826" s="0"/>
      <c r="GW826" s="0"/>
      <c r="GX826" s="0"/>
      <c r="GY826" s="0"/>
      <c r="GZ826" s="0"/>
      <c r="HA826" s="0"/>
      <c r="HB826" s="0"/>
      <c r="HC826" s="0"/>
      <c r="HD826" s="0"/>
      <c r="HE826" s="0"/>
      <c r="HF826" s="0"/>
      <c r="HG826" s="0"/>
      <c r="HH826" s="0"/>
      <c r="HI826" s="0"/>
      <c r="HJ826" s="0"/>
      <c r="HK826" s="0"/>
      <c r="HL826" s="0"/>
      <c r="HM826" s="0"/>
      <c r="HN826" s="0"/>
      <c r="HO826" s="0"/>
      <c r="HP826" s="0"/>
      <c r="HQ826" s="0"/>
      <c r="HR826" s="0"/>
      <c r="HS826" s="0"/>
      <c r="HT826" s="0"/>
      <c r="HU826" s="0"/>
      <c r="HV826" s="0"/>
      <c r="HW826" s="0"/>
      <c r="HX826" s="0"/>
      <c r="HY826" s="0"/>
      <c r="HZ826" s="0"/>
      <c r="IA826" s="0"/>
      <c r="IB826" s="0"/>
      <c r="IC826" s="0"/>
      <c r="ID826" s="0"/>
      <c r="IE826" s="0"/>
      <c r="IF826" s="0"/>
      <c r="IG826" s="0"/>
      <c r="IH826" s="0"/>
      <c r="II826" s="0"/>
      <c r="IJ826" s="0"/>
      <c r="IK826" s="0"/>
      <c r="IL826" s="0"/>
      <c r="IM826" s="0"/>
      <c r="IN826" s="0"/>
      <c r="IO826" s="0"/>
      <c r="IP826" s="0"/>
      <c r="IQ826" s="0"/>
      <c r="IR826" s="0"/>
      <c r="IS826" s="0"/>
      <c r="IT826" s="0"/>
      <c r="IU826" s="0"/>
      <c r="IV826" s="0"/>
    </row>
    <row r="827" customFormat="false" ht="19.5" hidden="false" customHeight="true" outlineLevel="0" collapsed="false">
      <c r="A827" s="14"/>
      <c r="B827" s="1011"/>
      <c r="C827" s="14"/>
      <c r="D827" s="14"/>
      <c r="E827" s="14"/>
      <c r="F827" s="14"/>
      <c r="G827" s="14"/>
      <c r="H827" s="14"/>
      <c r="I827" s="14"/>
      <c r="J827" s="14"/>
      <c r="K827" s="14"/>
      <c r="L827" s="14"/>
      <c r="M827" s="14"/>
      <c r="N827" s="14"/>
      <c r="Q827" s="55"/>
      <c r="R827" s="55"/>
      <c r="S827" s="55"/>
      <c r="T827" s="0"/>
      <c r="U827" s="0"/>
      <c r="V827" s="0"/>
      <c r="W827" s="0"/>
      <c r="X827" s="0"/>
      <c r="Y827" s="0"/>
      <c r="Z827" s="0"/>
      <c r="AA827" s="0"/>
      <c r="AB827" s="0"/>
      <c r="AC827" s="0"/>
      <c r="AD827" s="0"/>
      <c r="AE827" s="0"/>
      <c r="AF827" s="0"/>
      <c r="AG827" s="0"/>
      <c r="AH827" s="0"/>
      <c r="AI827" s="0"/>
      <c r="AJ827" s="0"/>
      <c r="AK827" s="0"/>
      <c r="AL827" s="0"/>
      <c r="AM827" s="0"/>
      <c r="AN827" s="0"/>
      <c r="AO827" s="0"/>
      <c r="AP827" s="0"/>
      <c r="AQ827" s="0"/>
      <c r="AR827" s="0"/>
      <c r="AS827" s="0"/>
      <c r="AT827" s="0"/>
      <c r="AU827" s="0"/>
      <c r="AV827" s="0"/>
      <c r="AW827" s="0"/>
      <c r="AX827" s="0"/>
      <c r="AY827" s="0"/>
      <c r="AZ827" s="0"/>
      <c r="BA827" s="0"/>
      <c r="BB827" s="0"/>
      <c r="BC827" s="0"/>
      <c r="BD827" s="0"/>
      <c r="BE827" s="0"/>
      <c r="BF827" s="0"/>
      <c r="BG827" s="0"/>
      <c r="BH827" s="0"/>
      <c r="BI827" s="0"/>
      <c r="BJ827" s="0"/>
      <c r="BK827" s="0"/>
      <c r="BL827" s="0"/>
      <c r="BM827" s="0"/>
      <c r="BN827" s="0"/>
      <c r="BO827" s="0"/>
      <c r="BP827" s="0"/>
      <c r="BQ827" s="0"/>
      <c r="BR827" s="0"/>
      <c r="BS827" s="0"/>
      <c r="BT827" s="0"/>
      <c r="BU827" s="0"/>
      <c r="BV827" s="0"/>
      <c r="BW827" s="0"/>
      <c r="BX827" s="0"/>
      <c r="BY827" s="0"/>
      <c r="BZ827" s="0"/>
      <c r="CA827" s="0"/>
      <c r="CB827" s="0"/>
      <c r="CC827" s="0"/>
      <c r="CD827" s="0"/>
      <c r="CE827" s="0"/>
      <c r="CF827" s="0"/>
      <c r="CG827" s="0"/>
      <c r="CH827" s="0"/>
      <c r="CI827" s="0"/>
      <c r="CJ827" s="0"/>
      <c r="CK827" s="0"/>
      <c r="CL827" s="0"/>
      <c r="CM827" s="0"/>
      <c r="CN827" s="0"/>
      <c r="CO827" s="0"/>
      <c r="CP827" s="0"/>
      <c r="CQ827" s="0"/>
      <c r="CR827" s="0"/>
      <c r="CS827" s="0"/>
      <c r="CT827" s="0"/>
      <c r="CU827" s="0"/>
      <c r="CV827" s="0"/>
      <c r="CW827" s="0"/>
      <c r="CX827" s="0"/>
      <c r="CY827" s="0"/>
      <c r="CZ827" s="0"/>
      <c r="DA827" s="0"/>
      <c r="DB827" s="0"/>
      <c r="DC827" s="0"/>
      <c r="DD827" s="0"/>
      <c r="DE827" s="0"/>
      <c r="DF827" s="0"/>
      <c r="DG827" s="0"/>
      <c r="DH827" s="0"/>
      <c r="DI827" s="0"/>
      <c r="DJ827" s="0"/>
      <c r="DK827" s="0"/>
      <c r="DL827" s="0"/>
      <c r="DM827" s="0"/>
      <c r="DN827" s="0"/>
      <c r="DO827" s="0"/>
      <c r="DP827" s="0"/>
      <c r="DQ827" s="0"/>
      <c r="DR827" s="0"/>
      <c r="DS827" s="0"/>
      <c r="DT827" s="0"/>
      <c r="DU827" s="0"/>
      <c r="DV827" s="0"/>
      <c r="DW827" s="0"/>
      <c r="DX827" s="0"/>
      <c r="DY827" s="0"/>
      <c r="DZ827" s="0"/>
      <c r="EA827" s="0"/>
      <c r="EB827" s="0"/>
      <c r="EC827" s="0"/>
      <c r="ED827" s="0"/>
      <c r="EE827" s="0"/>
      <c r="EF827" s="0"/>
      <c r="EG827" s="0"/>
      <c r="EH827" s="0"/>
      <c r="EI827" s="0"/>
      <c r="EJ827" s="0"/>
      <c r="EK827" s="0"/>
      <c r="EL827" s="0"/>
      <c r="EM827" s="0"/>
      <c r="EN827" s="0"/>
      <c r="EO827" s="0"/>
      <c r="EP827" s="0"/>
      <c r="EQ827" s="0"/>
      <c r="ER827" s="0"/>
      <c r="ES827" s="0"/>
      <c r="ET827" s="0"/>
      <c r="EU827" s="0"/>
      <c r="EV827" s="0"/>
      <c r="EW827" s="0"/>
      <c r="EX827" s="0"/>
      <c r="EY827" s="0"/>
      <c r="EZ827" s="0"/>
      <c r="FA827" s="0"/>
      <c r="FB827" s="0"/>
      <c r="FC827" s="0"/>
      <c r="FD827" s="0"/>
      <c r="FE827" s="0"/>
      <c r="FF827" s="0"/>
      <c r="FG827" s="0"/>
      <c r="FH827" s="0"/>
      <c r="FI827" s="0"/>
      <c r="FJ827" s="0"/>
      <c r="FK827" s="0"/>
      <c r="FL827" s="0"/>
      <c r="FM827" s="0"/>
      <c r="FN827" s="0"/>
      <c r="FO827" s="0"/>
      <c r="FP827" s="0"/>
      <c r="FQ827" s="0"/>
      <c r="FR827" s="0"/>
      <c r="FS827" s="0"/>
      <c r="FT827" s="0"/>
      <c r="FU827" s="0"/>
      <c r="FV827" s="0"/>
      <c r="FW827" s="0"/>
      <c r="FX827" s="0"/>
      <c r="FY827" s="0"/>
      <c r="FZ827" s="0"/>
      <c r="GA827" s="0"/>
      <c r="GB827" s="0"/>
      <c r="GC827" s="0"/>
      <c r="GD827" s="0"/>
      <c r="GE827" s="0"/>
      <c r="GF827" s="0"/>
      <c r="GG827" s="0"/>
      <c r="GH827" s="0"/>
      <c r="GI827" s="0"/>
      <c r="GJ827" s="0"/>
      <c r="GK827" s="0"/>
      <c r="GL827" s="0"/>
      <c r="GM827" s="0"/>
      <c r="GN827" s="0"/>
      <c r="GO827" s="0"/>
      <c r="GP827" s="0"/>
      <c r="GQ827" s="0"/>
      <c r="GR827" s="0"/>
      <c r="GS827" s="0"/>
      <c r="GT827" s="0"/>
      <c r="GU827" s="0"/>
      <c r="GV827" s="0"/>
      <c r="GW827" s="0"/>
      <c r="GX827" s="0"/>
      <c r="GY827" s="0"/>
      <c r="GZ827" s="0"/>
      <c r="HA827" s="0"/>
      <c r="HB827" s="0"/>
      <c r="HC827" s="0"/>
      <c r="HD827" s="0"/>
      <c r="HE827" s="0"/>
      <c r="HF827" s="0"/>
      <c r="HG827" s="0"/>
      <c r="HH827" s="0"/>
      <c r="HI827" s="0"/>
      <c r="HJ827" s="0"/>
      <c r="HK827" s="0"/>
      <c r="HL827" s="0"/>
      <c r="HM827" s="0"/>
      <c r="HN827" s="0"/>
      <c r="HO827" s="0"/>
      <c r="HP827" s="0"/>
      <c r="HQ827" s="0"/>
      <c r="HR827" s="0"/>
      <c r="HS827" s="0"/>
      <c r="HT827" s="0"/>
      <c r="HU827" s="0"/>
      <c r="HV827" s="0"/>
      <c r="HW827" s="0"/>
      <c r="HX827" s="0"/>
      <c r="HY827" s="0"/>
      <c r="HZ827" s="0"/>
      <c r="IA827" s="0"/>
      <c r="IB827" s="0"/>
      <c r="IC827" s="0"/>
      <c r="ID827" s="0"/>
      <c r="IE827" s="0"/>
      <c r="IF827" s="0"/>
      <c r="IG827" s="0"/>
      <c r="IH827" s="0"/>
      <c r="II827" s="0"/>
      <c r="IJ827" s="0"/>
      <c r="IK827" s="0"/>
      <c r="IL827" s="0"/>
      <c r="IM827" s="0"/>
      <c r="IN827" s="0"/>
      <c r="IO827" s="0"/>
      <c r="IP827" s="0"/>
      <c r="IQ827" s="0"/>
      <c r="IR827" s="0"/>
      <c r="IS827" s="0"/>
      <c r="IT827" s="0"/>
      <c r="IU827" s="0"/>
      <c r="IV827" s="0"/>
    </row>
    <row r="828" customFormat="false" ht="19.5" hidden="false" customHeight="true" outlineLevel="0" collapsed="false">
      <c r="A828" s="14"/>
      <c r="B828" s="1011"/>
      <c r="C828" s="14"/>
      <c r="D828" s="14"/>
      <c r="E828" s="14"/>
      <c r="F828" s="14"/>
      <c r="G828" s="14"/>
      <c r="H828" s="14"/>
      <c r="I828" s="14"/>
      <c r="J828" s="14"/>
      <c r="K828" s="14"/>
      <c r="L828" s="14"/>
      <c r="M828" s="14"/>
      <c r="N828" s="14"/>
      <c r="Q828" s="55"/>
      <c r="R828" s="55"/>
      <c r="S828" s="55"/>
      <c r="T828" s="0"/>
      <c r="U828" s="0"/>
      <c r="V828" s="0"/>
      <c r="W828" s="0"/>
      <c r="X828" s="0"/>
      <c r="Y828" s="0"/>
      <c r="Z828" s="0"/>
      <c r="AA828" s="0"/>
      <c r="AB828" s="0"/>
      <c r="AC828" s="0"/>
      <c r="AD828" s="0"/>
      <c r="AE828" s="0"/>
      <c r="AF828" s="0"/>
      <c r="AG828" s="0"/>
      <c r="AH828" s="0"/>
      <c r="AI828" s="0"/>
      <c r="AJ828" s="0"/>
      <c r="AK828" s="0"/>
      <c r="AL828" s="0"/>
      <c r="AM828" s="0"/>
      <c r="AN828" s="0"/>
      <c r="AO828" s="0"/>
      <c r="AP828" s="0"/>
      <c r="AQ828" s="0"/>
      <c r="AR828" s="0"/>
      <c r="AS828" s="0"/>
      <c r="AT828" s="0"/>
      <c r="AU828" s="0"/>
      <c r="AV828" s="0"/>
      <c r="AW828" s="0"/>
      <c r="AX828" s="0"/>
      <c r="AY828" s="0"/>
      <c r="AZ828" s="0"/>
      <c r="BA828" s="0"/>
      <c r="BB828" s="0"/>
      <c r="BC828" s="0"/>
      <c r="BD828" s="0"/>
      <c r="BE828" s="0"/>
      <c r="BF828" s="0"/>
      <c r="BG828" s="0"/>
      <c r="BH828" s="0"/>
      <c r="BI828" s="0"/>
      <c r="BJ828" s="0"/>
      <c r="BK828" s="0"/>
      <c r="BL828" s="0"/>
      <c r="BM828" s="0"/>
      <c r="BN828" s="0"/>
      <c r="BO828" s="0"/>
      <c r="BP828" s="0"/>
      <c r="BQ828" s="0"/>
      <c r="BR828" s="0"/>
      <c r="BS828" s="0"/>
      <c r="BT828" s="0"/>
      <c r="BU828" s="0"/>
      <c r="BV828" s="0"/>
      <c r="BW828" s="0"/>
      <c r="BX828" s="0"/>
      <c r="BY828" s="0"/>
      <c r="BZ828" s="0"/>
      <c r="CA828" s="0"/>
      <c r="CB828" s="0"/>
      <c r="CC828" s="0"/>
      <c r="CD828" s="0"/>
      <c r="CE828" s="0"/>
      <c r="CF828" s="0"/>
      <c r="CG828" s="0"/>
      <c r="CH828" s="0"/>
      <c r="CI828" s="0"/>
      <c r="CJ828" s="0"/>
      <c r="CK828" s="0"/>
      <c r="CL828" s="0"/>
      <c r="CM828" s="0"/>
      <c r="CN828" s="0"/>
      <c r="CO828" s="0"/>
      <c r="CP828" s="0"/>
      <c r="CQ828" s="0"/>
      <c r="CR828" s="0"/>
      <c r="CS828" s="0"/>
      <c r="CT828" s="0"/>
      <c r="CU828" s="0"/>
      <c r="CV828" s="0"/>
      <c r="CW828" s="0"/>
      <c r="CX828" s="0"/>
      <c r="CY828" s="0"/>
      <c r="CZ828" s="0"/>
      <c r="DA828" s="0"/>
      <c r="DB828" s="0"/>
      <c r="DC828" s="0"/>
      <c r="DD828" s="0"/>
      <c r="DE828" s="0"/>
      <c r="DF828" s="0"/>
      <c r="DG828" s="0"/>
      <c r="DH828" s="0"/>
      <c r="DI828" s="0"/>
      <c r="DJ828" s="0"/>
      <c r="DK828" s="0"/>
      <c r="DL828" s="0"/>
      <c r="DM828" s="0"/>
      <c r="DN828" s="0"/>
      <c r="DO828" s="0"/>
      <c r="DP828" s="0"/>
      <c r="DQ828" s="0"/>
      <c r="DR828" s="0"/>
      <c r="DS828" s="0"/>
      <c r="DT828" s="0"/>
      <c r="DU828" s="0"/>
      <c r="DV828" s="0"/>
      <c r="DW828" s="0"/>
      <c r="DX828" s="0"/>
      <c r="DY828" s="0"/>
      <c r="DZ828" s="0"/>
      <c r="EA828" s="0"/>
      <c r="EB828" s="0"/>
      <c r="EC828" s="0"/>
      <c r="ED828" s="0"/>
      <c r="EE828" s="0"/>
      <c r="EF828" s="0"/>
      <c r="EG828" s="0"/>
      <c r="EH828" s="0"/>
      <c r="EI828" s="0"/>
      <c r="EJ828" s="0"/>
      <c r="EK828" s="0"/>
      <c r="EL828" s="0"/>
      <c r="EM828" s="0"/>
      <c r="EN828" s="0"/>
      <c r="EO828" s="0"/>
      <c r="EP828" s="0"/>
      <c r="EQ828" s="0"/>
      <c r="ER828" s="0"/>
      <c r="ES828" s="0"/>
      <c r="ET828" s="0"/>
      <c r="EU828" s="0"/>
      <c r="EV828" s="0"/>
      <c r="EW828" s="0"/>
      <c r="EX828" s="0"/>
      <c r="EY828" s="0"/>
      <c r="EZ828" s="0"/>
      <c r="FA828" s="0"/>
      <c r="FB828" s="0"/>
      <c r="FC828" s="0"/>
      <c r="FD828" s="0"/>
      <c r="FE828" s="0"/>
      <c r="FF828" s="0"/>
      <c r="FG828" s="0"/>
      <c r="FH828" s="0"/>
      <c r="FI828" s="0"/>
      <c r="FJ828" s="0"/>
      <c r="FK828" s="0"/>
      <c r="FL828" s="0"/>
      <c r="FM828" s="0"/>
      <c r="FN828" s="0"/>
      <c r="FO828" s="0"/>
      <c r="FP828" s="0"/>
      <c r="FQ828" s="0"/>
      <c r="FR828" s="0"/>
      <c r="FS828" s="0"/>
      <c r="FT828" s="0"/>
      <c r="FU828" s="0"/>
      <c r="FV828" s="0"/>
      <c r="FW828" s="0"/>
      <c r="FX828" s="0"/>
      <c r="FY828" s="0"/>
      <c r="FZ828" s="0"/>
      <c r="GA828" s="0"/>
      <c r="GB828" s="0"/>
      <c r="GC828" s="0"/>
      <c r="GD828" s="0"/>
      <c r="GE828" s="0"/>
      <c r="GF828" s="0"/>
      <c r="GG828" s="0"/>
      <c r="GH828" s="0"/>
      <c r="GI828" s="0"/>
      <c r="GJ828" s="0"/>
      <c r="GK828" s="0"/>
      <c r="GL828" s="0"/>
      <c r="GM828" s="0"/>
      <c r="GN828" s="0"/>
      <c r="GO828" s="0"/>
      <c r="GP828" s="0"/>
      <c r="GQ828" s="0"/>
      <c r="GR828" s="0"/>
      <c r="GS828" s="0"/>
      <c r="GT828" s="0"/>
      <c r="GU828" s="0"/>
      <c r="GV828" s="0"/>
      <c r="GW828" s="0"/>
      <c r="GX828" s="0"/>
      <c r="GY828" s="0"/>
      <c r="GZ828" s="0"/>
      <c r="HA828" s="0"/>
      <c r="HB828" s="0"/>
      <c r="HC828" s="0"/>
      <c r="HD828" s="0"/>
      <c r="HE828" s="0"/>
      <c r="HF828" s="0"/>
      <c r="HG828" s="0"/>
      <c r="HH828" s="0"/>
      <c r="HI828" s="0"/>
      <c r="HJ828" s="0"/>
      <c r="HK828" s="0"/>
      <c r="HL828" s="0"/>
      <c r="HM828" s="0"/>
      <c r="HN828" s="0"/>
      <c r="HO828" s="0"/>
      <c r="HP828" s="0"/>
      <c r="HQ828" s="0"/>
      <c r="HR828" s="0"/>
      <c r="HS828" s="0"/>
      <c r="HT828" s="0"/>
      <c r="HU828" s="0"/>
      <c r="HV828" s="0"/>
      <c r="HW828" s="0"/>
      <c r="HX828" s="0"/>
      <c r="HY828" s="0"/>
      <c r="HZ828" s="0"/>
      <c r="IA828" s="0"/>
      <c r="IB828" s="0"/>
      <c r="IC828" s="0"/>
      <c r="ID828" s="0"/>
      <c r="IE828" s="0"/>
      <c r="IF828" s="0"/>
      <c r="IG828" s="0"/>
      <c r="IH828" s="0"/>
      <c r="II828" s="0"/>
      <c r="IJ828" s="0"/>
      <c r="IK828" s="0"/>
      <c r="IL828" s="0"/>
      <c r="IM828" s="0"/>
      <c r="IN828" s="0"/>
      <c r="IO828" s="0"/>
      <c r="IP828" s="0"/>
      <c r="IQ828" s="0"/>
      <c r="IR828" s="0"/>
      <c r="IS828" s="0"/>
      <c r="IT828" s="0"/>
      <c r="IU828" s="0"/>
      <c r="IV828" s="0"/>
    </row>
    <row r="829" customFormat="false" ht="20.1" hidden="false" customHeight="true" outlineLevel="0" collapsed="false">
      <c r="A829" s="1245" t="s">
        <v>1581</v>
      </c>
      <c r="B829" s="1245"/>
      <c r="C829" s="1245"/>
      <c r="D829" s="1245"/>
      <c r="E829" s="1245"/>
      <c r="F829" s="1245"/>
      <c r="G829" s="1245"/>
      <c r="H829" s="0"/>
      <c r="I829" s="0"/>
      <c r="J829" s="0"/>
      <c r="K829" s="903"/>
      <c r="L829" s="877" t="s">
        <v>1475</v>
      </c>
      <c r="M829" s="0"/>
      <c r="Q829" s="55"/>
      <c r="R829" s="55"/>
      <c r="S829" s="55"/>
      <c r="T829" s="0"/>
      <c r="U829" s="0"/>
      <c r="V829" s="0"/>
      <c r="W829" s="0"/>
      <c r="X829" s="0"/>
      <c r="Y829" s="0"/>
      <c r="Z829" s="0"/>
      <c r="AA829" s="0"/>
      <c r="AB829" s="0"/>
      <c r="AC829" s="0"/>
      <c r="AD829" s="0"/>
      <c r="AE829" s="0"/>
      <c r="AF829" s="0"/>
      <c r="AG829" s="0"/>
      <c r="AH829" s="0"/>
      <c r="AI829" s="0"/>
      <c r="AJ829" s="0"/>
      <c r="AK829" s="0"/>
      <c r="AL829" s="0"/>
      <c r="AM829" s="0"/>
      <c r="AN829" s="0"/>
      <c r="AO829" s="0"/>
      <c r="AP829" s="0"/>
      <c r="AQ829" s="0"/>
      <c r="AR829" s="0"/>
      <c r="AS829" s="0"/>
      <c r="AT829" s="0"/>
      <c r="AU829" s="0"/>
      <c r="AV829" s="0"/>
      <c r="AW829" s="0"/>
      <c r="AX829" s="0"/>
      <c r="AY829" s="0"/>
      <c r="AZ829" s="0"/>
      <c r="BA829" s="0"/>
      <c r="BB829" s="0"/>
      <c r="BC829" s="0"/>
      <c r="BD829" s="0"/>
      <c r="BE829" s="0"/>
      <c r="BF829" s="0"/>
      <c r="BG829" s="0"/>
      <c r="BH829" s="0"/>
      <c r="BI829" s="0"/>
      <c r="BJ829" s="0"/>
      <c r="BK829" s="0"/>
      <c r="BL829" s="0"/>
      <c r="BM829" s="0"/>
      <c r="BN829" s="0"/>
      <c r="BO829" s="0"/>
      <c r="BP829" s="0"/>
      <c r="BQ829" s="0"/>
      <c r="BR829" s="0"/>
      <c r="BS829" s="0"/>
      <c r="BT829" s="0"/>
      <c r="BU829" s="0"/>
      <c r="BV829" s="0"/>
      <c r="BW829" s="0"/>
      <c r="BX829" s="0"/>
      <c r="BY829" s="0"/>
      <c r="BZ829" s="0"/>
      <c r="CA829" s="0"/>
      <c r="CB829" s="0"/>
      <c r="CC829" s="0"/>
      <c r="CD829" s="0"/>
      <c r="CE829" s="0"/>
      <c r="CF829" s="0"/>
      <c r="CG829" s="0"/>
      <c r="CH829" s="0"/>
      <c r="CI829" s="0"/>
      <c r="CJ829" s="0"/>
      <c r="CK829" s="0"/>
      <c r="CL829" s="0"/>
      <c r="CM829" s="0"/>
      <c r="CN829" s="0"/>
      <c r="CO829" s="0"/>
      <c r="CP829" s="0"/>
      <c r="CQ829" s="0"/>
      <c r="CR829" s="0"/>
      <c r="CS829" s="0"/>
      <c r="CT829" s="0"/>
      <c r="CU829" s="0"/>
      <c r="CV829" s="0"/>
      <c r="CW829" s="0"/>
      <c r="CX829" s="0"/>
      <c r="CY829" s="0"/>
      <c r="CZ829" s="0"/>
      <c r="DA829" s="0"/>
      <c r="DB829" s="0"/>
      <c r="DC829" s="0"/>
      <c r="DD829" s="0"/>
      <c r="DE829" s="0"/>
      <c r="DF829" s="0"/>
      <c r="DG829" s="0"/>
      <c r="DH829" s="0"/>
      <c r="DI829" s="0"/>
      <c r="DJ829" s="0"/>
      <c r="DK829" s="0"/>
      <c r="DL829" s="0"/>
      <c r="DM829" s="0"/>
      <c r="DN829" s="0"/>
      <c r="DO829" s="0"/>
      <c r="DP829" s="0"/>
      <c r="DQ829" s="0"/>
      <c r="DR829" s="0"/>
      <c r="DS829" s="0"/>
      <c r="DT829" s="0"/>
      <c r="DU829" s="0"/>
      <c r="DV829" s="0"/>
      <c r="DW829" s="0"/>
      <c r="DX829" s="0"/>
      <c r="DY829" s="0"/>
      <c r="DZ829" s="0"/>
      <c r="EA829" s="0"/>
      <c r="EB829" s="0"/>
      <c r="EC829" s="0"/>
      <c r="ED829" s="0"/>
      <c r="EE829" s="0"/>
      <c r="EF829" s="0"/>
      <c r="EG829" s="0"/>
      <c r="EH829" s="0"/>
      <c r="EI829" s="0"/>
      <c r="EJ829" s="0"/>
      <c r="EK829" s="0"/>
      <c r="EL829" s="0"/>
      <c r="EM829" s="0"/>
      <c r="EN829" s="0"/>
      <c r="EO829" s="0"/>
      <c r="EP829" s="0"/>
      <c r="EQ829" s="0"/>
      <c r="ER829" s="0"/>
      <c r="ES829" s="0"/>
      <c r="ET829" s="0"/>
      <c r="EU829" s="0"/>
      <c r="EV829" s="0"/>
      <c r="EW829" s="0"/>
      <c r="EX829" s="0"/>
      <c r="EY829" s="0"/>
      <c r="EZ829" s="0"/>
      <c r="FA829" s="0"/>
      <c r="FB829" s="0"/>
      <c r="FC829" s="0"/>
      <c r="FD829" s="0"/>
      <c r="FE829" s="0"/>
      <c r="FF829" s="0"/>
      <c r="FG829" s="0"/>
      <c r="FH829" s="0"/>
      <c r="FI829" s="0"/>
      <c r="FJ829" s="0"/>
      <c r="FK829" s="0"/>
      <c r="FL829" s="0"/>
      <c r="FM829" s="0"/>
      <c r="FN829" s="0"/>
      <c r="FO829" s="0"/>
      <c r="FP829" s="0"/>
      <c r="FQ829" s="0"/>
      <c r="FR829" s="0"/>
      <c r="FS829" s="0"/>
      <c r="FT829" s="0"/>
      <c r="FU829" s="0"/>
      <c r="FV829" s="0"/>
      <c r="FW829" s="0"/>
      <c r="FX829" s="0"/>
      <c r="FY829" s="0"/>
      <c r="FZ829" s="0"/>
      <c r="GA829" s="0"/>
      <c r="GB829" s="0"/>
      <c r="GC829" s="0"/>
      <c r="GD829" s="0"/>
      <c r="GE829" s="0"/>
      <c r="GF829" s="0"/>
      <c r="GG829" s="0"/>
      <c r="GH829" s="0"/>
      <c r="GI829" s="0"/>
      <c r="GJ829" s="0"/>
      <c r="GK829" s="0"/>
      <c r="GL829" s="0"/>
      <c r="GM829" s="0"/>
      <c r="GN829" s="0"/>
      <c r="GO829" s="0"/>
      <c r="GP829" s="0"/>
      <c r="GQ829" s="0"/>
      <c r="GR829" s="0"/>
      <c r="GS829" s="0"/>
      <c r="GT829" s="0"/>
      <c r="GU829" s="0"/>
      <c r="GV829" s="0"/>
      <c r="GW829" s="0"/>
      <c r="GX829" s="0"/>
      <c r="GY829" s="0"/>
      <c r="GZ829" s="0"/>
      <c r="HA829" s="0"/>
      <c r="HB829" s="0"/>
      <c r="HC829" s="0"/>
      <c r="HD829" s="0"/>
      <c r="HE829" s="0"/>
      <c r="HF829" s="0"/>
      <c r="HG829" s="0"/>
      <c r="HH829" s="0"/>
      <c r="HI829" s="0"/>
      <c r="HJ829" s="0"/>
      <c r="HK829" s="0"/>
      <c r="HL829" s="0"/>
      <c r="HM829" s="0"/>
      <c r="HN829" s="0"/>
      <c r="HO829" s="0"/>
      <c r="HP829" s="0"/>
      <c r="HQ829" s="0"/>
      <c r="HR829" s="0"/>
      <c r="HS829" s="0"/>
      <c r="HT829" s="0"/>
      <c r="HU829" s="0"/>
      <c r="HV829" s="0"/>
      <c r="HW829" s="0"/>
      <c r="HX829" s="0"/>
      <c r="HY829" s="0"/>
      <c r="HZ829" s="0"/>
      <c r="IA829" s="0"/>
      <c r="IB829" s="0"/>
      <c r="IC829" s="0"/>
      <c r="ID829" s="0"/>
      <c r="IE829" s="0"/>
      <c r="IF829" s="0"/>
      <c r="IG829" s="0"/>
      <c r="IH829" s="0"/>
      <c r="II829" s="0"/>
      <c r="IJ829" s="0"/>
      <c r="IK829" s="0"/>
      <c r="IL829" s="0"/>
      <c r="IM829" s="0"/>
      <c r="IN829" s="0"/>
      <c r="IO829" s="0"/>
      <c r="IP829" s="0"/>
      <c r="IQ829" s="0"/>
      <c r="IR829" s="0"/>
      <c r="IS829" s="0"/>
      <c r="IT829" s="0"/>
      <c r="IU829" s="0"/>
      <c r="IV829" s="0"/>
    </row>
    <row r="830" customFormat="false" ht="20.1" hidden="false" customHeight="true" outlineLevel="0" collapsed="false">
      <c r="A830" s="1243" t="s">
        <v>1582</v>
      </c>
      <c r="B830" s="1243"/>
      <c r="C830" s="1243"/>
      <c r="D830" s="1026"/>
      <c r="E830" s="1026"/>
      <c r="F830" s="1026"/>
      <c r="G830" s="1026"/>
      <c r="H830" s="0"/>
      <c r="I830" s="0"/>
      <c r="J830" s="0"/>
      <c r="K830" s="903"/>
      <c r="L830" s="877"/>
      <c r="M830" s="0"/>
      <c r="Q830" s="55"/>
      <c r="R830" s="55"/>
      <c r="S830" s="55"/>
      <c r="T830" s="0"/>
      <c r="U830" s="0"/>
      <c r="V830" s="0"/>
      <c r="W830" s="0"/>
      <c r="X830" s="0"/>
      <c r="Y830" s="0"/>
      <c r="Z830" s="0"/>
      <c r="AA830" s="0"/>
      <c r="AB830" s="0"/>
      <c r="AC830" s="0"/>
      <c r="AD830" s="0"/>
      <c r="AE830" s="0"/>
      <c r="AF830" s="0"/>
      <c r="AG830" s="0"/>
      <c r="AH830" s="0"/>
      <c r="AI830" s="0"/>
      <c r="AJ830" s="0"/>
      <c r="AK830" s="0"/>
      <c r="AL830" s="0"/>
      <c r="AM830" s="0"/>
      <c r="AN830" s="0"/>
      <c r="AO830" s="0"/>
      <c r="AP830" s="0"/>
      <c r="AQ830" s="0"/>
      <c r="AR830" s="0"/>
      <c r="AS830" s="0"/>
      <c r="AT830" s="0"/>
      <c r="AU830" s="0"/>
      <c r="AV830" s="0"/>
      <c r="AW830" s="0"/>
      <c r="AX830" s="0"/>
      <c r="AY830" s="0"/>
      <c r="AZ830" s="0"/>
      <c r="BA830" s="0"/>
      <c r="BB830" s="0"/>
      <c r="BC830" s="0"/>
      <c r="BD830" s="0"/>
      <c r="BE830" s="0"/>
      <c r="BF830" s="0"/>
      <c r="BG830" s="0"/>
      <c r="BH830" s="0"/>
      <c r="BI830" s="0"/>
      <c r="BJ830" s="0"/>
      <c r="BK830" s="0"/>
      <c r="BL830" s="0"/>
      <c r="BM830" s="0"/>
      <c r="BN830" s="0"/>
      <c r="BO830" s="0"/>
      <c r="BP830" s="0"/>
      <c r="BQ830" s="0"/>
      <c r="BR830" s="0"/>
      <c r="BS830" s="0"/>
      <c r="BT830" s="0"/>
      <c r="BU830" s="0"/>
      <c r="BV830" s="0"/>
      <c r="BW830" s="0"/>
      <c r="BX830" s="0"/>
      <c r="BY830" s="0"/>
      <c r="BZ830" s="0"/>
      <c r="CA830" s="0"/>
      <c r="CB830" s="0"/>
      <c r="CC830" s="0"/>
      <c r="CD830" s="0"/>
      <c r="CE830" s="0"/>
      <c r="CF830" s="0"/>
      <c r="CG830" s="0"/>
      <c r="CH830" s="0"/>
      <c r="CI830" s="0"/>
      <c r="CJ830" s="0"/>
      <c r="CK830" s="0"/>
      <c r="CL830" s="0"/>
      <c r="CM830" s="0"/>
      <c r="CN830" s="0"/>
      <c r="CO830" s="0"/>
      <c r="CP830" s="0"/>
      <c r="CQ830" s="0"/>
      <c r="CR830" s="0"/>
      <c r="CS830" s="0"/>
      <c r="CT830" s="0"/>
      <c r="CU830" s="0"/>
      <c r="CV830" s="0"/>
      <c r="CW830" s="0"/>
      <c r="CX830" s="0"/>
      <c r="CY830" s="0"/>
      <c r="CZ830" s="0"/>
      <c r="DA830" s="0"/>
      <c r="DB830" s="0"/>
      <c r="DC830" s="0"/>
      <c r="DD830" s="0"/>
      <c r="DE830" s="0"/>
      <c r="DF830" s="0"/>
      <c r="DG830" s="0"/>
      <c r="DH830" s="0"/>
      <c r="DI830" s="0"/>
      <c r="DJ830" s="0"/>
      <c r="DK830" s="0"/>
      <c r="DL830" s="0"/>
      <c r="DM830" s="0"/>
      <c r="DN830" s="0"/>
      <c r="DO830" s="0"/>
      <c r="DP830" s="0"/>
      <c r="DQ830" s="0"/>
      <c r="DR830" s="0"/>
      <c r="DS830" s="0"/>
      <c r="DT830" s="0"/>
      <c r="DU830" s="0"/>
      <c r="DV830" s="0"/>
      <c r="DW830" s="0"/>
      <c r="DX830" s="0"/>
      <c r="DY830" s="0"/>
      <c r="DZ830" s="0"/>
      <c r="EA830" s="0"/>
      <c r="EB830" s="0"/>
      <c r="EC830" s="0"/>
      <c r="ED830" s="0"/>
      <c r="EE830" s="0"/>
      <c r="EF830" s="0"/>
      <c r="EG830" s="0"/>
      <c r="EH830" s="0"/>
      <c r="EI830" s="0"/>
      <c r="EJ830" s="0"/>
      <c r="EK830" s="0"/>
      <c r="EL830" s="0"/>
      <c r="EM830" s="0"/>
      <c r="EN830" s="0"/>
      <c r="EO830" s="0"/>
      <c r="EP830" s="0"/>
      <c r="EQ830" s="0"/>
      <c r="ER830" s="0"/>
      <c r="ES830" s="0"/>
      <c r="ET830" s="0"/>
      <c r="EU830" s="0"/>
      <c r="EV830" s="0"/>
      <c r="EW830" s="0"/>
      <c r="EX830" s="0"/>
      <c r="EY830" s="0"/>
      <c r="EZ830" s="0"/>
      <c r="FA830" s="0"/>
      <c r="FB830" s="0"/>
      <c r="FC830" s="0"/>
      <c r="FD830" s="0"/>
      <c r="FE830" s="0"/>
      <c r="FF830" s="0"/>
      <c r="FG830" s="0"/>
      <c r="FH830" s="0"/>
      <c r="FI830" s="0"/>
      <c r="FJ830" s="0"/>
      <c r="FK830" s="0"/>
      <c r="FL830" s="0"/>
      <c r="FM830" s="0"/>
      <c r="FN830" s="0"/>
      <c r="FO830" s="0"/>
      <c r="FP830" s="0"/>
      <c r="FQ830" s="0"/>
      <c r="FR830" s="0"/>
      <c r="FS830" s="0"/>
      <c r="FT830" s="0"/>
      <c r="FU830" s="0"/>
      <c r="FV830" s="0"/>
      <c r="FW830" s="0"/>
      <c r="FX830" s="0"/>
      <c r="FY830" s="0"/>
      <c r="FZ830" s="0"/>
      <c r="GA830" s="0"/>
      <c r="GB830" s="0"/>
      <c r="GC830" s="0"/>
      <c r="GD830" s="0"/>
      <c r="GE830" s="0"/>
      <c r="GF830" s="0"/>
      <c r="GG830" s="0"/>
      <c r="GH830" s="0"/>
      <c r="GI830" s="0"/>
      <c r="GJ830" s="0"/>
      <c r="GK830" s="0"/>
      <c r="GL830" s="0"/>
      <c r="GM830" s="0"/>
      <c r="GN830" s="0"/>
      <c r="GO830" s="0"/>
      <c r="GP830" s="0"/>
      <c r="GQ830" s="0"/>
      <c r="GR830" s="0"/>
      <c r="GS830" s="0"/>
      <c r="GT830" s="0"/>
      <c r="GU830" s="0"/>
      <c r="GV830" s="0"/>
      <c r="GW830" s="0"/>
      <c r="GX830" s="0"/>
      <c r="GY830" s="0"/>
      <c r="GZ830" s="0"/>
      <c r="HA830" s="0"/>
      <c r="HB830" s="0"/>
      <c r="HC830" s="0"/>
      <c r="HD830" s="0"/>
      <c r="HE830" s="0"/>
      <c r="HF830" s="0"/>
      <c r="HG830" s="0"/>
      <c r="HH830" s="0"/>
      <c r="HI830" s="0"/>
      <c r="HJ830" s="0"/>
      <c r="HK830" s="0"/>
      <c r="HL830" s="0"/>
      <c r="HM830" s="0"/>
      <c r="HN830" s="0"/>
      <c r="HO830" s="0"/>
      <c r="HP830" s="0"/>
      <c r="HQ830" s="0"/>
      <c r="HR830" s="0"/>
      <c r="HS830" s="0"/>
      <c r="HT830" s="0"/>
      <c r="HU830" s="0"/>
      <c r="HV830" s="0"/>
      <c r="HW830" s="0"/>
      <c r="HX830" s="0"/>
      <c r="HY830" s="0"/>
      <c r="HZ830" s="0"/>
      <c r="IA830" s="0"/>
      <c r="IB830" s="0"/>
      <c r="IC830" s="0"/>
      <c r="ID830" s="0"/>
      <c r="IE830" s="0"/>
      <c r="IF830" s="0"/>
      <c r="IG830" s="0"/>
      <c r="IH830" s="0"/>
      <c r="II830" s="0"/>
      <c r="IJ830" s="0"/>
      <c r="IK830" s="0"/>
      <c r="IL830" s="0"/>
      <c r="IM830" s="0"/>
      <c r="IN830" s="0"/>
      <c r="IO830" s="0"/>
      <c r="IP830" s="0"/>
      <c r="IQ830" s="0"/>
      <c r="IR830" s="0"/>
      <c r="IS830" s="0"/>
      <c r="IT830" s="0"/>
      <c r="IU830" s="0"/>
      <c r="IV830" s="0"/>
    </row>
    <row r="831" customFormat="false" ht="20.1" hidden="false" customHeight="true" outlineLevel="0" collapsed="false">
      <c r="A831" s="932" t="s">
        <v>1583</v>
      </c>
      <c r="B831" s="932"/>
      <c r="C831" s="1246" t="n">
        <v>1000</v>
      </c>
      <c r="D831" s="0"/>
      <c r="E831" s="1247" t="s">
        <v>1584</v>
      </c>
      <c r="F831" s="1247"/>
      <c r="G831" s="1174" t="n">
        <f aca="false">IF(B19="0 - pas d'élevage","Pas d'UGB",C831/D98)</f>
        <v>0.166666666666667</v>
      </c>
      <c r="H831" s="0"/>
      <c r="I831" s="0"/>
      <c r="J831" s="0"/>
      <c r="K831" s="446"/>
      <c r="L831" s="0"/>
      <c r="M831" s="0"/>
      <c r="Q831" s="55"/>
      <c r="R831" s="55"/>
      <c r="S831" s="55"/>
      <c r="T831" s="0"/>
      <c r="U831" s="0"/>
      <c r="V831" s="0"/>
      <c r="W831" s="0"/>
      <c r="X831" s="0"/>
      <c r="Y831" s="0"/>
      <c r="Z831" s="0"/>
      <c r="AA831" s="0"/>
      <c r="AB831" s="0"/>
      <c r="AC831" s="0"/>
      <c r="AD831" s="0"/>
      <c r="AE831" s="0"/>
      <c r="AF831" s="0"/>
      <c r="AG831" s="0"/>
      <c r="AH831" s="0"/>
      <c r="AI831" s="0"/>
      <c r="AJ831" s="0"/>
      <c r="AK831" s="0"/>
      <c r="AL831" s="0"/>
      <c r="AM831" s="0"/>
      <c r="AN831" s="0"/>
      <c r="AO831" s="0"/>
      <c r="AP831" s="0"/>
      <c r="AQ831" s="0"/>
      <c r="AR831" s="0"/>
      <c r="AS831" s="0"/>
      <c r="AT831" s="0"/>
      <c r="AU831" s="0"/>
      <c r="AV831" s="0"/>
      <c r="AW831" s="0"/>
      <c r="AX831" s="0"/>
      <c r="AY831" s="0"/>
      <c r="AZ831" s="0"/>
      <c r="BA831" s="0"/>
      <c r="BB831" s="0"/>
      <c r="BC831" s="0"/>
      <c r="BD831" s="0"/>
      <c r="BE831" s="0"/>
      <c r="BF831" s="0"/>
      <c r="BG831" s="0"/>
      <c r="BH831" s="0"/>
      <c r="BI831" s="0"/>
      <c r="BJ831" s="0"/>
      <c r="BK831" s="0"/>
      <c r="BL831" s="0"/>
      <c r="BM831" s="0"/>
      <c r="BN831" s="0"/>
      <c r="BO831" s="0"/>
      <c r="BP831" s="0"/>
      <c r="BQ831" s="0"/>
      <c r="BR831" s="0"/>
      <c r="BS831" s="0"/>
      <c r="BT831" s="0"/>
      <c r="BU831" s="0"/>
      <c r="BV831" s="0"/>
      <c r="BW831" s="0"/>
      <c r="BX831" s="0"/>
      <c r="BY831" s="0"/>
      <c r="BZ831" s="0"/>
      <c r="CA831" s="0"/>
      <c r="CB831" s="0"/>
      <c r="CC831" s="0"/>
      <c r="CD831" s="0"/>
      <c r="CE831" s="0"/>
      <c r="CF831" s="0"/>
      <c r="CG831" s="0"/>
      <c r="CH831" s="0"/>
      <c r="CI831" s="0"/>
      <c r="CJ831" s="0"/>
      <c r="CK831" s="0"/>
      <c r="CL831" s="0"/>
      <c r="CM831" s="0"/>
      <c r="CN831" s="0"/>
      <c r="CO831" s="0"/>
      <c r="CP831" s="0"/>
      <c r="CQ831" s="0"/>
      <c r="CR831" s="0"/>
      <c r="CS831" s="0"/>
      <c r="CT831" s="0"/>
      <c r="CU831" s="0"/>
      <c r="CV831" s="0"/>
      <c r="CW831" s="0"/>
      <c r="CX831" s="0"/>
      <c r="CY831" s="0"/>
      <c r="CZ831" s="0"/>
      <c r="DA831" s="0"/>
      <c r="DB831" s="0"/>
      <c r="DC831" s="0"/>
      <c r="DD831" s="0"/>
      <c r="DE831" s="0"/>
      <c r="DF831" s="0"/>
      <c r="DG831" s="0"/>
      <c r="DH831" s="0"/>
      <c r="DI831" s="0"/>
      <c r="DJ831" s="0"/>
      <c r="DK831" s="0"/>
      <c r="DL831" s="0"/>
      <c r="DM831" s="0"/>
      <c r="DN831" s="0"/>
      <c r="DO831" s="0"/>
      <c r="DP831" s="0"/>
      <c r="DQ831" s="0"/>
      <c r="DR831" s="0"/>
      <c r="DS831" s="0"/>
      <c r="DT831" s="0"/>
      <c r="DU831" s="0"/>
      <c r="DV831" s="0"/>
      <c r="DW831" s="0"/>
      <c r="DX831" s="0"/>
      <c r="DY831" s="0"/>
      <c r="DZ831" s="0"/>
      <c r="EA831" s="0"/>
      <c r="EB831" s="0"/>
      <c r="EC831" s="0"/>
      <c r="ED831" s="0"/>
      <c r="EE831" s="0"/>
      <c r="EF831" s="0"/>
      <c r="EG831" s="0"/>
      <c r="EH831" s="0"/>
      <c r="EI831" s="0"/>
      <c r="EJ831" s="0"/>
      <c r="EK831" s="0"/>
      <c r="EL831" s="0"/>
      <c r="EM831" s="0"/>
      <c r="EN831" s="0"/>
      <c r="EO831" s="0"/>
      <c r="EP831" s="0"/>
      <c r="EQ831" s="0"/>
      <c r="ER831" s="0"/>
      <c r="ES831" s="0"/>
      <c r="ET831" s="0"/>
      <c r="EU831" s="0"/>
      <c r="EV831" s="0"/>
      <c r="EW831" s="0"/>
      <c r="EX831" s="0"/>
      <c r="EY831" s="0"/>
      <c r="EZ831" s="0"/>
      <c r="FA831" s="0"/>
      <c r="FB831" s="0"/>
      <c r="FC831" s="0"/>
      <c r="FD831" s="0"/>
      <c r="FE831" s="0"/>
      <c r="FF831" s="0"/>
      <c r="FG831" s="0"/>
      <c r="FH831" s="0"/>
      <c r="FI831" s="0"/>
      <c r="FJ831" s="0"/>
      <c r="FK831" s="0"/>
      <c r="FL831" s="0"/>
      <c r="FM831" s="0"/>
      <c r="FN831" s="0"/>
      <c r="FO831" s="0"/>
      <c r="FP831" s="0"/>
      <c r="FQ831" s="0"/>
      <c r="FR831" s="0"/>
      <c r="FS831" s="0"/>
      <c r="FT831" s="0"/>
      <c r="FU831" s="0"/>
      <c r="FV831" s="0"/>
      <c r="FW831" s="0"/>
      <c r="FX831" s="0"/>
      <c r="FY831" s="0"/>
      <c r="FZ831" s="0"/>
      <c r="GA831" s="0"/>
      <c r="GB831" s="0"/>
      <c r="GC831" s="0"/>
      <c r="GD831" s="0"/>
      <c r="GE831" s="0"/>
      <c r="GF831" s="0"/>
      <c r="GG831" s="0"/>
      <c r="GH831" s="0"/>
      <c r="GI831" s="0"/>
      <c r="GJ831" s="0"/>
      <c r="GK831" s="0"/>
      <c r="GL831" s="0"/>
      <c r="GM831" s="0"/>
      <c r="GN831" s="0"/>
      <c r="GO831" s="0"/>
      <c r="GP831" s="0"/>
      <c r="GQ831" s="0"/>
      <c r="GR831" s="0"/>
      <c r="GS831" s="0"/>
      <c r="GT831" s="0"/>
      <c r="GU831" s="0"/>
      <c r="GV831" s="0"/>
      <c r="GW831" s="0"/>
      <c r="GX831" s="0"/>
      <c r="GY831" s="0"/>
      <c r="GZ831" s="0"/>
      <c r="HA831" s="0"/>
      <c r="HB831" s="0"/>
      <c r="HC831" s="0"/>
      <c r="HD831" s="0"/>
      <c r="HE831" s="0"/>
      <c r="HF831" s="0"/>
      <c r="HG831" s="0"/>
      <c r="HH831" s="0"/>
      <c r="HI831" s="0"/>
      <c r="HJ831" s="0"/>
      <c r="HK831" s="0"/>
      <c r="HL831" s="0"/>
      <c r="HM831" s="0"/>
      <c r="HN831" s="0"/>
      <c r="HO831" s="0"/>
      <c r="HP831" s="0"/>
      <c r="HQ831" s="0"/>
      <c r="HR831" s="0"/>
      <c r="HS831" s="0"/>
      <c r="HT831" s="0"/>
      <c r="HU831" s="0"/>
      <c r="HV831" s="0"/>
      <c r="HW831" s="0"/>
      <c r="HX831" s="0"/>
      <c r="HY831" s="0"/>
      <c r="HZ831" s="0"/>
      <c r="IA831" s="0"/>
      <c r="IB831" s="0"/>
      <c r="IC831" s="0"/>
      <c r="ID831" s="0"/>
      <c r="IE831" s="0"/>
      <c r="IF831" s="0"/>
      <c r="IG831" s="0"/>
      <c r="IH831" s="0"/>
      <c r="II831" s="0"/>
      <c r="IJ831" s="0"/>
      <c r="IK831" s="0"/>
      <c r="IL831" s="0"/>
      <c r="IM831" s="0"/>
      <c r="IN831" s="0"/>
      <c r="IO831" s="0"/>
      <c r="IP831" s="0"/>
      <c r="IQ831" s="0"/>
      <c r="IR831" s="0"/>
      <c r="IS831" s="0"/>
      <c r="IT831" s="0"/>
      <c r="IU831" s="0"/>
      <c r="IV831" s="0"/>
    </row>
    <row r="832" customFormat="false" ht="20.1" hidden="false" customHeight="true" outlineLevel="0" collapsed="false">
      <c r="A832" s="0"/>
      <c r="B832" s="0"/>
      <c r="C832" s="0"/>
      <c r="D832" s="0"/>
      <c r="E832" s="0"/>
      <c r="F832" s="0"/>
      <c r="G832" s="0"/>
      <c r="H832" s="0"/>
      <c r="I832" s="0"/>
      <c r="J832" s="969"/>
      <c r="K832" s="903"/>
      <c r="L832" s="877"/>
      <c r="M832" s="0"/>
      <c r="Q832" s="55"/>
      <c r="R832" s="55"/>
      <c r="S832" s="55"/>
      <c r="T832" s="0"/>
      <c r="U832" s="0"/>
      <c r="V832" s="0"/>
      <c r="W832" s="0"/>
      <c r="X832" s="0"/>
      <c r="Y832" s="0"/>
      <c r="Z832" s="0"/>
      <c r="AA832" s="0"/>
      <c r="AB832" s="0"/>
      <c r="AC832" s="0"/>
      <c r="AD832" s="0"/>
      <c r="AE832" s="0"/>
      <c r="AF832" s="0"/>
      <c r="AG832" s="0"/>
      <c r="AH832" s="0"/>
      <c r="AI832" s="0"/>
      <c r="AJ832" s="0"/>
      <c r="AK832" s="0"/>
      <c r="AL832" s="0"/>
      <c r="AM832" s="0"/>
      <c r="AN832" s="0"/>
      <c r="AO832" s="0"/>
      <c r="AP832" s="0"/>
      <c r="AQ832" s="0"/>
      <c r="AR832" s="0"/>
      <c r="AS832" s="0"/>
      <c r="AT832" s="0"/>
      <c r="AU832" s="0"/>
      <c r="AV832" s="0"/>
      <c r="AW832" s="0"/>
      <c r="AX832" s="0"/>
      <c r="AY832" s="0"/>
      <c r="AZ832" s="0"/>
      <c r="BA832" s="0"/>
      <c r="BB832" s="0"/>
      <c r="BC832" s="0"/>
      <c r="BD832" s="0"/>
      <c r="BE832" s="0"/>
      <c r="BF832" s="0"/>
      <c r="BG832" s="0"/>
      <c r="BH832" s="0"/>
      <c r="BI832" s="0"/>
      <c r="BJ832" s="0"/>
      <c r="BK832" s="0"/>
      <c r="BL832" s="0"/>
      <c r="BM832" s="0"/>
      <c r="BN832" s="0"/>
      <c r="BO832" s="0"/>
      <c r="BP832" s="0"/>
      <c r="BQ832" s="0"/>
      <c r="BR832" s="0"/>
      <c r="BS832" s="0"/>
      <c r="BT832" s="0"/>
      <c r="BU832" s="0"/>
      <c r="BV832" s="0"/>
      <c r="BW832" s="0"/>
      <c r="BX832" s="0"/>
      <c r="BY832" s="0"/>
      <c r="BZ832" s="0"/>
      <c r="CA832" s="0"/>
      <c r="CB832" s="0"/>
      <c r="CC832" s="0"/>
      <c r="CD832" s="0"/>
      <c r="CE832" s="0"/>
      <c r="CF832" s="0"/>
      <c r="CG832" s="0"/>
      <c r="CH832" s="0"/>
      <c r="CI832" s="0"/>
      <c r="CJ832" s="0"/>
      <c r="CK832" s="0"/>
      <c r="CL832" s="0"/>
      <c r="CM832" s="0"/>
      <c r="CN832" s="0"/>
      <c r="CO832" s="0"/>
      <c r="CP832" s="0"/>
      <c r="CQ832" s="0"/>
      <c r="CR832" s="0"/>
      <c r="CS832" s="0"/>
      <c r="CT832" s="0"/>
      <c r="CU832" s="0"/>
      <c r="CV832" s="0"/>
      <c r="CW832" s="0"/>
      <c r="CX832" s="0"/>
      <c r="CY832" s="0"/>
      <c r="CZ832" s="0"/>
      <c r="DA832" s="0"/>
      <c r="DB832" s="0"/>
      <c r="DC832" s="0"/>
      <c r="DD832" s="0"/>
      <c r="DE832" s="0"/>
      <c r="DF832" s="0"/>
      <c r="DG832" s="0"/>
      <c r="DH832" s="0"/>
      <c r="DI832" s="0"/>
      <c r="DJ832" s="0"/>
      <c r="DK832" s="0"/>
      <c r="DL832" s="0"/>
      <c r="DM832" s="0"/>
      <c r="DN832" s="0"/>
      <c r="DO832" s="0"/>
      <c r="DP832" s="0"/>
      <c r="DQ832" s="0"/>
      <c r="DR832" s="0"/>
      <c r="DS832" s="0"/>
      <c r="DT832" s="0"/>
      <c r="DU832" s="0"/>
      <c r="DV832" s="0"/>
      <c r="DW832" s="0"/>
      <c r="DX832" s="0"/>
      <c r="DY832" s="0"/>
      <c r="DZ832" s="0"/>
      <c r="EA832" s="0"/>
      <c r="EB832" s="0"/>
      <c r="EC832" s="0"/>
      <c r="ED832" s="0"/>
      <c r="EE832" s="0"/>
      <c r="EF832" s="0"/>
      <c r="EG832" s="0"/>
      <c r="EH832" s="0"/>
      <c r="EI832" s="0"/>
      <c r="EJ832" s="0"/>
      <c r="EK832" s="0"/>
      <c r="EL832" s="0"/>
      <c r="EM832" s="0"/>
      <c r="EN832" s="0"/>
      <c r="EO832" s="0"/>
      <c r="EP832" s="0"/>
      <c r="EQ832" s="0"/>
      <c r="ER832" s="0"/>
      <c r="ES832" s="0"/>
      <c r="ET832" s="0"/>
      <c r="EU832" s="0"/>
      <c r="EV832" s="0"/>
      <c r="EW832" s="0"/>
      <c r="EX832" s="0"/>
      <c r="EY832" s="0"/>
      <c r="EZ832" s="0"/>
      <c r="FA832" s="0"/>
      <c r="FB832" s="0"/>
      <c r="FC832" s="0"/>
      <c r="FD832" s="0"/>
      <c r="FE832" s="0"/>
      <c r="FF832" s="0"/>
      <c r="FG832" s="0"/>
      <c r="FH832" s="0"/>
      <c r="FI832" s="0"/>
      <c r="FJ832" s="0"/>
      <c r="FK832" s="0"/>
      <c r="FL832" s="0"/>
      <c r="FM832" s="0"/>
      <c r="FN832" s="0"/>
      <c r="FO832" s="0"/>
      <c r="FP832" s="0"/>
      <c r="FQ832" s="0"/>
      <c r="FR832" s="0"/>
      <c r="FS832" s="0"/>
      <c r="FT832" s="0"/>
      <c r="FU832" s="0"/>
      <c r="FV832" s="0"/>
      <c r="FW832" s="0"/>
      <c r="FX832" s="0"/>
      <c r="FY832" s="0"/>
      <c r="FZ832" s="0"/>
      <c r="GA832" s="0"/>
      <c r="GB832" s="0"/>
      <c r="GC832" s="0"/>
      <c r="GD832" s="0"/>
      <c r="GE832" s="0"/>
      <c r="GF832" s="0"/>
      <c r="GG832" s="0"/>
      <c r="GH832" s="0"/>
      <c r="GI832" s="0"/>
      <c r="GJ832" s="0"/>
      <c r="GK832" s="0"/>
      <c r="GL832" s="0"/>
      <c r="GM832" s="0"/>
      <c r="GN832" s="0"/>
      <c r="GO832" s="0"/>
      <c r="GP832" s="0"/>
      <c r="GQ832" s="0"/>
      <c r="GR832" s="0"/>
      <c r="GS832" s="0"/>
      <c r="GT832" s="0"/>
      <c r="GU832" s="0"/>
      <c r="GV832" s="0"/>
      <c r="GW832" s="0"/>
      <c r="GX832" s="0"/>
      <c r="GY832" s="0"/>
      <c r="GZ832" s="0"/>
      <c r="HA832" s="0"/>
      <c r="HB832" s="0"/>
      <c r="HC832" s="0"/>
      <c r="HD832" s="0"/>
      <c r="HE832" s="0"/>
      <c r="HF832" s="0"/>
      <c r="HG832" s="0"/>
      <c r="HH832" s="0"/>
      <c r="HI832" s="0"/>
      <c r="HJ832" s="0"/>
      <c r="HK832" s="0"/>
      <c r="HL832" s="0"/>
      <c r="HM832" s="0"/>
      <c r="HN832" s="0"/>
      <c r="HO832" s="0"/>
      <c r="HP832" s="0"/>
      <c r="HQ832" s="0"/>
      <c r="HR832" s="0"/>
      <c r="HS832" s="0"/>
      <c r="HT832" s="0"/>
      <c r="HU832" s="0"/>
      <c r="HV832" s="0"/>
      <c r="HW832" s="0"/>
      <c r="HX832" s="0"/>
      <c r="HY832" s="0"/>
      <c r="HZ832" s="0"/>
      <c r="IA832" s="0"/>
      <c r="IB832" s="0"/>
      <c r="IC832" s="0"/>
      <c r="ID832" s="0"/>
      <c r="IE832" s="0"/>
      <c r="IF832" s="0"/>
      <c r="IG832" s="0"/>
      <c r="IH832" s="0"/>
      <c r="II832" s="0"/>
      <c r="IJ832" s="0"/>
      <c r="IK832" s="0"/>
      <c r="IL832" s="0"/>
      <c r="IM832" s="0"/>
      <c r="IN832" s="0"/>
      <c r="IO832" s="0"/>
      <c r="IP832" s="0"/>
      <c r="IQ832" s="0"/>
      <c r="IR832" s="0"/>
      <c r="IS832" s="0"/>
      <c r="IT832" s="0"/>
      <c r="IU832" s="0"/>
      <c r="IV832" s="0"/>
    </row>
    <row r="833" customFormat="false" ht="20.1" hidden="false" customHeight="true" outlineLevel="0" collapsed="false">
      <c r="A833" s="905" t="s">
        <v>1585</v>
      </c>
      <c r="B833" s="905"/>
      <c r="C833" s="905"/>
      <c r="D833" s="905"/>
      <c r="E833" s="905"/>
      <c r="F833" s="906" t="s">
        <v>254</v>
      </c>
      <c r="G833" s="0"/>
      <c r="H833" s="0"/>
      <c r="I833" s="0"/>
      <c r="J833" s="0"/>
      <c r="K833" s="0"/>
      <c r="L833" s="0"/>
      <c r="M833" s="0"/>
      <c r="N833" s="0"/>
      <c r="O833" s="0"/>
      <c r="P833" s="0"/>
      <c r="Q833" s="55"/>
      <c r="R833" s="55"/>
      <c r="S833" s="55"/>
      <c r="T833" s="0"/>
      <c r="U833" s="0"/>
      <c r="V833" s="0"/>
      <c r="W833" s="0"/>
      <c r="X833" s="0"/>
      <c r="Y833" s="0"/>
      <c r="Z833" s="0"/>
      <c r="AA833" s="0"/>
      <c r="AB833" s="0"/>
      <c r="AC833" s="0"/>
      <c r="AD833" s="0"/>
      <c r="AE833" s="0"/>
      <c r="AF833" s="0"/>
      <c r="AG833" s="0"/>
      <c r="AH833" s="0"/>
      <c r="AI833" s="0"/>
      <c r="AJ833" s="0"/>
      <c r="AK833" s="0"/>
      <c r="AL833" s="0"/>
      <c r="AM833" s="0"/>
      <c r="AN833" s="0"/>
      <c r="AO833" s="0"/>
      <c r="AP833" s="0"/>
      <c r="AQ833" s="0"/>
      <c r="AR833" s="0"/>
      <c r="AS833" s="0"/>
      <c r="AT833" s="0"/>
      <c r="AU833" s="0"/>
      <c r="AV833" s="0"/>
      <c r="AW833" s="0"/>
      <c r="AX833" s="0"/>
      <c r="AY833" s="0"/>
      <c r="AZ833" s="0"/>
      <c r="BA833" s="0"/>
      <c r="BB833" s="0"/>
      <c r="BC833" s="0"/>
      <c r="BD833" s="0"/>
      <c r="BE833" s="0"/>
      <c r="BF833" s="0"/>
      <c r="BG833" s="0"/>
      <c r="BH833" s="0"/>
      <c r="BI833" s="0"/>
      <c r="BJ833" s="0"/>
      <c r="BK833" s="0"/>
      <c r="BL833" s="0"/>
      <c r="BM833" s="0"/>
      <c r="BN833" s="0"/>
      <c r="BO833" s="0"/>
      <c r="BP833" s="0"/>
      <c r="BQ833" s="0"/>
      <c r="BR833" s="0"/>
      <c r="BS833" s="0"/>
      <c r="BT833" s="0"/>
      <c r="BU833" s="0"/>
      <c r="BV833" s="0"/>
      <c r="BW833" s="0"/>
      <c r="BX833" s="0"/>
      <c r="BY833" s="0"/>
      <c r="BZ833" s="0"/>
      <c r="CA833" s="0"/>
      <c r="CB833" s="0"/>
      <c r="CC833" s="0"/>
      <c r="CD833" s="0"/>
      <c r="CE833" s="0"/>
      <c r="CF833" s="0"/>
      <c r="CG833" s="0"/>
      <c r="CH833" s="0"/>
      <c r="CI833" s="0"/>
      <c r="CJ833" s="0"/>
      <c r="CK833" s="0"/>
      <c r="CL833" s="0"/>
      <c r="CM833" s="0"/>
      <c r="CN833" s="0"/>
      <c r="CO833" s="0"/>
      <c r="CP833" s="0"/>
      <c r="CQ833" s="0"/>
      <c r="CR833" s="0"/>
      <c r="CS833" s="0"/>
      <c r="CT833" s="0"/>
      <c r="CU833" s="0"/>
      <c r="CV833" s="0"/>
      <c r="CW833" s="0"/>
      <c r="CX833" s="0"/>
      <c r="CY833" s="0"/>
      <c r="CZ833" s="0"/>
      <c r="DA833" s="0"/>
      <c r="DB833" s="0"/>
      <c r="DC833" s="0"/>
      <c r="DD833" s="0"/>
      <c r="DE833" s="0"/>
      <c r="DF833" s="0"/>
      <c r="DG833" s="0"/>
      <c r="DH833" s="0"/>
      <c r="DI833" s="0"/>
      <c r="DJ833" s="0"/>
      <c r="DK833" s="0"/>
      <c r="DL833" s="0"/>
      <c r="DM833" s="0"/>
      <c r="DN833" s="0"/>
      <c r="DO833" s="0"/>
      <c r="DP833" s="0"/>
      <c r="DQ833" s="0"/>
      <c r="DR833" s="0"/>
      <c r="DS833" s="0"/>
      <c r="DT833" s="0"/>
      <c r="DU833" s="0"/>
      <c r="DV833" s="0"/>
      <c r="DW833" s="0"/>
      <c r="DX833" s="0"/>
      <c r="DY833" s="0"/>
      <c r="DZ833" s="0"/>
      <c r="EA833" s="0"/>
      <c r="EB833" s="0"/>
      <c r="EC833" s="0"/>
      <c r="ED833" s="0"/>
      <c r="EE833" s="0"/>
      <c r="EF833" s="0"/>
      <c r="EG833" s="0"/>
      <c r="EH833" s="0"/>
      <c r="EI833" s="0"/>
      <c r="EJ833" s="0"/>
      <c r="EK833" s="0"/>
      <c r="EL833" s="0"/>
      <c r="EM833" s="0"/>
      <c r="EN833" s="0"/>
      <c r="EO833" s="0"/>
      <c r="EP833" s="0"/>
      <c r="EQ833" s="0"/>
      <c r="ER833" s="0"/>
      <c r="ES833" s="0"/>
      <c r="ET833" s="0"/>
      <c r="EU833" s="0"/>
      <c r="EV833" s="0"/>
      <c r="EW833" s="0"/>
      <c r="EX833" s="0"/>
      <c r="EY833" s="0"/>
      <c r="EZ833" s="0"/>
      <c r="FA833" s="0"/>
      <c r="FB833" s="0"/>
      <c r="FC833" s="0"/>
      <c r="FD833" s="0"/>
      <c r="FE833" s="0"/>
      <c r="FF833" s="0"/>
      <c r="FG833" s="0"/>
      <c r="FH833" s="0"/>
      <c r="FI833" s="0"/>
      <c r="FJ833" s="0"/>
      <c r="FK833" s="0"/>
      <c r="FL833" s="0"/>
      <c r="FM833" s="0"/>
      <c r="FN833" s="0"/>
      <c r="FO833" s="0"/>
      <c r="FP833" s="0"/>
      <c r="FQ833" s="0"/>
      <c r="FR833" s="0"/>
      <c r="FS833" s="0"/>
      <c r="FT833" s="0"/>
      <c r="FU833" s="0"/>
      <c r="FV833" s="0"/>
      <c r="FW833" s="0"/>
      <c r="FX833" s="0"/>
      <c r="FY833" s="0"/>
      <c r="FZ833" s="0"/>
      <c r="GA833" s="0"/>
      <c r="GB833" s="0"/>
      <c r="GC833" s="0"/>
      <c r="GD833" s="0"/>
      <c r="GE833" s="0"/>
      <c r="GF833" s="0"/>
      <c r="GG833" s="0"/>
      <c r="GH833" s="0"/>
      <c r="GI833" s="0"/>
      <c r="GJ833" s="0"/>
      <c r="GK833" s="0"/>
      <c r="GL833" s="0"/>
      <c r="GM833" s="0"/>
      <c r="GN833" s="0"/>
      <c r="GO833" s="0"/>
      <c r="GP833" s="0"/>
      <c r="GQ833" s="0"/>
      <c r="GR833" s="0"/>
      <c r="GS833" s="0"/>
      <c r="GT833" s="0"/>
      <c r="GU833" s="0"/>
      <c r="GV833" s="0"/>
      <c r="GW833" s="0"/>
      <c r="GX833" s="0"/>
      <c r="GY833" s="0"/>
      <c r="GZ833" s="0"/>
      <c r="HA833" s="0"/>
      <c r="HB833" s="0"/>
      <c r="HC833" s="0"/>
      <c r="HD833" s="0"/>
      <c r="HE833" s="0"/>
      <c r="HF833" s="0"/>
      <c r="HG833" s="0"/>
      <c r="HH833" s="0"/>
      <c r="HI833" s="0"/>
      <c r="HJ833" s="0"/>
      <c r="HK833" s="0"/>
      <c r="HL833" s="0"/>
      <c r="HM833" s="0"/>
      <c r="HN833" s="0"/>
      <c r="HO833" s="0"/>
      <c r="HP833" s="0"/>
      <c r="HQ833" s="0"/>
      <c r="HR833" s="0"/>
      <c r="HS833" s="0"/>
      <c r="HT833" s="0"/>
      <c r="HU833" s="0"/>
      <c r="HV833" s="0"/>
      <c r="HW833" s="0"/>
      <c r="HX833" s="0"/>
      <c r="HY833" s="0"/>
      <c r="HZ833" s="0"/>
      <c r="IA833" s="0"/>
      <c r="IB833" s="0"/>
      <c r="IC833" s="0"/>
      <c r="ID833" s="0"/>
      <c r="IE833" s="0"/>
      <c r="IF833" s="0"/>
      <c r="IG833" s="0"/>
      <c r="IH833" s="0"/>
      <c r="II833" s="0"/>
      <c r="IJ833" s="0"/>
      <c r="IK833" s="0"/>
      <c r="IL833" s="0"/>
      <c r="IM833" s="0"/>
      <c r="IN833" s="0"/>
      <c r="IO833" s="0"/>
      <c r="IP833" s="0"/>
      <c r="IQ833" s="0"/>
      <c r="IR833" s="0"/>
      <c r="IS833" s="0"/>
      <c r="IT833" s="0"/>
      <c r="IU833" s="0"/>
      <c r="IV833" s="0"/>
    </row>
    <row r="834" customFormat="false" ht="20.1" hidden="false" customHeight="true" outlineLevel="0" collapsed="false">
      <c r="A834" s="905" t="s">
        <v>263</v>
      </c>
      <c r="B834" s="905"/>
      <c r="C834" s="905"/>
      <c r="D834" s="905"/>
      <c r="E834" s="905"/>
      <c r="F834" s="906" t="s">
        <v>253</v>
      </c>
      <c r="G834" s="0"/>
      <c r="H834" s="0"/>
      <c r="I834" s="0"/>
      <c r="J834" s="0"/>
      <c r="K834" s="903"/>
      <c r="L834" s="877"/>
      <c r="M834" s="0"/>
      <c r="N834" s="0"/>
      <c r="O834" s="0"/>
      <c r="P834" s="0"/>
      <c r="Q834" s="55"/>
      <c r="R834" s="55"/>
      <c r="S834" s="55"/>
      <c r="T834" s="0"/>
      <c r="U834" s="0"/>
      <c r="V834" s="0"/>
      <c r="W834" s="0"/>
      <c r="X834" s="0"/>
      <c r="Y834" s="0"/>
      <c r="Z834" s="0"/>
      <c r="AA834" s="0"/>
      <c r="AB834" s="0"/>
      <c r="AC834" s="0"/>
      <c r="AD834" s="0"/>
      <c r="AE834" s="0"/>
      <c r="AF834" s="0"/>
      <c r="AG834" s="0"/>
      <c r="AH834" s="0"/>
      <c r="AI834" s="0"/>
      <c r="AJ834" s="0"/>
      <c r="AK834" s="0"/>
      <c r="AL834" s="0"/>
      <c r="AM834" s="0"/>
      <c r="AN834" s="0"/>
      <c r="AO834" s="0"/>
      <c r="AP834" s="0"/>
      <c r="AQ834" s="0"/>
      <c r="AR834" s="0"/>
      <c r="AS834" s="0"/>
      <c r="AT834" s="0"/>
      <c r="AU834" s="0"/>
      <c r="AV834" s="0"/>
      <c r="AW834" s="0"/>
      <c r="AX834" s="0"/>
      <c r="AY834" s="0"/>
      <c r="AZ834" s="0"/>
      <c r="BA834" s="0"/>
      <c r="BB834" s="0"/>
      <c r="BC834" s="0"/>
      <c r="BD834" s="0"/>
      <c r="BE834" s="0"/>
      <c r="BF834" s="0"/>
      <c r="BG834" s="0"/>
      <c r="BH834" s="0"/>
      <c r="BI834" s="0"/>
      <c r="BJ834" s="0"/>
      <c r="BK834" s="0"/>
      <c r="BL834" s="0"/>
      <c r="BM834" s="0"/>
      <c r="BN834" s="0"/>
      <c r="BO834" s="0"/>
      <c r="BP834" s="0"/>
      <c r="BQ834" s="0"/>
      <c r="BR834" s="0"/>
      <c r="BS834" s="0"/>
      <c r="BT834" s="0"/>
      <c r="BU834" s="0"/>
      <c r="BV834" s="0"/>
      <c r="BW834" s="0"/>
      <c r="BX834" s="0"/>
      <c r="BY834" s="0"/>
      <c r="BZ834" s="0"/>
      <c r="CA834" s="0"/>
      <c r="CB834" s="0"/>
      <c r="CC834" s="0"/>
      <c r="CD834" s="0"/>
      <c r="CE834" s="0"/>
      <c r="CF834" s="0"/>
      <c r="CG834" s="0"/>
      <c r="CH834" s="0"/>
      <c r="CI834" s="0"/>
      <c r="CJ834" s="0"/>
      <c r="CK834" s="0"/>
      <c r="CL834" s="0"/>
      <c r="CM834" s="0"/>
      <c r="CN834" s="0"/>
      <c r="CO834" s="0"/>
      <c r="CP834" s="0"/>
      <c r="CQ834" s="0"/>
      <c r="CR834" s="0"/>
      <c r="CS834" s="0"/>
      <c r="CT834" s="0"/>
      <c r="CU834" s="0"/>
      <c r="CV834" s="0"/>
      <c r="CW834" s="0"/>
      <c r="CX834" s="0"/>
      <c r="CY834" s="0"/>
      <c r="CZ834" s="0"/>
      <c r="DA834" s="0"/>
      <c r="DB834" s="0"/>
      <c r="DC834" s="0"/>
      <c r="DD834" s="0"/>
      <c r="DE834" s="0"/>
      <c r="DF834" s="0"/>
      <c r="DG834" s="0"/>
      <c r="DH834" s="0"/>
      <c r="DI834" s="0"/>
      <c r="DJ834" s="0"/>
      <c r="DK834" s="0"/>
      <c r="DL834" s="0"/>
      <c r="DM834" s="0"/>
      <c r="DN834" s="0"/>
      <c r="DO834" s="0"/>
      <c r="DP834" s="0"/>
      <c r="DQ834" s="0"/>
      <c r="DR834" s="0"/>
      <c r="DS834" s="0"/>
      <c r="DT834" s="0"/>
      <c r="DU834" s="0"/>
      <c r="DV834" s="0"/>
      <c r="DW834" s="0"/>
      <c r="DX834" s="0"/>
      <c r="DY834" s="0"/>
      <c r="DZ834" s="0"/>
      <c r="EA834" s="0"/>
      <c r="EB834" s="0"/>
      <c r="EC834" s="0"/>
      <c r="ED834" s="0"/>
      <c r="EE834" s="0"/>
      <c r="EF834" s="0"/>
      <c r="EG834" s="0"/>
      <c r="EH834" s="0"/>
      <c r="EI834" s="0"/>
      <c r="EJ834" s="0"/>
      <c r="EK834" s="0"/>
      <c r="EL834" s="0"/>
      <c r="EM834" s="0"/>
      <c r="EN834" s="0"/>
      <c r="EO834" s="0"/>
      <c r="EP834" s="0"/>
      <c r="EQ834" s="0"/>
      <c r="ER834" s="0"/>
      <c r="ES834" s="0"/>
      <c r="ET834" s="0"/>
      <c r="EU834" s="0"/>
      <c r="EV834" s="0"/>
      <c r="EW834" s="0"/>
      <c r="EX834" s="0"/>
      <c r="EY834" s="0"/>
      <c r="EZ834" s="0"/>
      <c r="FA834" s="0"/>
      <c r="FB834" s="0"/>
      <c r="FC834" s="0"/>
      <c r="FD834" s="0"/>
      <c r="FE834" s="0"/>
      <c r="FF834" s="0"/>
      <c r="FG834" s="0"/>
      <c r="FH834" s="0"/>
      <c r="FI834" s="0"/>
      <c r="FJ834" s="0"/>
      <c r="FK834" s="0"/>
      <c r="FL834" s="0"/>
      <c r="FM834" s="0"/>
      <c r="FN834" s="0"/>
      <c r="FO834" s="0"/>
      <c r="FP834" s="0"/>
      <c r="FQ834" s="0"/>
      <c r="FR834" s="0"/>
      <c r="FS834" s="0"/>
      <c r="FT834" s="0"/>
      <c r="FU834" s="0"/>
      <c r="FV834" s="0"/>
      <c r="FW834" s="0"/>
      <c r="FX834" s="0"/>
      <c r="FY834" s="0"/>
      <c r="FZ834" s="0"/>
      <c r="GA834" s="0"/>
      <c r="GB834" s="0"/>
      <c r="GC834" s="0"/>
      <c r="GD834" s="0"/>
      <c r="GE834" s="0"/>
      <c r="GF834" s="0"/>
      <c r="GG834" s="0"/>
      <c r="GH834" s="0"/>
      <c r="GI834" s="0"/>
      <c r="GJ834" s="0"/>
      <c r="GK834" s="0"/>
      <c r="GL834" s="0"/>
      <c r="GM834" s="0"/>
      <c r="GN834" s="0"/>
      <c r="GO834" s="0"/>
      <c r="GP834" s="0"/>
      <c r="GQ834" s="0"/>
      <c r="GR834" s="0"/>
      <c r="GS834" s="0"/>
      <c r="GT834" s="0"/>
      <c r="GU834" s="0"/>
      <c r="GV834" s="0"/>
      <c r="GW834" s="0"/>
      <c r="GX834" s="0"/>
      <c r="GY834" s="0"/>
      <c r="GZ834" s="0"/>
      <c r="HA834" s="0"/>
      <c r="HB834" s="0"/>
      <c r="HC834" s="0"/>
      <c r="HD834" s="0"/>
      <c r="HE834" s="0"/>
      <c r="HF834" s="0"/>
      <c r="HG834" s="0"/>
      <c r="HH834" s="0"/>
      <c r="HI834" s="0"/>
      <c r="HJ834" s="0"/>
      <c r="HK834" s="0"/>
      <c r="HL834" s="0"/>
      <c r="HM834" s="0"/>
      <c r="HN834" s="0"/>
      <c r="HO834" s="0"/>
      <c r="HP834" s="0"/>
      <c r="HQ834" s="0"/>
      <c r="HR834" s="0"/>
      <c r="HS834" s="0"/>
      <c r="HT834" s="0"/>
      <c r="HU834" s="0"/>
      <c r="HV834" s="0"/>
      <c r="HW834" s="0"/>
      <c r="HX834" s="0"/>
      <c r="HY834" s="0"/>
      <c r="HZ834" s="0"/>
      <c r="IA834" s="0"/>
      <c r="IB834" s="0"/>
      <c r="IC834" s="0"/>
      <c r="ID834" s="0"/>
      <c r="IE834" s="0"/>
      <c r="IF834" s="0"/>
      <c r="IG834" s="0"/>
      <c r="IH834" s="0"/>
      <c r="II834" s="0"/>
      <c r="IJ834" s="0"/>
      <c r="IK834" s="0"/>
      <c r="IL834" s="0"/>
      <c r="IM834" s="0"/>
      <c r="IN834" s="0"/>
      <c r="IO834" s="0"/>
      <c r="IP834" s="0"/>
      <c r="IQ834" s="0"/>
      <c r="IR834" s="0"/>
      <c r="IS834" s="0"/>
      <c r="IT834" s="0"/>
      <c r="IU834" s="0"/>
      <c r="IV834" s="0"/>
    </row>
    <row r="835" customFormat="false" ht="20.1" hidden="false" customHeight="true" outlineLevel="0" collapsed="false">
      <c r="A835" s="537"/>
      <c r="B835" s="537"/>
      <c r="C835" s="537"/>
      <c r="D835" s="537"/>
      <c r="E835" s="451"/>
      <c r="F835" s="0"/>
      <c r="G835" s="0"/>
      <c r="H835" s="0"/>
      <c r="I835" s="0"/>
      <c r="J835" s="0"/>
      <c r="K835" s="903"/>
      <c r="L835" s="877"/>
      <c r="M835" s="0"/>
      <c r="N835" s="0"/>
      <c r="O835" s="0"/>
      <c r="P835" s="0"/>
      <c r="Q835" s="55"/>
      <c r="R835" s="55"/>
      <c r="S835" s="55"/>
      <c r="T835" s="0"/>
      <c r="U835" s="0"/>
      <c r="V835" s="0"/>
      <c r="W835" s="0"/>
      <c r="X835" s="0"/>
      <c r="Y835" s="0"/>
      <c r="Z835" s="0"/>
      <c r="AA835" s="0"/>
      <c r="AB835" s="0"/>
      <c r="AC835" s="0"/>
      <c r="AD835" s="0"/>
      <c r="AE835" s="0"/>
      <c r="AF835" s="0"/>
      <c r="AG835" s="0"/>
      <c r="AH835" s="0"/>
      <c r="AI835" s="0"/>
      <c r="AJ835" s="0"/>
      <c r="AK835" s="0"/>
      <c r="AL835" s="0"/>
      <c r="AM835" s="0"/>
      <c r="AN835" s="0"/>
      <c r="AO835" s="0"/>
      <c r="AP835" s="0"/>
      <c r="AQ835" s="0"/>
      <c r="AR835" s="0"/>
      <c r="AS835" s="0"/>
      <c r="AT835" s="0"/>
      <c r="AU835" s="0"/>
      <c r="AV835" s="0"/>
      <c r="AW835" s="0"/>
      <c r="AX835" s="0"/>
      <c r="AY835" s="0"/>
      <c r="AZ835" s="0"/>
      <c r="BA835" s="0"/>
      <c r="BB835" s="0"/>
      <c r="BC835" s="0"/>
      <c r="BD835" s="0"/>
      <c r="BE835" s="0"/>
      <c r="BF835" s="0"/>
      <c r="BG835" s="0"/>
      <c r="BH835" s="0"/>
      <c r="BI835" s="0"/>
      <c r="BJ835" s="0"/>
      <c r="BK835" s="0"/>
      <c r="BL835" s="0"/>
      <c r="BM835" s="0"/>
      <c r="BN835" s="0"/>
      <c r="BO835" s="0"/>
      <c r="BP835" s="0"/>
      <c r="BQ835" s="0"/>
      <c r="BR835" s="0"/>
      <c r="BS835" s="0"/>
      <c r="BT835" s="0"/>
      <c r="BU835" s="0"/>
      <c r="BV835" s="0"/>
      <c r="BW835" s="0"/>
      <c r="BX835" s="0"/>
      <c r="BY835" s="0"/>
      <c r="BZ835" s="0"/>
      <c r="CA835" s="0"/>
      <c r="CB835" s="0"/>
      <c r="CC835" s="0"/>
      <c r="CD835" s="0"/>
      <c r="CE835" s="0"/>
      <c r="CF835" s="0"/>
      <c r="CG835" s="0"/>
      <c r="CH835" s="0"/>
      <c r="CI835" s="0"/>
      <c r="CJ835" s="0"/>
      <c r="CK835" s="0"/>
      <c r="CL835" s="0"/>
      <c r="CM835" s="0"/>
      <c r="CN835" s="0"/>
      <c r="CO835" s="0"/>
      <c r="CP835" s="0"/>
      <c r="CQ835" s="0"/>
      <c r="CR835" s="0"/>
      <c r="CS835" s="0"/>
      <c r="CT835" s="0"/>
      <c r="CU835" s="0"/>
      <c r="CV835" s="0"/>
      <c r="CW835" s="0"/>
      <c r="CX835" s="0"/>
      <c r="CY835" s="0"/>
      <c r="CZ835" s="0"/>
      <c r="DA835" s="0"/>
      <c r="DB835" s="0"/>
      <c r="DC835" s="0"/>
      <c r="DD835" s="0"/>
      <c r="DE835" s="0"/>
      <c r="DF835" s="0"/>
      <c r="DG835" s="0"/>
      <c r="DH835" s="0"/>
      <c r="DI835" s="0"/>
      <c r="DJ835" s="0"/>
      <c r="DK835" s="0"/>
      <c r="DL835" s="0"/>
      <c r="DM835" s="0"/>
      <c r="DN835" s="0"/>
      <c r="DO835" s="0"/>
      <c r="DP835" s="0"/>
      <c r="DQ835" s="0"/>
      <c r="DR835" s="0"/>
      <c r="DS835" s="0"/>
      <c r="DT835" s="0"/>
      <c r="DU835" s="0"/>
      <c r="DV835" s="0"/>
      <c r="DW835" s="0"/>
      <c r="DX835" s="0"/>
      <c r="DY835" s="0"/>
      <c r="DZ835" s="0"/>
      <c r="EA835" s="0"/>
      <c r="EB835" s="0"/>
      <c r="EC835" s="0"/>
      <c r="ED835" s="0"/>
      <c r="EE835" s="0"/>
      <c r="EF835" s="0"/>
      <c r="EG835" s="0"/>
      <c r="EH835" s="0"/>
      <c r="EI835" s="0"/>
      <c r="EJ835" s="0"/>
      <c r="EK835" s="0"/>
      <c r="EL835" s="0"/>
      <c r="EM835" s="0"/>
      <c r="EN835" s="0"/>
      <c r="EO835" s="0"/>
      <c r="EP835" s="0"/>
      <c r="EQ835" s="0"/>
      <c r="ER835" s="0"/>
      <c r="ES835" s="0"/>
      <c r="ET835" s="0"/>
      <c r="EU835" s="0"/>
      <c r="EV835" s="0"/>
      <c r="EW835" s="0"/>
      <c r="EX835" s="0"/>
      <c r="EY835" s="0"/>
      <c r="EZ835" s="0"/>
      <c r="FA835" s="0"/>
      <c r="FB835" s="0"/>
      <c r="FC835" s="0"/>
      <c r="FD835" s="0"/>
      <c r="FE835" s="0"/>
      <c r="FF835" s="0"/>
      <c r="FG835" s="0"/>
      <c r="FH835" s="0"/>
      <c r="FI835" s="0"/>
      <c r="FJ835" s="0"/>
      <c r="FK835" s="0"/>
      <c r="FL835" s="0"/>
      <c r="FM835" s="0"/>
      <c r="FN835" s="0"/>
      <c r="FO835" s="0"/>
      <c r="FP835" s="0"/>
      <c r="FQ835" s="0"/>
      <c r="FR835" s="0"/>
      <c r="FS835" s="0"/>
      <c r="FT835" s="0"/>
      <c r="FU835" s="0"/>
      <c r="FV835" s="0"/>
      <c r="FW835" s="0"/>
      <c r="FX835" s="0"/>
      <c r="FY835" s="0"/>
      <c r="FZ835" s="0"/>
      <c r="GA835" s="0"/>
      <c r="GB835" s="0"/>
      <c r="GC835" s="0"/>
      <c r="GD835" s="0"/>
      <c r="GE835" s="0"/>
      <c r="GF835" s="0"/>
      <c r="GG835" s="0"/>
      <c r="GH835" s="0"/>
      <c r="GI835" s="0"/>
      <c r="GJ835" s="0"/>
      <c r="GK835" s="0"/>
      <c r="GL835" s="0"/>
      <c r="GM835" s="0"/>
      <c r="GN835" s="0"/>
      <c r="GO835" s="0"/>
      <c r="GP835" s="0"/>
      <c r="GQ835" s="0"/>
      <c r="GR835" s="0"/>
      <c r="GS835" s="0"/>
      <c r="GT835" s="0"/>
      <c r="GU835" s="0"/>
      <c r="GV835" s="0"/>
      <c r="GW835" s="0"/>
      <c r="GX835" s="0"/>
      <c r="GY835" s="0"/>
      <c r="GZ835" s="0"/>
      <c r="HA835" s="0"/>
      <c r="HB835" s="0"/>
      <c r="HC835" s="0"/>
      <c r="HD835" s="0"/>
      <c r="HE835" s="0"/>
      <c r="HF835" s="0"/>
      <c r="HG835" s="0"/>
      <c r="HH835" s="0"/>
      <c r="HI835" s="0"/>
      <c r="HJ835" s="0"/>
      <c r="HK835" s="0"/>
      <c r="HL835" s="0"/>
      <c r="HM835" s="0"/>
      <c r="HN835" s="0"/>
      <c r="HO835" s="0"/>
      <c r="HP835" s="0"/>
      <c r="HQ835" s="0"/>
      <c r="HR835" s="0"/>
      <c r="HS835" s="0"/>
      <c r="HT835" s="0"/>
      <c r="HU835" s="0"/>
      <c r="HV835" s="0"/>
      <c r="HW835" s="0"/>
      <c r="HX835" s="0"/>
      <c r="HY835" s="0"/>
      <c r="HZ835" s="0"/>
      <c r="IA835" s="0"/>
      <c r="IB835" s="0"/>
      <c r="IC835" s="0"/>
      <c r="ID835" s="0"/>
      <c r="IE835" s="0"/>
      <c r="IF835" s="0"/>
      <c r="IG835" s="0"/>
      <c r="IH835" s="0"/>
      <c r="II835" s="0"/>
      <c r="IJ835" s="0"/>
      <c r="IK835" s="0"/>
      <c r="IL835" s="0"/>
      <c r="IM835" s="0"/>
      <c r="IN835" s="0"/>
      <c r="IO835" s="0"/>
      <c r="IP835" s="0"/>
      <c r="IQ835" s="0"/>
      <c r="IR835" s="0"/>
      <c r="IS835" s="0"/>
      <c r="IT835" s="0"/>
      <c r="IU835" s="0"/>
      <c r="IV835" s="0"/>
    </row>
    <row r="836" customFormat="false" ht="20.1" hidden="false" customHeight="true" outlineLevel="0" collapsed="false">
      <c r="A836" s="905" t="s">
        <v>1586</v>
      </c>
      <c r="B836" s="905"/>
      <c r="C836" s="905"/>
      <c r="D836" s="905"/>
      <c r="E836" s="905"/>
      <c r="F836" s="906" t="s">
        <v>254</v>
      </c>
      <c r="G836" s="0"/>
      <c r="H836" s="0"/>
      <c r="I836" s="0"/>
      <c r="J836" s="0"/>
      <c r="K836" s="903"/>
      <c r="L836" s="877"/>
      <c r="M836" s="0"/>
      <c r="N836" s="0"/>
      <c r="O836" s="0"/>
      <c r="P836" s="0"/>
      <c r="Q836" s="55"/>
      <c r="R836" s="55"/>
      <c r="S836" s="55"/>
      <c r="T836" s="0"/>
      <c r="U836" s="0"/>
      <c r="V836" s="0"/>
      <c r="W836" s="0"/>
      <c r="X836" s="0"/>
      <c r="Y836" s="0"/>
      <c r="Z836" s="0"/>
      <c r="AA836" s="0"/>
      <c r="AB836" s="0"/>
      <c r="AC836" s="0"/>
      <c r="AD836" s="0"/>
      <c r="AE836" s="0"/>
      <c r="AF836" s="0"/>
      <c r="AG836" s="0"/>
      <c r="AH836" s="0"/>
      <c r="AI836" s="0"/>
      <c r="AJ836" s="0"/>
      <c r="AK836" s="0"/>
      <c r="AL836" s="0"/>
      <c r="AM836" s="0"/>
      <c r="AN836" s="0"/>
      <c r="AO836" s="0"/>
      <c r="AP836" s="0"/>
      <c r="AQ836" s="0"/>
      <c r="AR836" s="0"/>
      <c r="AS836" s="0"/>
      <c r="AT836" s="0"/>
      <c r="AU836" s="0"/>
      <c r="AV836" s="0"/>
      <c r="AW836" s="0"/>
      <c r="AX836" s="0"/>
      <c r="AY836" s="0"/>
      <c r="AZ836" s="0"/>
      <c r="BA836" s="0"/>
      <c r="BB836" s="0"/>
      <c r="BC836" s="0"/>
      <c r="BD836" s="0"/>
      <c r="BE836" s="0"/>
      <c r="BF836" s="0"/>
      <c r="BG836" s="0"/>
      <c r="BH836" s="0"/>
      <c r="BI836" s="0"/>
      <c r="BJ836" s="0"/>
      <c r="BK836" s="0"/>
      <c r="BL836" s="0"/>
      <c r="BM836" s="0"/>
      <c r="BN836" s="0"/>
      <c r="BO836" s="0"/>
      <c r="BP836" s="0"/>
      <c r="BQ836" s="0"/>
      <c r="BR836" s="0"/>
      <c r="BS836" s="0"/>
      <c r="BT836" s="0"/>
      <c r="BU836" s="0"/>
      <c r="BV836" s="0"/>
      <c r="BW836" s="0"/>
      <c r="BX836" s="0"/>
      <c r="BY836" s="0"/>
      <c r="BZ836" s="0"/>
      <c r="CA836" s="0"/>
      <c r="CB836" s="0"/>
      <c r="CC836" s="0"/>
      <c r="CD836" s="0"/>
      <c r="CE836" s="0"/>
      <c r="CF836" s="0"/>
      <c r="CG836" s="0"/>
      <c r="CH836" s="0"/>
      <c r="CI836" s="0"/>
      <c r="CJ836" s="0"/>
      <c r="CK836" s="0"/>
      <c r="CL836" s="0"/>
      <c r="CM836" s="0"/>
      <c r="CN836" s="0"/>
      <c r="CO836" s="0"/>
      <c r="CP836" s="0"/>
      <c r="CQ836" s="0"/>
      <c r="CR836" s="0"/>
      <c r="CS836" s="0"/>
      <c r="CT836" s="0"/>
      <c r="CU836" s="0"/>
      <c r="CV836" s="0"/>
      <c r="CW836" s="0"/>
      <c r="CX836" s="0"/>
      <c r="CY836" s="0"/>
      <c r="CZ836" s="0"/>
      <c r="DA836" s="0"/>
      <c r="DB836" s="0"/>
      <c r="DC836" s="0"/>
      <c r="DD836" s="0"/>
      <c r="DE836" s="0"/>
      <c r="DF836" s="0"/>
      <c r="DG836" s="0"/>
      <c r="DH836" s="0"/>
      <c r="DI836" s="0"/>
      <c r="DJ836" s="0"/>
      <c r="DK836" s="0"/>
      <c r="DL836" s="0"/>
      <c r="DM836" s="0"/>
      <c r="DN836" s="0"/>
      <c r="DO836" s="0"/>
      <c r="DP836" s="0"/>
      <c r="DQ836" s="0"/>
      <c r="DR836" s="0"/>
      <c r="DS836" s="0"/>
      <c r="DT836" s="0"/>
      <c r="DU836" s="0"/>
      <c r="DV836" s="0"/>
      <c r="DW836" s="0"/>
      <c r="DX836" s="0"/>
      <c r="DY836" s="0"/>
      <c r="DZ836" s="0"/>
      <c r="EA836" s="0"/>
      <c r="EB836" s="0"/>
      <c r="EC836" s="0"/>
      <c r="ED836" s="0"/>
      <c r="EE836" s="0"/>
      <c r="EF836" s="0"/>
      <c r="EG836" s="0"/>
      <c r="EH836" s="0"/>
      <c r="EI836" s="0"/>
      <c r="EJ836" s="0"/>
      <c r="EK836" s="0"/>
      <c r="EL836" s="0"/>
      <c r="EM836" s="0"/>
      <c r="EN836" s="0"/>
      <c r="EO836" s="0"/>
      <c r="EP836" s="0"/>
      <c r="EQ836" s="0"/>
      <c r="ER836" s="0"/>
      <c r="ES836" s="0"/>
      <c r="ET836" s="0"/>
      <c r="EU836" s="0"/>
      <c r="EV836" s="0"/>
      <c r="EW836" s="0"/>
      <c r="EX836" s="0"/>
      <c r="EY836" s="0"/>
      <c r="EZ836" s="0"/>
      <c r="FA836" s="0"/>
      <c r="FB836" s="0"/>
      <c r="FC836" s="0"/>
      <c r="FD836" s="0"/>
      <c r="FE836" s="0"/>
      <c r="FF836" s="0"/>
      <c r="FG836" s="0"/>
      <c r="FH836" s="0"/>
      <c r="FI836" s="0"/>
      <c r="FJ836" s="0"/>
      <c r="FK836" s="0"/>
      <c r="FL836" s="0"/>
      <c r="FM836" s="0"/>
      <c r="FN836" s="0"/>
      <c r="FO836" s="0"/>
      <c r="FP836" s="0"/>
      <c r="FQ836" s="0"/>
      <c r="FR836" s="0"/>
      <c r="FS836" s="0"/>
      <c r="FT836" s="0"/>
      <c r="FU836" s="0"/>
      <c r="FV836" s="0"/>
      <c r="FW836" s="0"/>
      <c r="FX836" s="0"/>
      <c r="FY836" s="0"/>
      <c r="FZ836" s="0"/>
      <c r="GA836" s="0"/>
      <c r="GB836" s="0"/>
      <c r="GC836" s="0"/>
      <c r="GD836" s="0"/>
      <c r="GE836" s="0"/>
      <c r="GF836" s="0"/>
      <c r="GG836" s="0"/>
      <c r="GH836" s="0"/>
      <c r="GI836" s="0"/>
      <c r="GJ836" s="0"/>
      <c r="GK836" s="0"/>
      <c r="GL836" s="0"/>
      <c r="GM836" s="0"/>
      <c r="GN836" s="0"/>
      <c r="GO836" s="0"/>
      <c r="GP836" s="0"/>
      <c r="GQ836" s="0"/>
      <c r="GR836" s="0"/>
      <c r="GS836" s="0"/>
      <c r="GT836" s="0"/>
      <c r="GU836" s="0"/>
      <c r="GV836" s="0"/>
      <c r="GW836" s="0"/>
      <c r="GX836" s="0"/>
      <c r="GY836" s="0"/>
      <c r="GZ836" s="0"/>
      <c r="HA836" s="0"/>
      <c r="HB836" s="0"/>
      <c r="HC836" s="0"/>
      <c r="HD836" s="0"/>
      <c r="HE836" s="0"/>
      <c r="HF836" s="0"/>
      <c r="HG836" s="0"/>
      <c r="HH836" s="0"/>
      <c r="HI836" s="0"/>
      <c r="HJ836" s="0"/>
      <c r="HK836" s="0"/>
      <c r="HL836" s="0"/>
      <c r="HM836" s="0"/>
      <c r="HN836" s="0"/>
      <c r="HO836" s="0"/>
      <c r="HP836" s="0"/>
      <c r="HQ836" s="0"/>
      <c r="HR836" s="0"/>
      <c r="HS836" s="0"/>
      <c r="HT836" s="0"/>
      <c r="HU836" s="0"/>
      <c r="HV836" s="0"/>
      <c r="HW836" s="0"/>
      <c r="HX836" s="0"/>
      <c r="HY836" s="0"/>
      <c r="HZ836" s="0"/>
      <c r="IA836" s="0"/>
      <c r="IB836" s="0"/>
      <c r="IC836" s="0"/>
      <c r="ID836" s="0"/>
      <c r="IE836" s="0"/>
      <c r="IF836" s="0"/>
      <c r="IG836" s="0"/>
      <c r="IH836" s="0"/>
      <c r="II836" s="0"/>
      <c r="IJ836" s="0"/>
      <c r="IK836" s="0"/>
      <c r="IL836" s="0"/>
      <c r="IM836" s="0"/>
      <c r="IN836" s="0"/>
      <c r="IO836" s="0"/>
      <c r="IP836" s="0"/>
      <c r="IQ836" s="0"/>
      <c r="IR836" s="0"/>
      <c r="IS836" s="0"/>
      <c r="IT836" s="0"/>
      <c r="IU836" s="0"/>
      <c r="IV836" s="0"/>
    </row>
    <row r="837" customFormat="false" ht="20.1" hidden="false" customHeight="true" outlineLevel="0" collapsed="false">
      <c r="A837" s="905" t="s">
        <v>1587</v>
      </c>
      <c r="B837" s="905"/>
      <c r="C837" s="905"/>
      <c r="D837" s="905"/>
      <c r="E837" s="905"/>
      <c r="F837" s="906" t="s">
        <v>254</v>
      </c>
      <c r="G837" s="0"/>
      <c r="H837" s="0"/>
      <c r="I837" s="0"/>
      <c r="J837" s="0"/>
      <c r="K837" s="903"/>
      <c r="L837" s="877"/>
      <c r="M837" s="0"/>
      <c r="N837" s="0"/>
      <c r="O837" s="0"/>
      <c r="P837" s="0"/>
      <c r="Q837" s="55"/>
      <c r="R837" s="55"/>
      <c r="S837" s="55"/>
      <c r="T837" s="0"/>
      <c r="U837" s="0"/>
      <c r="V837" s="0"/>
      <c r="W837" s="0"/>
      <c r="X837" s="0"/>
      <c r="Y837" s="0"/>
      <c r="Z837" s="0"/>
      <c r="AA837" s="0"/>
      <c r="AB837" s="0"/>
      <c r="AC837" s="0"/>
      <c r="AD837" s="0"/>
      <c r="AE837" s="0"/>
      <c r="AF837" s="0"/>
      <c r="AG837" s="0"/>
      <c r="AH837" s="0"/>
      <c r="AI837" s="0"/>
      <c r="AJ837" s="0"/>
      <c r="AK837" s="0"/>
      <c r="AL837" s="0"/>
      <c r="AM837" s="0"/>
      <c r="AN837" s="0"/>
      <c r="AO837" s="0"/>
      <c r="AP837" s="0"/>
      <c r="AQ837" s="0"/>
      <c r="AR837" s="0"/>
      <c r="AS837" s="0"/>
      <c r="AT837" s="0"/>
      <c r="AU837" s="0"/>
      <c r="AV837" s="0"/>
      <c r="AW837" s="0"/>
      <c r="AX837" s="0"/>
      <c r="AY837" s="0"/>
      <c r="AZ837" s="0"/>
      <c r="BA837" s="0"/>
      <c r="BB837" s="0"/>
      <c r="BC837" s="0"/>
      <c r="BD837" s="0"/>
      <c r="BE837" s="0"/>
      <c r="BF837" s="0"/>
      <c r="BG837" s="0"/>
      <c r="BH837" s="0"/>
      <c r="BI837" s="0"/>
      <c r="BJ837" s="0"/>
      <c r="BK837" s="0"/>
      <c r="BL837" s="0"/>
      <c r="BM837" s="0"/>
      <c r="BN837" s="0"/>
      <c r="BO837" s="0"/>
      <c r="BP837" s="0"/>
      <c r="BQ837" s="0"/>
      <c r="BR837" s="0"/>
      <c r="BS837" s="0"/>
      <c r="BT837" s="0"/>
      <c r="BU837" s="0"/>
      <c r="BV837" s="0"/>
      <c r="BW837" s="0"/>
      <c r="BX837" s="0"/>
      <c r="BY837" s="0"/>
      <c r="BZ837" s="0"/>
      <c r="CA837" s="0"/>
      <c r="CB837" s="0"/>
      <c r="CC837" s="0"/>
      <c r="CD837" s="0"/>
      <c r="CE837" s="0"/>
      <c r="CF837" s="0"/>
      <c r="CG837" s="0"/>
      <c r="CH837" s="0"/>
      <c r="CI837" s="0"/>
      <c r="CJ837" s="0"/>
      <c r="CK837" s="0"/>
      <c r="CL837" s="0"/>
      <c r="CM837" s="0"/>
      <c r="CN837" s="0"/>
      <c r="CO837" s="0"/>
      <c r="CP837" s="0"/>
      <c r="CQ837" s="0"/>
      <c r="CR837" s="0"/>
      <c r="CS837" s="0"/>
      <c r="CT837" s="0"/>
      <c r="CU837" s="0"/>
      <c r="CV837" s="0"/>
      <c r="CW837" s="0"/>
      <c r="CX837" s="0"/>
      <c r="CY837" s="0"/>
      <c r="CZ837" s="0"/>
      <c r="DA837" s="0"/>
      <c r="DB837" s="0"/>
      <c r="DC837" s="0"/>
      <c r="DD837" s="0"/>
      <c r="DE837" s="0"/>
      <c r="DF837" s="0"/>
      <c r="DG837" s="0"/>
      <c r="DH837" s="0"/>
      <c r="DI837" s="0"/>
      <c r="DJ837" s="0"/>
      <c r="DK837" s="0"/>
      <c r="DL837" s="0"/>
      <c r="DM837" s="0"/>
      <c r="DN837" s="0"/>
      <c r="DO837" s="0"/>
      <c r="DP837" s="0"/>
      <c r="DQ837" s="0"/>
      <c r="DR837" s="0"/>
      <c r="DS837" s="0"/>
      <c r="DT837" s="0"/>
      <c r="DU837" s="0"/>
      <c r="DV837" s="0"/>
      <c r="DW837" s="0"/>
      <c r="DX837" s="0"/>
      <c r="DY837" s="0"/>
      <c r="DZ837" s="0"/>
      <c r="EA837" s="0"/>
      <c r="EB837" s="0"/>
      <c r="EC837" s="0"/>
      <c r="ED837" s="0"/>
      <c r="EE837" s="0"/>
      <c r="EF837" s="0"/>
      <c r="EG837" s="0"/>
      <c r="EH837" s="0"/>
      <c r="EI837" s="0"/>
      <c r="EJ837" s="0"/>
      <c r="EK837" s="0"/>
      <c r="EL837" s="0"/>
      <c r="EM837" s="0"/>
      <c r="EN837" s="0"/>
      <c r="EO837" s="0"/>
      <c r="EP837" s="0"/>
      <c r="EQ837" s="0"/>
      <c r="ER837" s="0"/>
      <c r="ES837" s="0"/>
      <c r="ET837" s="0"/>
      <c r="EU837" s="0"/>
      <c r="EV837" s="0"/>
      <c r="EW837" s="0"/>
      <c r="EX837" s="0"/>
      <c r="EY837" s="0"/>
      <c r="EZ837" s="0"/>
      <c r="FA837" s="0"/>
      <c r="FB837" s="0"/>
      <c r="FC837" s="0"/>
      <c r="FD837" s="0"/>
      <c r="FE837" s="0"/>
      <c r="FF837" s="0"/>
      <c r="FG837" s="0"/>
      <c r="FH837" s="0"/>
      <c r="FI837" s="0"/>
      <c r="FJ837" s="0"/>
      <c r="FK837" s="0"/>
      <c r="FL837" s="0"/>
      <c r="FM837" s="0"/>
      <c r="FN837" s="0"/>
      <c r="FO837" s="0"/>
      <c r="FP837" s="0"/>
      <c r="FQ837" s="0"/>
      <c r="FR837" s="0"/>
      <c r="FS837" s="0"/>
      <c r="FT837" s="0"/>
      <c r="FU837" s="0"/>
      <c r="FV837" s="0"/>
      <c r="FW837" s="0"/>
      <c r="FX837" s="0"/>
      <c r="FY837" s="0"/>
      <c r="FZ837" s="0"/>
      <c r="GA837" s="0"/>
      <c r="GB837" s="0"/>
      <c r="GC837" s="0"/>
      <c r="GD837" s="0"/>
      <c r="GE837" s="0"/>
      <c r="GF837" s="0"/>
      <c r="GG837" s="0"/>
      <c r="GH837" s="0"/>
      <c r="GI837" s="0"/>
      <c r="GJ837" s="0"/>
      <c r="GK837" s="0"/>
      <c r="GL837" s="0"/>
      <c r="GM837" s="0"/>
      <c r="GN837" s="0"/>
      <c r="GO837" s="0"/>
      <c r="GP837" s="0"/>
      <c r="GQ837" s="0"/>
      <c r="GR837" s="0"/>
      <c r="GS837" s="0"/>
      <c r="GT837" s="0"/>
      <c r="GU837" s="0"/>
      <c r="GV837" s="0"/>
      <c r="GW837" s="0"/>
      <c r="GX837" s="0"/>
      <c r="GY837" s="0"/>
      <c r="GZ837" s="0"/>
      <c r="HA837" s="0"/>
      <c r="HB837" s="0"/>
      <c r="HC837" s="0"/>
      <c r="HD837" s="0"/>
      <c r="HE837" s="0"/>
      <c r="HF837" s="0"/>
      <c r="HG837" s="0"/>
      <c r="HH837" s="0"/>
      <c r="HI837" s="0"/>
      <c r="HJ837" s="0"/>
      <c r="HK837" s="0"/>
      <c r="HL837" s="0"/>
      <c r="HM837" s="0"/>
      <c r="HN837" s="0"/>
      <c r="HO837" s="0"/>
      <c r="HP837" s="0"/>
      <c r="HQ837" s="0"/>
      <c r="HR837" s="0"/>
      <c r="HS837" s="0"/>
      <c r="HT837" s="0"/>
      <c r="HU837" s="0"/>
      <c r="HV837" s="0"/>
      <c r="HW837" s="0"/>
      <c r="HX837" s="0"/>
      <c r="HY837" s="0"/>
      <c r="HZ837" s="0"/>
      <c r="IA837" s="0"/>
      <c r="IB837" s="0"/>
      <c r="IC837" s="0"/>
      <c r="ID837" s="0"/>
      <c r="IE837" s="0"/>
      <c r="IF837" s="0"/>
      <c r="IG837" s="0"/>
      <c r="IH837" s="0"/>
      <c r="II837" s="0"/>
      <c r="IJ837" s="0"/>
      <c r="IK837" s="0"/>
      <c r="IL837" s="0"/>
      <c r="IM837" s="0"/>
      <c r="IN837" s="0"/>
      <c r="IO837" s="0"/>
      <c r="IP837" s="0"/>
      <c r="IQ837" s="0"/>
      <c r="IR837" s="0"/>
      <c r="IS837" s="0"/>
      <c r="IT837" s="0"/>
      <c r="IU837" s="0"/>
      <c r="IV837" s="0"/>
    </row>
    <row r="838" customFormat="false" ht="20.1" hidden="false" customHeight="true" outlineLevel="0" collapsed="false">
      <c r="A838" s="0"/>
      <c r="B838" s="0"/>
      <c r="C838" s="0"/>
      <c r="D838" s="0"/>
      <c r="E838" s="0"/>
      <c r="F838" s="0"/>
      <c r="G838" s="0"/>
      <c r="H838" s="0"/>
      <c r="I838" s="0"/>
      <c r="J838" s="11"/>
      <c r="K838" s="0"/>
      <c r="L838" s="0"/>
      <c r="M838" s="0"/>
      <c r="N838" s="0"/>
      <c r="O838" s="0"/>
      <c r="P838" s="0"/>
      <c r="Q838" s="55"/>
      <c r="R838" s="55"/>
      <c r="S838" s="55"/>
      <c r="T838" s="0"/>
      <c r="U838" s="0"/>
      <c r="V838" s="0"/>
      <c r="W838" s="0"/>
      <c r="X838" s="0"/>
      <c r="Y838" s="0"/>
      <c r="Z838" s="0"/>
      <c r="AA838" s="0"/>
      <c r="AB838" s="0"/>
      <c r="AC838" s="0"/>
      <c r="AD838" s="0"/>
      <c r="AE838" s="0"/>
      <c r="AF838" s="0"/>
      <c r="AG838" s="0"/>
      <c r="AH838" s="0"/>
      <c r="AI838" s="0"/>
      <c r="AJ838" s="0"/>
      <c r="AK838" s="0"/>
      <c r="AL838" s="0"/>
      <c r="AM838" s="0"/>
      <c r="AN838" s="0"/>
      <c r="AO838" s="0"/>
      <c r="AP838" s="0"/>
      <c r="AQ838" s="0"/>
      <c r="AR838" s="0"/>
      <c r="AS838" s="0"/>
      <c r="AT838" s="0"/>
      <c r="AU838" s="0"/>
      <c r="AV838" s="0"/>
      <c r="AW838" s="0"/>
      <c r="AX838" s="0"/>
      <c r="AY838" s="0"/>
      <c r="AZ838" s="0"/>
      <c r="BA838" s="0"/>
      <c r="BB838" s="0"/>
      <c r="BC838" s="0"/>
      <c r="BD838" s="0"/>
      <c r="BE838" s="0"/>
      <c r="BF838" s="0"/>
      <c r="BG838" s="0"/>
      <c r="BH838" s="0"/>
      <c r="BI838" s="0"/>
      <c r="BJ838" s="0"/>
      <c r="BK838" s="0"/>
      <c r="BL838" s="0"/>
      <c r="BM838" s="0"/>
      <c r="BN838" s="0"/>
      <c r="BO838" s="0"/>
      <c r="BP838" s="0"/>
      <c r="BQ838" s="0"/>
      <c r="BR838" s="0"/>
      <c r="BS838" s="0"/>
      <c r="BT838" s="0"/>
      <c r="BU838" s="0"/>
      <c r="BV838" s="0"/>
      <c r="BW838" s="0"/>
      <c r="BX838" s="0"/>
      <c r="BY838" s="0"/>
      <c r="BZ838" s="0"/>
      <c r="CA838" s="0"/>
      <c r="CB838" s="0"/>
      <c r="CC838" s="0"/>
      <c r="CD838" s="0"/>
      <c r="CE838" s="0"/>
      <c r="CF838" s="0"/>
      <c r="CG838" s="0"/>
      <c r="CH838" s="0"/>
      <c r="CI838" s="0"/>
      <c r="CJ838" s="0"/>
      <c r="CK838" s="0"/>
      <c r="CL838" s="0"/>
      <c r="CM838" s="0"/>
      <c r="CN838" s="0"/>
      <c r="CO838" s="0"/>
      <c r="CP838" s="0"/>
      <c r="CQ838" s="0"/>
      <c r="CR838" s="0"/>
      <c r="CS838" s="0"/>
      <c r="CT838" s="0"/>
      <c r="CU838" s="0"/>
      <c r="CV838" s="0"/>
      <c r="CW838" s="0"/>
      <c r="CX838" s="0"/>
      <c r="CY838" s="0"/>
      <c r="CZ838" s="0"/>
      <c r="DA838" s="0"/>
      <c r="DB838" s="0"/>
      <c r="DC838" s="0"/>
      <c r="DD838" s="0"/>
      <c r="DE838" s="0"/>
      <c r="DF838" s="0"/>
      <c r="DG838" s="0"/>
      <c r="DH838" s="0"/>
      <c r="DI838" s="0"/>
      <c r="DJ838" s="0"/>
      <c r="DK838" s="0"/>
      <c r="DL838" s="0"/>
      <c r="DM838" s="0"/>
      <c r="DN838" s="0"/>
      <c r="DO838" s="0"/>
      <c r="DP838" s="0"/>
      <c r="DQ838" s="0"/>
      <c r="DR838" s="0"/>
      <c r="DS838" s="0"/>
      <c r="DT838" s="0"/>
      <c r="DU838" s="0"/>
      <c r="DV838" s="0"/>
      <c r="DW838" s="0"/>
      <c r="DX838" s="0"/>
      <c r="DY838" s="0"/>
      <c r="DZ838" s="0"/>
      <c r="EA838" s="0"/>
      <c r="EB838" s="0"/>
      <c r="EC838" s="0"/>
      <c r="ED838" s="0"/>
      <c r="EE838" s="0"/>
      <c r="EF838" s="0"/>
      <c r="EG838" s="0"/>
      <c r="EH838" s="0"/>
      <c r="EI838" s="0"/>
      <c r="EJ838" s="0"/>
      <c r="EK838" s="0"/>
      <c r="EL838" s="0"/>
      <c r="EM838" s="0"/>
      <c r="EN838" s="0"/>
      <c r="EO838" s="0"/>
      <c r="EP838" s="0"/>
      <c r="EQ838" s="0"/>
      <c r="ER838" s="0"/>
      <c r="ES838" s="0"/>
      <c r="ET838" s="0"/>
      <c r="EU838" s="0"/>
      <c r="EV838" s="0"/>
      <c r="EW838" s="0"/>
      <c r="EX838" s="0"/>
      <c r="EY838" s="0"/>
      <c r="EZ838" s="0"/>
      <c r="FA838" s="0"/>
      <c r="FB838" s="0"/>
      <c r="FC838" s="0"/>
      <c r="FD838" s="0"/>
      <c r="FE838" s="0"/>
      <c r="FF838" s="0"/>
      <c r="FG838" s="0"/>
      <c r="FH838" s="0"/>
      <c r="FI838" s="0"/>
      <c r="FJ838" s="0"/>
      <c r="FK838" s="0"/>
      <c r="FL838" s="0"/>
      <c r="FM838" s="0"/>
      <c r="FN838" s="0"/>
      <c r="FO838" s="0"/>
      <c r="FP838" s="0"/>
      <c r="FQ838" s="0"/>
      <c r="FR838" s="0"/>
      <c r="FS838" s="0"/>
      <c r="FT838" s="0"/>
      <c r="FU838" s="0"/>
      <c r="FV838" s="0"/>
      <c r="FW838" s="0"/>
      <c r="FX838" s="0"/>
      <c r="FY838" s="0"/>
      <c r="FZ838" s="0"/>
      <c r="GA838" s="0"/>
      <c r="GB838" s="0"/>
      <c r="GC838" s="0"/>
      <c r="GD838" s="0"/>
      <c r="GE838" s="0"/>
      <c r="GF838" s="0"/>
      <c r="GG838" s="0"/>
      <c r="GH838" s="0"/>
      <c r="GI838" s="0"/>
      <c r="GJ838" s="0"/>
      <c r="GK838" s="0"/>
      <c r="GL838" s="0"/>
      <c r="GM838" s="0"/>
      <c r="GN838" s="0"/>
      <c r="GO838" s="0"/>
      <c r="GP838" s="0"/>
      <c r="GQ838" s="0"/>
      <c r="GR838" s="0"/>
      <c r="GS838" s="0"/>
      <c r="GT838" s="0"/>
      <c r="GU838" s="0"/>
      <c r="GV838" s="0"/>
      <c r="GW838" s="0"/>
      <c r="GX838" s="0"/>
      <c r="GY838" s="0"/>
      <c r="GZ838" s="0"/>
      <c r="HA838" s="0"/>
      <c r="HB838" s="0"/>
      <c r="HC838" s="0"/>
      <c r="HD838" s="0"/>
      <c r="HE838" s="0"/>
      <c r="HF838" s="0"/>
      <c r="HG838" s="0"/>
      <c r="HH838" s="0"/>
      <c r="HI838" s="0"/>
      <c r="HJ838" s="0"/>
      <c r="HK838" s="0"/>
      <c r="HL838" s="0"/>
      <c r="HM838" s="0"/>
      <c r="HN838" s="0"/>
      <c r="HO838" s="0"/>
      <c r="HP838" s="0"/>
      <c r="HQ838" s="0"/>
      <c r="HR838" s="0"/>
      <c r="HS838" s="0"/>
      <c r="HT838" s="0"/>
      <c r="HU838" s="0"/>
      <c r="HV838" s="0"/>
      <c r="HW838" s="0"/>
      <c r="HX838" s="0"/>
      <c r="HY838" s="0"/>
      <c r="HZ838" s="0"/>
      <c r="IA838" s="0"/>
      <c r="IB838" s="0"/>
      <c r="IC838" s="0"/>
      <c r="ID838" s="0"/>
      <c r="IE838" s="0"/>
      <c r="IF838" s="0"/>
      <c r="IG838" s="0"/>
      <c r="IH838" s="0"/>
      <c r="II838" s="0"/>
      <c r="IJ838" s="0"/>
      <c r="IK838" s="0"/>
      <c r="IL838" s="0"/>
      <c r="IM838" s="0"/>
      <c r="IN838" s="0"/>
      <c r="IO838" s="0"/>
      <c r="IP838" s="0"/>
      <c r="IQ838" s="0"/>
      <c r="IR838" s="0"/>
      <c r="IS838" s="0"/>
      <c r="IT838" s="0"/>
      <c r="IU838" s="0"/>
      <c r="IV838" s="0"/>
    </row>
    <row r="839" customFormat="false" ht="20.1" hidden="false" customHeight="true" outlineLevel="0" collapsed="false">
      <c r="A839" s="14"/>
      <c r="B839" s="1011"/>
      <c r="C839" s="14"/>
      <c r="D839" s="14"/>
      <c r="E839" s="1248"/>
      <c r="F839" s="1248"/>
      <c r="G839" s="0"/>
      <c r="H839" s="0"/>
      <c r="I839" s="14"/>
      <c r="K839" s="903"/>
      <c r="L839" s="0"/>
      <c r="M839" s="0"/>
      <c r="N839" s="0"/>
      <c r="O839" s="0"/>
      <c r="P839" s="0"/>
      <c r="Q839" s="0"/>
      <c r="R839" s="0"/>
      <c r="S839" s="0"/>
      <c r="T839" s="0"/>
      <c r="U839" s="0"/>
      <c r="V839" s="0"/>
      <c r="W839" s="0"/>
      <c r="X839" s="0"/>
      <c r="Y839" s="0"/>
      <c r="Z839" s="0"/>
      <c r="AA839" s="0"/>
      <c r="AB839" s="0"/>
      <c r="AC839" s="0"/>
      <c r="AD839" s="0"/>
      <c r="AE839" s="0"/>
      <c r="AF839" s="0"/>
      <c r="AG839" s="0"/>
      <c r="AH839" s="0"/>
      <c r="AI839" s="0"/>
      <c r="AJ839" s="0"/>
      <c r="AK839" s="0"/>
      <c r="AL839" s="0"/>
      <c r="AM839" s="0"/>
      <c r="AN839" s="0"/>
      <c r="AO839" s="0"/>
      <c r="AP839" s="0"/>
      <c r="AQ839" s="0"/>
      <c r="AR839" s="0"/>
      <c r="AS839" s="0"/>
      <c r="AT839" s="0"/>
      <c r="AU839" s="0"/>
      <c r="AV839" s="0"/>
      <c r="AW839" s="0"/>
      <c r="AX839" s="0"/>
      <c r="AY839" s="0"/>
      <c r="AZ839" s="0"/>
      <c r="BA839" s="0"/>
      <c r="BB839" s="0"/>
      <c r="BC839" s="0"/>
      <c r="BD839" s="0"/>
      <c r="BE839" s="0"/>
      <c r="BF839" s="0"/>
      <c r="BG839" s="0"/>
      <c r="BH839" s="0"/>
      <c r="BI839" s="0"/>
      <c r="BJ839" s="0"/>
      <c r="BK839" s="0"/>
      <c r="BL839" s="0"/>
      <c r="BM839" s="0"/>
      <c r="BN839" s="0"/>
      <c r="BO839" s="0"/>
      <c r="BP839" s="0"/>
      <c r="BQ839" s="0"/>
      <c r="BR839" s="0"/>
      <c r="BS839" s="0"/>
      <c r="BT839" s="0"/>
      <c r="BU839" s="0"/>
      <c r="BV839" s="0"/>
      <c r="BW839" s="0"/>
      <c r="BX839" s="0"/>
      <c r="BY839" s="0"/>
      <c r="BZ839" s="0"/>
      <c r="CA839" s="0"/>
      <c r="CB839" s="0"/>
      <c r="CC839" s="0"/>
      <c r="CD839" s="0"/>
      <c r="CE839" s="0"/>
      <c r="CF839" s="0"/>
      <c r="CG839" s="0"/>
      <c r="CH839" s="0"/>
      <c r="CI839" s="0"/>
      <c r="CJ839" s="0"/>
      <c r="CK839" s="0"/>
      <c r="CL839" s="0"/>
      <c r="CM839" s="0"/>
      <c r="CN839" s="0"/>
      <c r="CO839" s="0"/>
      <c r="CP839" s="0"/>
      <c r="CQ839" s="0"/>
      <c r="CR839" s="0"/>
      <c r="CS839" s="0"/>
      <c r="CT839" s="0"/>
      <c r="CU839" s="0"/>
      <c r="CV839" s="0"/>
      <c r="CW839" s="0"/>
      <c r="CX839" s="0"/>
      <c r="CY839" s="0"/>
      <c r="CZ839" s="0"/>
      <c r="DA839" s="0"/>
      <c r="DB839" s="0"/>
      <c r="DC839" s="0"/>
      <c r="DD839" s="0"/>
      <c r="DE839" s="0"/>
      <c r="DF839" s="0"/>
      <c r="DG839" s="0"/>
      <c r="DH839" s="0"/>
      <c r="DI839" s="0"/>
      <c r="DJ839" s="0"/>
      <c r="DK839" s="0"/>
      <c r="DL839" s="0"/>
      <c r="DM839" s="0"/>
      <c r="DN839" s="0"/>
      <c r="DO839" s="0"/>
      <c r="DP839" s="0"/>
      <c r="DQ839" s="0"/>
      <c r="DR839" s="0"/>
      <c r="DS839" s="0"/>
      <c r="DT839" s="0"/>
      <c r="DU839" s="0"/>
      <c r="DV839" s="0"/>
      <c r="DW839" s="0"/>
      <c r="DX839" s="0"/>
      <c r="DY839" s="0"/>
      <c r="DZ839" s="0"/>
      <c r="EA839" s="0"/>
      <c r="EB839" s="0"/>
      <c r="EC839" s="0"/>
      <c r="ED839" s="0"/>
      <c r="EE839" s="0"/>
      <c r="EF839" s="0"/>
      <c r="EG839" s="0"/>
      <c r="EH839" s="0"/>
      <c r="EI839" s="0"/>
      <c r="EJ839" s="0"/>
      <c r="EK839" s="0"/>
      <c r="EL839" s="0"/>
      <c r="EM839" s="0"/>
      <c r="EN839" s="0"/>
      <c r="EO839" s="0"/>
      <c r="EP839" s="0"/>
      <c r="EQ839" s="0"/>
      <c r="ER839" s="0"/>
      <c r="ES839" s="0"/>
      <c r="ET839" s="0"/>
      <c r="EU839" s="0"/>
      <c r="EV839" s="0"/>
      <c r="EW839" s="0"/>
      <c r="EX839" s="0"/>
      <c r="EY839" s="0"/>
      <c r="EZ839" s="0"/>
      <c r="FA839" s="0"/>
      <c r="FB839" s="0"/>
      <c r="FC839" s="0"/>
      <c r="FD839" s="0"/>
      <c r="FE839" s="0"/>
      <c r="FF839" s="0"/>
      <c r="FG839" s="0"/>
      <c r="FH839" s="0"/>
      <c r="FI839" s="0"/>
      <c r="FJ839" s="0"/>
      <c r="FK839" s="0"/>
      <c r="FL839" s="0"/>
      <c r="FM839" s="0"/>
      <c r="FN839" s="0"/>
      <c r="FO839" s="0"/>
      <c r="FP839" s="0"/>
      <c r="FQ839" s="0"/>
      <c r="FR839" s="0"/>
      <c r="FS839" s="0"/>
      <c r="FT839" s="0"/>
      <c r="FU839" s="0"/>
      <c r="FV839" s="0"/>
      <c r="FW839" s="0"/>
      <c r="FX839" s="0"/>
      <c r="FY839" s="0"/>
      <c r="FZ839" s="0"/>
      <c r="GA839" s="0"/>
      <c r="GB839" s="0"/>
      <c r="GC839" s="0"/>
      <c r="GD839" s="0"/>
      <c r="GE839" s="0"/>
      <c r="GF839" s="0"/>
      <c r="GG839" s="0"/>
      <c r="GH839" s="0"/>
      <c r="GI839" s="0"/>
      <c r="GJ839" s="0"/>
      <c r="GK839" s="0"/>
      <c r="GL839" s="0"/>
      <c r="GM839" s="0"/>
      <c r="GN839" s="0"/>
      <c r="GO839" s="0"/>
      <c r="GP839" s="0"/>
      <c r="GQ839" s="0"/>
      <c r="GR839" s="0"/>
      <c r="GS839" s="0"/>
      <c r="GT839" s="0"/>
      <c r="GU839" s="0"/>
      <c r="GV839" s="0"/>
      <c r="GW839" s="0"/>
      <c r="GX839" s="0"/>
      <c r="GY839" s="0"/>
      <c r="GZ839" s="0"/>
      <c r="HA839" s="0"/>
      <c r="HB839" s="0"/>
      <c r="HC839" s="0"/>
      <c r="HD839" s="0"/>
      <c r="HE839" s="0"/>
      <c r="HF839" s="0"/>
      <c r="HG839" s="0"/>
      <c r="HH839" s="0"/>
      <c r="HI839" s="0"/>
      <c r="HJ839" s="0"/>
      <c r="HK839" s="0"/>
      <c r="HL839" s="0"/>
      <c r="HM839" s="0"/>
      <c r="HN839" s="0"/>
      <c r="HO839" s="0"/>
      <c r="HP839" s="0"/>
      <c r="HQ839" s="0"/>
      <c r="HR839" s="0"/>
      <c r="HS839" s="0"/>
      <c r="HT839" s="0"/>
      <c r="HU839" s="0"/>
      <c r="HV839" s="0"/>
      <c r="HW839" s="0"/>
      <c r="HX839" s="0"/>
      <c r="HY839" s="0"/>
      <c r="HZ839" s="0"/>
      <c r="IA839" s="0"/>
      <c r="IB839" s="0"/>
      <c r="IC839" s="0"/>
      <c r="ID839" s="0"/>
      <c r="IE839" s="0"/>
      <c r="IF839" s="0"/>
      <c r="IG839" s="0"/>
      <c r="IH839" s="0"/>
      <c r="II839" s="0"/>
      <c r="IJ839" s="0"/>
      <c r="IK839" s="0"/>
      <c r="IL839" s="0"/>
      <c r="IM839" s="0"/>
      <c r="IN839" s="0"/>
      <c r="IO839" s="0"/>
      <c r="IP839" s="0"/>
      <c r="IQ839" s="0"/>
      <c r="IR839" s="0"/>
      <c r="IS839" s="0"/>
      <c r="IT839" s="0"/>
      <c r="IU839" s="0"/>
      <c r="IV839" s="0"/>
    </row>
    <row r="840" customFormat="false" ht="23.25" hidden="false" customHeight="true" outlineLevel="0" collapsed="false">
      <c r="A840" s="865" t="s">
        <v>1588</v>
      </c>
      <c r="B840" s="865"/>
      <c r="C840" s="865"/>
      <c r="D840" s="865"/>
      <c r="E840" s="865"/>
      <c r="F840" s="865"/>
      <c r="G840" s="865"/>
      <c r="H840" s="865"/>
      <c r="I840" s="865"/>
      <c r="J840" s="865"/>
      <c r="K840" s="865"/>
      <c r="L840" s="865"/>
      <c r="T840" s="0"/>
      <c r="U840" s="0"/>
      <c r="V840" s="0"/>
      <c r="W840" s="0"/>
      <c r="X840" s="0"/>
      <c r="Y840" s="0"/>
      <c r="Z840" s="0"/>
      <c r="AA840" s="0"/>
      <c r="AB840" s="0"/>
      <c r="AC840" s="0"/>
      <c r="AD840" s="0"/>
      <c r="AE840" s="0"/>
      <c r="AF840" s="0"/>
      <c r="AG840" s="0"/>
      <c r="AH840" s="0"/>
      <c r="AI840" s="0"/>
      <c r="AJ840" s="0"/>
      <c r="AK840" s="0"/>
      <c r="AL840" s="0"/>
      <c r="AM840" s="0"/>
      <c r="AN840" s="0"/>
      <c r="AO840" s="0"/>
      <c r="AP840" s="0"/>
      <c r="AQ840" s="0"/>
      <c r="AR840" s="0"/>
      <c r="AS840" s="0"/>
      <c r="AT840" s="0"/>
      <c r="AU840" s="0"/>
      <c r="AV840" s="0"/>
      <c r="AW840" s="0"/>
      <c r="AX840" s="0"/>
      <c r="AY840" s="0"/>
      <c r="AZ840" s="0"/>
      <c r="BA840" s="0"/>
      <c r="BB840" s="0"/>
      <c r="BC840" s="0"/>
      <c r="BD840" s="0"/>
      <c r="BE840" s="0"/>
      <c r="BF840" s="0"/>
      <c r="BG840" s="0"/>
      <c r="BH840" s="0"/>
      <c r="BI840" s="0"/>
      <c r="BJ840" s="0"/>
      <c r="BK840" s="0"/>
      <c r="BL840" s="0"/>
      <c r="BM840" s="0"/>
      <c r="BN840" s="0"/>
      <c r="BO840" s="0"/>
      <c r="BP840" s="0"/>
      <c r="BQ840" s="0"/>
      <c r="BR840" s="0"/>
      <c r="BS840" s="0"/>
      <c r="BT840" s="0"/>
      <c r="BU840" s="0"/>
      <c r="BV840" s="0"/>
      <c r="BW840" s="0"/>
      <c r="BX840" s="0"/>
      <c r="BY840" s="0"/>
      <c r="BZ840" s="0"/>
      <c r="CA840" s="0"/>
      <c r="CB840" s="0"/>
      <c r="CC840" s="0"/>
      <c r="CD840" s="0"/>
      <c r="CE840" s="0"/>
      <c r="CF840" s="0"/>
      <c r="CG840" s="0"/>
      <c r="CH840" s="0"/>
      <c r="CI840" s="0"/>
      <c r="CJ840" s="0"/>
      <c r="CK840" s="0"/>
      <c r="CL840" s="0"/>
      <c r="CM840" s="0"/>
      <c r="CN840" s="0"/>
      <c r="CO840" s="0"/>
      <c r="CP840" s="0"/>
      <c r="CQ840" s="0"/>
      <c r="CR840" s="0"/>
      <c r="CS840" s="0"/>
      <c r="CT840" s="0"/>
      <c r="CU840" s="0"/>
      <c r="CV840" s="0"/>
      <c r="CW840" s="0"/>
      <c r="CX840" s="0"/>
      <c r="CY840" s="0"/>
      <c r="CZ840" s="0"/>
      <c r="DA840" s="0"/>
      <c r="DB840" s="0"/>
      <c r="DC840" s="0"/>
      <c r="DD840" s="0"/>
      <c r="DE840" s="0"/>
      <c r="DF840" s="0"/>
      <c r="DG840" s="0"/>
      <c r="DH840" s="0"/>
      <c r="DI840" s="0"/>
      <c r="DJ840" s="0"/>
      <c r="DK840" s="0"/>
      <c r="DL840" s="0"/>
      <c r="DM840" s="0"/>
      <c r="DN840" s="0"/>
      <c r="DO840" s="0"/>
      <c r="DP840" s="0"/>
      <c r="DQ840" s="0"/>
      <c r="DR840" s="0"/>
      <c r="DS840" s="0"/>
      <c r="DT840" s="0"/>
      <c r="DU840" s="0"/>
      <c r="DV840" s="0"/>
      <c r="DW840" s="0"/>
      <c r="DX840" s="0"/>
      <c r="DY840" s="0"/>
      <c r="DZ840" s="0"/>
      <c r="EA840" s="0"/>
      <c r="EB840" s="0"/>
      <c r="EC840" s="0"/>
      <c r="ED840" s="0"/>
      <c r="EE840" s="0"/>
      <c r="EF840" s="0"/>
      <c r="EG840" s="0"/>
      <c r="EH840" s="0"/>
      <c r="EI840" s="0"/>
      <c r="EJ840" s="0"/>
      <c r="EK840" s="0"/>
      <c r="EL840" s="0"/>
      <c r="EM840" s="0"/>
      <c r="EN840" s="0"/>
      <c r="EO840" s="0"/>
      <c r="EP840" s="0"/>
      <c r="EQ840" s="0"/>
      <c r="ER840" s="0"/>
      <c r="ES840" s="0"/>
      <c r="ET840" s="0"/>
      <c r="EU840" s="0"/>
      <c r="EV840" s="0"/>
      <c r="EW840" s="0"/>
      <c r="EX840" s="0"/>
      <c r="EY840" s="0"/>
      <c r="EZ840" s="0"/>
      <c r="FA840" s="0"/>
      <c r="FB840" s="0"/>
      <c r="FC840" s="0"/>
      <c r="FD840" s="0"/>
      <c r="FE840" s="0"/>
      <c r="FF840" s="0"/>
      <c r="FG840" s="0"/>
      <c r="FH840" s="0"/>
      <c r="FI840" s="0"/>
      <c r="FJ840" s="0"/>
      <c r="FK840" s="0"/>
      <c r="FL840" s="0"/>
      <c r="FM840" s="0"/>
      <c r="FN840" s="0"/>
      <c r="FO840" s="0"/>
      <c r="FP840" s="0"/>
      <c r="FQ840" s="0"/>
      <c r="FR840" s="0"/>
      <c r="FS840" s="0"/>
      <c r="FT840" s="0"/>
      <c r="FU840" s="0"/>
      <c r="FV840" s="0"/>
      <c r="FW840" s="0"/>
      <c r="FX840" s="0"/>
      <c r="FY840" s="0"/>
      <c r="FZ840" s="0"/>
      <c r="GA840" s="0"/>
      <c r="GB840" s="0"/>
      <c r="GC840" s="0"/>
      <c r="GD840" s="0"/>
      <c r="GE840" s="0"/>
      <c r="GF840" s="0"/>
      <c r="GG840" s="0"/>
      <c r="GH840" s="0"/>
      <c r="GI840" s="0"/>
      <c r="GJ840" s="0"/>
      <c r="GK840" s="0"/>
      <c r="GL840" s="0"/>
      <c r="GM840" s="0"/>
      <c r="GN840" s="0"/>
      <c r="GO840" s="0"/>
      <c r="GP840" s="0"/>
      <c r="GQ840" s="0"/>
      <c r="GR840" s="0"/>
      <c r="GS840" s="0"/>
      <c r="GT840" s="0"/>
      <c r="GU840" s="0"/>
      <c r="GV840" s="0"/>
      <c r="GW840" s="0"/>
      <c r="GX840" s="0"/>
      <c r="GY840" s="0"/>
      <c r="GZ840" s="0"/>
      <c r="HA840" s="0"/>
      <c r="HB840" s="0"/>
      <c r="HC840" s="0"/>
      <c r="HD840" s="0"/>
      <c r="HE840" s="0"/>
      <c r="HF840" s="0"/>
      <c r="HG840" s="0"/>
      <c r="HH840" s="0"/>
      <c r="HI840" s="0"/>
      <c r="HJ840" s="0"/>
      <c r="HK840" s="0"/>
      <c r="HL840" s="0"/>
      <c r="HM840" s="0"/>
      <c r="HN840" s="0"/>
      <c r="HO840" s="0"/>
      <c r="HP840" s="0"/>
      <c r="HQ840" s="0"/>
      <c r="HR840" s="0"/>
      <c r="HS840" s="0"/>
      <c r="HT840" s="0"/>
      <c r="HU840" s="0"/>
      <c r="HV840" s="0"/>
      <c r="HW840" s="0"/>
      <c r="HX840" s="0"/>
      <c r="HY840" s="0"/>
      <c r="HZ840" s="0"/>
      <c r="IA840" s="0"/>
      <c r="IB840" s="0"/>
      <c r="IC840" s="0"/>
      <c r="ID840" s="0"/>
      <c r="IE840" s="0"/>
      <c r="IF840" s="0"/>
      <c r="IG840" s="0"/>
      <c r="IH840" s="0"/>
      <c r="II840" s="0"/>
      <c r="IJ840" s="0"/>
      <c r="IK840" s="0"/>
      <c r="IL840" s="0"/>
      <c r="IM840" s="0"/>
      <c r="IN840" s="0"/>
      <c r="IO840" s="0"/>
      <c r="IP840" s="0"/>
      <c r="IQ840" s="0"/>
      <c r="IR840" s="0"/>
      <c r="IS840" s="0"/>
      <c r="IT840" s="0"/>
      <c r="IU840" s="0"/>
      <c r="IV840" s="0"/>
    </row>
    <row r="841" customFormat="false" ht="15" hidden="false" customHeight="true" outlineLevel="0" collapsed="false">
      <c r="A841" s="0"/>
      <c r="B841" s="0"/>
      <c r="C841" s="0"/>
      <c r="D841" s="0"/>
      <c r="E841" s="0"/>
      <c r="F841" s="0"/>
      <c r="G841" s="0"/>
      <c r="H841" s="0"/>
      <c r="I841" s="0"/>
      <c r="J841" s="1249"/>
      <c r="L841" s="877"/>
    </row>
    <row r="842" customFormat="false" ht="15" hidden="false" customHeight="true" outlineLevel="0" collapsed="false">
      <c r="A842" s="0"/>
      <c r="B842" s="0"/>
      <c r="C842" s="0"/>
      <c r="D842" s="0"/>
      <c r="E842" s="0"/>
      <c r="F842" s="0"/>
      <c r="G842" s="0"/>
      <c r="H842" s="0"/>
      <c r="I842" s="0"/>
      <c r="J842" s="1249"/>
      <c r="L842" s="877"/>
    </row>
    <row r="843" customFormat="false" ht="20.1" hidden="false" customHeight="true" outlineLevel="0" collapsed="false">
      <c r="A843" s="869" t="s">
        <v>1589</v>
      </c>
      <c r="B843" s="869"/>
      <c r="C843" s="869"/>
      <c r="D843" s="869"/>
      <c r="E843" s="869"/>
      <c r="F843" s="869"/>
      <c r="G843" s="869"/>
      <c r="H843" s="53"/>
      <c r="I843" s="53"/>
      <c r="J843" s="53"/>
      <c r="K843" s="870"/>
      <c r="L843" s="871" t="s">
        <v>1240</v>
      </c>
    </row>
    <row r="844" s="11" customFormat="true" ht="20.1" hidden="false" customHeight="true" outlineLevel="0" collapsed="false">
      <c r="A844" s="1005"/>
      <c r="B844" s="1005"/>
      <c r="C844" s="1005"/>
      <c r="D844" s="1005"/>
      <c r="E844" s="1005"/>
      <c r="F844" s="1005"/>
      <c r="G844" s="1005"/>
      <c r="H844" s="0"/>
      <c r="I844" s="0"/>
      <c r="J844" s="0"/>
      <c r="K844" s="903"/>
      <c r="L844" s="877"/>
    </row>
    <row r="845" customFormat="false" ht="20.1" hidden="false" customHeight="true" outlineLevel="0" collapsed="false">
      <c r="A845" s="451" t="s">
        <v>1590</v>
      </c>
      <c r="B845" s="451"/>
      <c r="C845" s="451"/>
      <c r="D845" s="1250" t="n">
        <v>73</v>
      </c>
      <c r="E845" s="11" t="s">
        <v>94</v>
      </c>
      <c r="G845" s="1251" t="s">
        <v>1591</v>
      </c>
      <c r="H845" s="1252"/>
      <c r="I845" s="1252"/>
      <c r="J845" s="910" t="n">
        <f aca="false">D845/B24</f>
        <v>0.948051948051948</v>
      </c>
      <c r="K845" s="903"/>
      <c r="L845" s="877"/>
    </row>
    <row r="846" customFormat="false" ht="20.1" hidden="false" customHeight="true" outlineLevel="0" collapsed="false">
      <c r="A846" s="14"/>
      <c r="B846" s="0"/>
      <c r="C846" s="0"/>
      <c r="D846" s="19"/>
      <c r="E846" s="55"/>
      <c r="F846" s="55"/>
      <c r="G846" s="433"/>
      <c r="H846" s="19"/>
      <c r="I846" s="19"/>
      <c r="J846" s="903"/>
      <c r="K846" s="903"/>
      <c r="L846" s="877"/>
    </row>
    <row r="847" customFormat="false" ht="20.1" hidden="false" customHeight="true" outlineLevel="0" collapsed="false">
      <c r="E847" s="905" t="s">
        <v>1592</v>
      </c>
      <c r="F847" s="905"/>
      <c r="G847" s="905"/>
      <c r="H847" s="905"/>
      <c r="I847" s="905"/>
      <c r="J847" s="966" t="s">
        <v>254</v>
      </c>
      <c r="K847" s="903"/>
      <c r="L847" s="877"/>
    </row>
    <row r="848" customFormat="false" ht="20.1" hidden="false" customHeight="true" outlineLevel="0" collapsed="false">
      <c r="A848" s="0"/>
      <c r="B848" s="413"/>
      <c r="C848" s="0"/>
      <c r="D848" s="0"/>
      <c r="E848" s="414"/>
      <c r="F848" s="414"/>
      <c r="G848" s="1253"/>
      <c r="H848" s="414"/>
      <c r="I848" s="414"/>
      <c r="J848" s="0"/>
      <c r="K848" s="903"/>
      <c r="L848" s="877"/>
    </row>
    <row r="849" customFormat="false" ht="20.1" hidden="false" customHeight="true" outlineLevel="0" collapsed="false">
      <c r="G849" s="905" t="s">
        <v>1593</v>
      </c>
      <c r="H849" s="905"/>
      <c r="I849" s="905"/>
      <c r="J849" s="906" t="s">
        <v>253</v>
      </c>
      <c r="K849" s="903"/>
      <c r="L849" s="877"/>
    </row>
    <row r="850" customFormat="false" ht="20.1" hidden="false" customHeight="true" outlineLevel="0" collapsed="false">
      <c r="A850" s="0"/>
      <c r="B850" s="413"/>
      <c r="C850" s="0"/>
      <c r="D850" s="0"/>
      <c r="E850" s="414"/>
      <c r="F850" s="414"/>
      <c r="G850" s="414"/>
      <c r="H850" s="414"/>
      <c r="I850" s="414"/>
      <c r="J850" s="1253"/>
      <c r="K850" s="903"/>
      <c r="L850" s="877"/>
    </row>
    <row r="851" customFormat="false" ht="20.1" hidden="false" customHeight="true" outlineLevel="0" collapsed="false">
      <c r="A851" s="0"/>
      <c r="B851" s="0"/>
      <c r="C851" s="0"/>
      <c r="D851" s="0"/>
      <c r="E851" s="0"/>
      <c r="F851" s="0"/>
      <c r="G851" s="0"/>
      <c r="H851" s="0"/>
      <c r="I851" s="0"/>
      <c r="J851" s="0"/>
      <c r="K851" s="55"/>
      <c r="L851" s="877"/>
    </row>
    <row r="852" customFormat="false" ht="20.1" hidden="false" customHeight="true" outlineLevel="0" collapsed="false">
      <c r="A852" s="869" t="s">
        <v>1594</v>
      </c>
      <c r="B852" s="869"/>
      <c r="C852" s="869"/>
      <c r="D852" s="869"/>
      <c r="E852" s="869"/>
      <c r="F852" s="869"/>
      <c r="G852" s="869"/>
      <c r="H852" s="53"/>
      <c r="I852" s="53"/>
      <c r="J852" s="53"/>
      <c r="K852" s="870"/>
      <c r="L852" s="871" t="s">
        <v>1595</v>
      </c>
    </row>
    <row r="853" customFormat="false" ht="20.1" hidden="false" customHeight="true" outlineLevel="0" collapsed="false">
      <c r="A853" s="1005"/>
      <c r="B853" s="1005"/>
      <c r="C853" s="1005"/>
      <c r="D853" s="1005"/>
      <c r="E853" s="1005"/>
      <c r="F853" s="1005"/>
      <c r="G853" s="1005"/>
      <c r="H853" s="0"/>
      <c r="I853" s="0"/>
      <c r="J853" s="0"/>
      <c r="K853" s="903"/>
      <c r="L853" s="877"/>
    </row>
    <row r="854" customFormat="false" ht="20.1" hidden="false" customHeight="true" outlineLevel="0" collapsed="false">
      <c r="A854" s="18" t="s">
        <v>1596</v>
      </c>
      <c r="B854" s="954" t="str">
        <f aca="false">B19</f>
        <v>1 - monogastrique</v>
      </c>
      <c r="C854" s="1005"/>
      <c r="D854" s="1005"/>
      <c r="E854" s="1005"/>
      <c r="F854" s="1005"/>
      <c r="G854" s="1005"/>
      <c r="H854" s="0"/>
      <c r="I854" s="0"/>
      <c r="J854" s="0"/>
      <c r="K854" s="903"/>
      <c r="L854" s="877"/>
    </row>
    <row r="855" customFormat="false" ht="20.1" hidden="false" customHeight="true" outlineLevel="0" collapsed="false">
      <c r="A855" s="1254" t="s">
        <v>1597</v>
      </c>
      <c r="B855" s="19"/>
      <c r="C855" s="19"/>
      <c r="D855" s="19"/>
      <c r="E855" s="19"/>
      <c r="F855" s="19"/>
      <c r="G855" s="19"/>
      <c r="H855" s="0"/>
      <c r="I855" s="0"/>
      <c r="J855" s="0"/>
      <c r="K855" s="0"/>
      <c r="L855" s="877" t="s">
        <v>1087</v>
      </c>
    </row>
    <row r="856" customFormat="false" ht="20.1" hidden="false" customHeight="true" outlineLevel="0" collapsed="false">
      <c r="A856" s="451" t="s">
        <v>1598</v>
      </c>
      <c r="B856" s="451"/>
      <c r="C856" s="451"/>
      <c r="D856" s="954" t="n">
        <f aca="false">C200-E202-E205</f>
        <v>0</v>
      </c>
      <c r="E856" s="11" t="s">
        <v>383</v>
      </c>
      <c r="H856" s="1255" t="s">
        <v>1599</v>
      </c>
      <c r="I856" s="1255"/>
      <c r="J856" s="910" t="n">
        <f aca="false">D857/B24</f>
        <v>0</v>
      </c>
      <c r="K856" s="903"/>
      <c r="M856" s="0"/>
      <c r="N856" s="0"/>
      <c r="O856" s="0"/>
      <c r="P856" s="0"/>
      <c r="Q856" s="0"/>
      <c r="R856" s="0"/>
      <c r="S856" s="0"/>
      <c r="T856" s="0"/>
      <c r="U856" s="0"/>
      <c r="V856" s="0"/>
      <c r="W856" s="0"/>
      <c r="X856" s="0"/>
      <c r="Y856" s="0"/>
      <c r="Z856" s="0"/>
      <c r="AA856" s="0"/>
      <c r="AB856" s="0"/>
      <c r="AC856" s="0"/>
      <c r="AD856" s="0"/>
      <c r="AE856" s="0"/>
      <c r="AF856" s="0"/>
      <c r="AG856" s="0"/>
      <c r="AH856" s="0"/>
      <c r="AI856" s="0"/>
      <c r="AJ856" s="0"/>
      <c r="AK856" s="0"/>
      <c r="AL856" s="0"/>
      <c r="AM856" s="0"/>
      <c r="AN856" s="0"/>
      <c r="AO856" s="0"/>
      <c r="AP856" s="0"/>
      <c r="AQ856" s="0"/>
      <c r="AR856" s="0"/>
      <c r="AS856" s="0"/>
      <c r="AT856" s="0"/>
      <c r="AU856" s="0"/>
      <c r="AV856" s="0"/>
      <c r="AW856" s="0"/>
      <c r="AX856" s="0"/>
      <c r="AY856" s="0"/>
      <c r="AZ856" s="0"/>
      <c r="BA856" s="0"/>
      <c r="BB856" s="0"/>
      <c r="BC856" s="0"/>
      <c r="BD856" s="0"/>
      <c r="BE856" s="0"/>
      <c r="BF856" s="0"/>
      <c r="BG856" s="0"/>
      <c r="BH856" s="0"/>
      <c r="BI856" s="0"/>
      <c r="BJ856" s="0"/>
      <c r="BK856" s="0"/>
      <c r="BL856" s="0"/>
      <c r="BM856" s="0"/>
      <c r="BN856" s="0"/>
      <c r="BO856" s="0"/>
      <c r="BP856" s="0"/>
      <c r="BQ856" s="0"/>
      <c r="BR856" s="0"/>
      <c r="BS856" s="0"/>
      <c r="BT856" s="0"/>
      <c r="BU856" s="0"/>
      <c r="BV856" s="0"/>
      <c r="BW856" s="0"/>
      <c r="BX856" s="0"/>
      <c r="BY856" s="0"/>
      <c r="BZ856" s="0"/>
      <c r="CA856" s="0"/>
      <c r="CB856" s="0"/>
      <c r="CC856" s="0"/>
      <c r="CD856" s="0"/>
      <c r="CE856" s="0"/>
      <c r="CF856" s="0"/>
      <c r="CG856" s="0"/>
      <c r="CH856" s="0"/>
      <c r="CI856" s="0"/>
      <c r="CJ856" s="0"/>
      <c r="CK856" s="0"/>
      <c r="CL856" s="0"/>
      <c r="CM856" s="0"/>
      <c r="CN856" s="0"/>
      <c r="CO856" s="0"/>
      <c r="CP856" s="0"/>
      <c r="CQ856" s="0"/>
      <c r="CR856" s="0"/>
      <c r="CS856" s="0"/>
      <c r="CT856" s="0"/>
      <c r="CU856" s="0"/>
      <c r="CV856" s="0"/>
      <c r="CW856" s="0"/>
      <c r="CX856" s="0"/>
      <c r="CY856" s="0"/>
      <c r="CZ856" s="0"/>
      <c r="DA856" s="0"/>
      <c r="DB856" s="0"/>
      <c r="DC856" s="0"/>
      <c r="DD856" s="0"/>
      <c r="DE856" s="0"/>
      <c r="DF856" s="0"/>
      <c r="DG856" s="0"/>
      <c r="DH856" s="0"/>
      <c r="DI856" s="0"/>
      <c r="DJ856" s="0"/>
      <c r="DK856" s="0"/>
      <c r="DL856" s="0"/>
      <c r="DM856" s="0"/>
      <c r="DN856" s="0"/>
      <c r="DO856" s="0"/>
      <c r="DP856" s="0"/>
      <c r="DQ856" s="0"/>
      <c r="DR856" s="0"/>
      <c r="DS856" s="0"/>
      <c r="DT856" s="0"/>
      <c r="DU856" s="0"/>
      <c r="DV856" s="0"/>
      <c r="DW856" s="0"/>
      <c r="DX856" s="0"/>
      <c r="DY856" s="0"/>
      <c r="DZ856" s="0"/>
      <c r="EA856" s="0"/>
      <c r="EB856" s="0"/>
      <c r="EC856" s="0"/>
      <c r="ED856" s="0"/>
      <c r="EE856" s="0"/>
      <c r="EF856" s="0"/>
      <c r="EG856" s="0"/>
      <c r="EH856" s="0"/>
      <c r="EI856" s="0"/>
      <c r="EJ856" s="0"/>
      <c r="EK856" s="0"/>
      <c r="EL856" s="0"/>
      <c r="EM856" s="0"/>
      <c r="EN856" s="0"/>
      <c r="EO856" s="0"/>
      <c r="EP856" s="0"/>
      <c r="EQ856" s="0"/>
      <c r="ER856" s="0"/>
      <c r="ES856" s="0"/>
      <c r="ET856" s="0"/>
      <c r="EU856" s="0"/>
      <c r="EV856" s="0"/>
      <c r="EW856" s="0"/>
      <c r="EX856" s="0"/>
      <c r="EY856" s="0"/>
      <c r="EZ856" s="0"/>
      <c r="FA856" s="0"/>
      <c r="FB856" s="0"/>
      <c r="FC856" s="0"/>
      <c r="FD856" s="0"/>
      <c r="FE856" s="0"/>
      <c r="FF856" s="0"/>
      <c r="FG856" s="0"/>
      <c r="FH856" s="0"/>
      <c r="FI856" s="0"/>
      <c r="FJ856" s="0"/>
      <c r="FK856" s="0"/>
      <c r="FL856" s="0"/>
      <c r="FM856" s="0"/>
      <c r="FN856" s="0"/>
      <c r="FO856" s="0"/>
      <c r="FP856" s="0"/>
      <c r="FQ856" s="0"/>
      <c r="FR856" s="0"/>
      <c r="FS856" s="0"/>
      <c r="FT856" s="0"/>
      <c r="FU856" s="0"/>
      <c r="FV856" s="0"/>
      <c r="FW856" s="0"/>
      <c r="FX856" s="0"/>
      <c r="FY856" s="0"/>
      <c r="FZ856" s="0"/>
      <c r="GA856" s="0"/>
      <c r="GB856" s="0"/>
      <c r="GC856" s="0"/>
      <c r="GD856" s="0"/>
      <c r="GE856" s="0"/>
      <c r="GF856" s="0"/>
      <c r="GG856" s="0"/>
      <c r="GH856" s="0"/>
      <c r="GI856" s="0"/>
      <c r="GJ856" s="0"/>
      <c r="GK856" s="0"/>
      <c r="GL856" s="0"/>
      <c r="GM856" s="0"/>
      <c r="GN856" s="0"/>
      <c r="GO856" s="0"/>
      <c r="GP856" s="0"/>
      <c r="GQ856" s="0"/>
      <c r="GR856" s="0"/>
      <c r="GS856" s="0"/>
      <c r="GT856" s="0"/>
      <c r="GU856" s="0"/>
      <c r="GV856" s="0"/>
      <c r="GW856" s="0"/>
      <c r="GX856" s="0"/>
      <c r="GY856" s="0"/>
      <c r="GZ856" s="0"/>
      <c r="HA856" s="0"/>
      <c r="HB856" s="0"/>
      <c r="HC856" s="0"/>
      <c r="HD856" s="0"/>
      <c r="HE856" s="0"/>
      <c r="HF856" s="0"/>
      <c r="HG856" s="0"/>
      <c r="HH856" s="0"/>
      <c r="HI856" s="0"/>
      <c r="HJ856" s="0"/>
      <c r="HK856" s="0"/>
      <c r="HL856" s="0"/>
      <c r="HM856" s="0"/>
      <c r="HN856" s="0"/>
      <c r="HO856" s="0"/>
      <c r="HP856" s="0"/>
      <c r="HQ856" s="0"/>
      <c r="HR856" s="0"/>
      <c r="HS856" s="0"/>
      <c r="HT856" s="0"/>
      <c r="HU856" s="0"/>
      <c r="HV856" s="0"/>
      <c r="HW856" s="0"/>
      <c r="HX856" s="0"/>
      <c r="HY856" s="0"/>
      <c r="HZ856" s="0"/>
      <c r="IA856" s="0"/>
      <c r="IB856" s="0"/>
      <c r="IC856" s="0"/>
      <c r="ID856" s="0"/>
      <c r="IE856" s="0"/>
      <c r="IF856" s="0"/>
      <c r="IG856" s="0"/>
      <c r="IH856" s="0"/>
      <c r="II856" s="0"/>
      <c r="IJ856" s="0"/>
      <c r="IK856" s="0"/>
      <c r="IL856" s="0"/>
      <c r="IM856" s="0"/>
      <c r="IN856" s="0"/>
      <c r="IO856" s="0"/>
      <c r="IP856" s="0"/>
      <c r="IQ856" s="0"/>
      <c r="IR856" s="0"/>
      <c r="IS856" s="0"/>
      <c r="IT856" s="0"/>
      <c r="IU856" s="0"/>
      <c r="IV856" s="0"/>
    </row>
    <row r="857" customFormat="false" ht="20.1" hidden="false" customHeight="true" outlineLevel="0" collapsed="false">
      <c r="A857" s="14"/>
      <c r="B857" s="414"/>
      <c r="C857" s="15" t="s">
        <v>1600</v>
      </c>
      <c r="D857" s="1256" t="n">
        <f aca="false">D856/4</f>
        <v>0</v>
      </c>
      <c r="E857" s="11" t="s">
        <v>94</v>
      </c>
      <c r="H857" s="414"/>
      <c r="I857" s="414"/>
      <c r="J857" s="1253"/>
      <c r="K857" s="903"/>
      <c r="L857" s="877"/>
      <c r="M857" s="0"/>
      <c r="N857" s="0"/>
      <c r="O857" s="0"/>
      <c r="P857" s="0"/>
      <c r="Q857" s="0"/>
      <c r="R857" s="0"/>
      <c r="S857" s="0"/>
      <c r="T857" s="0"/>
      <c r="U857" s="0"/>
      <c r="V857" s="0"/>
      <c r="W857" s="0"/>
      <c r="X857" s="0"/>
      <c r="Y857" s="0"/>
      <c r="Z857" s="0"/>
      <c r="AA857" s="0"/>
      <c r="AB857" s="0"/>
      <c r="AC857" s="0"/>
      <c r="AD857" s="0"/>
      <c r="AE857" s="0"/>
      <c r="AF857" s="0"/>
      <c r="AG857" s="0"/>
      <c r="AH857" s="0"/>
      <c r="AI857" s="0"/>
      <c r="AJ857" s="0"/>
      <c r="AK857" s="0"/>
      <c r="AL857" s="0"/>
      <c r="AM857" s="0"/>
      <c r="AN857" s="0"/>
      <c r="AO857" s="0"/>
      <c r="AP857" s="0"/>
      <c r="AQ857" s="0"/>
      <c r="AR857" s="0"/>
      <c r="AS857" s="0"/>
      <c r="AT857" s="0"/>
      <c r="AU857" s="0"/>
      <c r="AV857" s="0"/>
      <c r="AW857" s="0"/>
      <c r="AX857" s="0"/>
      <c r="AY857" s="0"/>
      <c r="AZ857" s="0"/>
      <c r="BA857" s="0"/>
      <c r="BB857" s="0"/>
      <c r="BC857" s="0"/>
      <c r="BD857" s="0"/>
      <c r="BE857" s="0"/>
      <c r="BF857" s="0"/>
      <c r="BG857" s="0"/>
      <c r="BH857" s="0"/>
      <c r="BI857" s="0"/>
      <c r="BJ857" s="0"/>
      <c r="BK857" s="0"/>
      <c r="BL857" s="0"/>
      <c r="BM857" s="0"/>
      <c r="BN857" s="0"/>
      <c r="BO857" s="0"/>
      <c r="BP857" s="0"/>
      <c r="BQ857" s="0"/>
      <c r="BR857" s="0"/>
      <c r="BS857" s="0"/>
      <c r="BT857" s="0"/>
      <c r="BU857" s="0"/>
      <c r="BV857" s="0"/>
      <c r="BW857" s="0"/>
      <c r="BX857" s="0"/>
      <c r="BY857" s="0"/>
      <c r="BZ857" s="0"/>
      <c r="CA857" s="0"/>
      <c r="CB857" s="0"/>
      <c r="CC857" s="0"/>
      <c r="CD857" s="0"/>
      <c r="CE857" s="0"/>
      <c r="CF857" s="0"/>
      <c r="CG857" s="0"/>
      <c r="CH857" s="0"/>
      <c r="CI857" s="0"/>
      <c r="CJ857" s="0"/>
      <c r="CK857" s="0"/>
      <c r="CL857" s="0"/>
      <c r="CM857" s="0"/>
      <c r="CN857" s="0"/>
      <c r="CO857" s="0"/>
      <c r="CP857" s="0"/>
      <c r="CQ857" s="0"/>
      <c r="CR857" s="0"/>
      <c r="CS857" s="0"/>
      <c r="CT857" s="0"/>
      <c r="CU857" s="0"/>
      <c r="CV857" s="0"/>
      <c r="CW857" s="0"/>
      <c r="CX857" s="0"/>
      <c r="CY857" s="0"/>
      <c r="CZ857" s="0"/>
      <c r="DA857" s="0"/>
      <c r="DB857" s="0"/>
      <c r="DC857" s="0"/>
      <c r="DD857" s="0"/>
      <c r="DE857" s="0"/>
      <c r="DF857" s="0"/>
      <c r="DG857" s="0"/>
      <c r="DH857" s="0"/>
      <c r="DI857" s="0"/>
      <c r="DJ857" s="0"/>
      <c r="DK857" s="0"/>
      <c r="DL857" s="0"/>
      <c r="DM857" s="0"/>
      <c r="DN857" s="0"/>
      <c r="DO857" s="0"/>
      <c r="DP857" s="0"/>
      <c r="DQ857" s="0"/>
      <c r="DR857" s="0"/>
      <c r="DS857" s="0"/>
      <c r="DT857" s="0"/>
      <c r="DU857" s="0"/>
      <c r="DV857" s="0"/>
      <c r="DW857" s="0"/>
      <c r="DX857" s="0"/>
      <c r="DY857" s="0"/>
      <c r="DZ857" s="0"/>
      <c r="EA857" s="0"/>
      <c r="EB857" s="0"/>
      <c r="EC857" s="0"/>
      <c r="ED857" s="0"/>
      <c r="EE857" s="0"/>
      <c r="EF857" s="0"/>
      <c r="EG857" s="0"/>
      <c r="EH857" s="0"/>
      <c r="EI857" s="0"/>
      <c r="EJ857" s="0"/>
      <c r="EK857" s="0"/>
      <c r="EL857" s="0"/>
      <c r="EM857" s="0"/>
      <c r="EN857" s="0"/>
      <c r="EO857" s="0"/>
      <c r="EP857" s="0"/>
      <c r="EQ857" s="0"/>
      <c r="ER857" s="0"/>
      <c r="ES857" s="0"/>
      <c r="ET857" s="0"/>
      <c r="EU857" s="0"/>
      <c r="EV857" s="0"/>
      <c r="EW857" s="0"/>
      <c r="EX857" s="0"/>
      <c r="EY857" s="0"/>
      <c r="EZ857" s="0"/>
      <c r="FA857" s="0"/>
      <c r="FB857" s="0"/>
      <c r="FC857" s="0"/>
      <c r="FD857" s="0"/>
      <c r="FE857" s="0"/>
      <c r="FF857" s="0"/>
      <c r="FG857" s="0"/>
      <c r="FH857" s="0"/>
      <c r="FI857" s="0"/>
      <c r="FJ857" s="0"/>
      <c r="FK857" s="0"/>
      <c r="FL857" s="0"/>
      <c r="FM857" s="0"/>
      <c r="FN857" s="0"/>
      <c r="FO857" s="0"/>
      <c r="FP857" s="0"/>
      <c r="FQ857" s="0"/>
      <c r="FR857" s="0"/>
      <c r="FS857" s="0"/>
      <c r="FT857" s="0"/>
      <c r="FU857" s="0"/>
      <c r="FV857" s="0"/>
      <c r="FW857" s="0"/>
      <c r="FX857" s="0"/>
      <c r="FY857" s="0"/>
      <c r="FZ857" s="0"/>
      <c r="GA857" s="0"/>
      <c r="GB857" s="0"/>
      <c r="GC857" s="0"/>
      <c r="GD857" s="0"/>
      <c r="GE857" s="0"/>
      <c r="GF857" s="0"/>
      <c r="GG857" s="0"/>
      <c r="GH857" s="0"/>
      <c r="GI857" s="0"/>
      <c r="GJ857" s="0"/>
      <c r="GK857" s="0"/>
      <c r="GL857" s="0"/>
      <c r="GM857" s="0"/>
      <c r="GN857" s="0"/>
      <c r="GO857" s="0"/>
      <c r="GP857" s="0"/>
      <c r="GQ857" s="0"/>
      <c r="GR857" s="0"/>
      <c r="GS857" s="0"/>
      <c r="GT857" s="0"/>
      <c r="GU857" s="0"/>
      <c r="GV857" s="0"/>
      <c r="GW857" s="0"/>
      <c r="GX857" s="0"/>
      <c r="GY857" s="0"/>
      <c r="GZ857" s="0"/>
      <c r="HA857" s="0"/>
      <c r="HB857" s="0"/>
      <c r="HC857" s="0"/>
      <c r="HD857" s="0"/>
      <c r="HE857" s="0"/>
      <c r="HF857" s="0"/>
      <c r="HG857" s="0"/>
      <c r="HH857" s="0"/>
      <c r="HI857" s="0"/>
      <c r="HJ857" s="0"/>
      <c r="HK857" s="0"/>
      <c r="HL857" s="0"/>
      <c r="HM857" s="0"/>
      <c r="HN857" s="0"/>
      <c r="HO857" s="0"/>
      <c r="HP857" s="0"/>
      <c r="HQ857" s="0"/>
      <c r="HR857" s="0"/>
      <c r="HS857" s="0"/>
      <c r="HT857" s="0"/>
      <c r="HU857" s="0"/>
      <c r="HV857" s="0"/>
      <c r="HW857" s="0"/>
      <c r="HX857" s="0"/>
      <c r="HY857" s="0"/>
      <c r="HZ857" s="0"/>
      <c r="IA857" s="0"/>
      <c r="IB857" s="0"/>
      <c r="IC857" s="0"/>
      <c r="ID857" s="0"/>
      <c r="IE857" s="0"/>
      <c r="IF857" s="0"/>
      <c r="IG857" s="0"/>
      <c r="IH857" s="0"/>
      <c r="II857" s="0"/>
      <c r="IJ857" s="0"/>
      <c r="IK857" s="0"/>
      <c r="IL857" s="0"/>
      <c r="IM857" s="0"/>
      <c r="IN857" s="0"/>
      <c r="IO857" s="0"/>
      <c r="IP857" s="0"/>
      <c r="IQ857" s="0"/>
      <c r="IR857" s="0"/>
      <c r="IS857" s="0"/>
      <c r="IT857" s="0"/>
      <c r="IU857" s="0"/>
      <c r="IV857" s="0"/>
    </row>
    <row r="858" customFormat="false" ht="20.1" hidden="false" customHeight="true" outlineLevel="0" collapsed="false">
      <c r="A858" s="0"/>
      <c r="B858" s="0"/>
      <c r="C858" s="0"/>
      <c r="D858" s="0"/>
      <c r="E858" s="414"/>
      <c r="F858" s="414"/>
      <c r="G858" s="414"/>
      <c r="H858" s="414"/>
      <c r="I858" s="414"/>
      <c r="J858" s="1253"/>
      <c r="K858" s="903"/>
      <c r="L858" s="877"/>
      <c r="M858" s="0"/>
      <c r="N858" s="0"/>
      <c r="O858" s="0"/>
      <c r="P858" s="0"/>
      <c r="Q858" s="0"/>
      <c r="R858" s="0"/>
      <c r="S858" s="0"/>
      <c r="T858" s="0"/>
      <c r="U858" s="0"/>
      <c r="V858" s="0"/>
      <c r="W858" s="0"/>
      <c r="X858" s="0"/>
      <c r="Y858" s="0"/>
      <c r="Z858" s="0"/>
      <c r="AA858" s="0"/>
      <c r="AB858" s="0"/>
      <c r="AC858" s="0"/>
      <c r="AD858" s="0"/>
      <c r="AE858" s="0"/>
      <c r="AF858" s="0"/>
      <c r="AG858" s="0"/>
      <c r="AH858" s="0"/>
      <c r="AI858" s="0"/>
      <c r="AJ858" s="0"/>
      <c r="AK858" s="0"/>
      <c r="AL858" s="0"/>
      <c r="AM858" s="0"/>
      <c r="AN858" s="0"/>
      <c r="AO858" s="0"/>
      <c r="AP858" s="0"/>
      <c r="AQ858" s="0"/>
      <c r="AR858" s="0"/>
      <c r="AS858" s="0"/>
      <c r="AT858" s="0"/>
      <c r="AU858" s="0"/>
      <c r="AV858" s="0"/>
      <c r="AW858" s="0"/>
      <c r="AX858" s="0"/>
      <c r="AY858" s="0"/>
      <c r="AZ858" s="0"/>
      <c r="BA858" s="0"/>
      <c r="BB858" s="0"/>
      <c r="BC858" s="0"/>
      <c r="BD858" s="0"/>
      <c r="BE858" s="0"/>
      <c r="BF858" s="0"/>
      <c r="BG858" s="0"/>
      <c r="BH858" s="0"/>
      <c r="BI858" s="0"/>
      <c r="BJ858" s="0"/>
      <c r="BK858" s="0"/>
      <c r="BL858" s="0"/>
      <c r="BM858" s="0"/>
      <c r="BN858" s="0"/>
      <c r="BO858" s="0"/>
      <c r="BP858" s="0"/>
      <c r="BQ858" s="0"/>
      <c r="BR858" s="0"/>
      <c r="BS858" s="0"/>
      <c r="BT858" s="0"/>
      <c r="BU858" s="0"/>
      <c r="BV858" s="0"/>
      <c r="BW858" s="0"/>
      <c r="BX858" s="0"/>
      <c r="BY858" s="0"/>
      <c r="BZ858" s="0"/>
      <c r="CA858" s="0"/>
      <c r="CB858" s="0"/>
      <c r="CC858" s="0"/>
      <c r="CD858" s="0"/>
      <c r="CE858" s="0"/>
      <c r="CF858" s="0"/>
      <c r="CG858" s="0"/>
      <c r="CH858" s="0"/>
      <c r="CI858" s="0"/>
      <c r="CJ858" s="0"/>
      <c r="CK858" s="0"/>
      <c r="CL858" s="0"/>
      <c r="CM858" s="0"/>
      <c r="CN858" s="0"/>
      <c r="CO858" s="0"/>
      <c r="CP858" s="0"/>
      <c r="CQ858" s="0"/>
      <c r="CR858" s="0"/>
      <c r="CS858" s="0"/>
      <c r="CT858" s="0"/>
      <c r="CU858" s="0"/>
      <c r="CV858" s="0"/>
      <c r="CW858" s="0"/>
      <c r="CX858" s="0"/>
      <c r="CY858" s="0"/>
      <c r="CZ858" s="0"/>
      <c r="DA858" s="0"/>
      <c r="DB858" s="0"/>
      <c r="DC858" s="0"/>
      <c r="DD858" s="0"/>
      <c r="DE858" s="0"/>
      <c r="DF858" s="0"/>
      <c r="DG858" s="0"/>
      <c r="DH858" s="0"/>
      <c r="DI858" s="0"/>
      <c r="DJ858" s="0"/>
      <c r="DK858" s="0"/>
      <c r="DL858" s="0"/>
      <c r="DM858" s="0"/>
      <c r="DN858" s="0"/>
      <c r="DO858" s="0"/>
      <c r="DP858" s="0"/>
      <c r="DQ858" s="0"/>
      <c r="DR858" s="0"/>
      <c r="DS858" s="0"/>
      <c r="DT858" s="0"/>
      <c r="DU858" s="0"/>
      <c r="DV858" s="0"/>
      <c r="DW858" s="0"/>
      <c r="DX858" s="0"/>
      <c r="DY858" s="0"/>
      <c r="DZ858" s="0"/>
      <c r="EA858" s="0"/>
      <c r="EB858" s="0"/>
      <c r="EC858" s="0"/>
      <c r="ED858" s="0"/>
      <c r="EE858" s="0"/>
      <c r="EF858" s="0"/>
      <c r="EG858" s="0"/>
      <c r="EH858" s="0"/>
      <c r="EI858" s="0"/>
      <c r="EJ858" s="0"/>
      <c r="EK858" s="0"/>
      <c r="EL858" s="0"/>
      <c r="EM858" s="0"/>
      <c r="EN858" s="0"/>
      <c r="EO858" s="0"/>
      <c r="EP858" s="0"/>
      <c r="EQ858" s="0"/>
      <c r="ER858" s="0"/>
      <c r="ES858" s="0"/>
      <c r="ET858" s="0"/>
      <c r="EU858" s="0"/>
      <c r="EV858" s="0"/>
      <c r="EW858" s="0"/>
      <c r="EX858" s="0"/>
      <c r="EY858" s="0"/>
      <c r="EZ858" s="0"/>
      <c r="FA858" s="0"/>
      <c r="FB858" s="0"/>
      <c r="FC858" s="0"/>
      <c r="FD858" s="0"/>
      <c r="FE858" s="0"/>
      <c r="FF858" s="0"/>
      <c r="FG858" s="0"/>
      <c r="FH858" s="0"/>
      <c r="FI858" s="0"/>
      <c r="FJ858" s="0"/>
      <c r="FK858" s="0"/>
      <c r="FL858" s="0"/>
      <c r="FM858" s="0"/>
      <c r="FN858" s="0"/>
      <c r="FO858" s="0"/>
      <c r="FP858" s="0"/>
      <c r="FQ858" s="0"/>
      <c r="FR858" s="0"/>
      <c r="FS858" s="0"/>
      <c r="FT858" s="0"/>
      <c r="FU858" s="0"/>
      <c r="FV858" s="0"/>
      <c r="FW858" s="0"/>
      <c r="FX858" s="0"/>
      <c r="FY858" s="0"/>
      <c r="FZ858" s="0"/>
      <c r="GA858" s="0"/>
      <c r="GB858" s="0"/>
      <c r="GC858" s="0"/>
      <c r="GD858" s="0"/>
      <c r="GE858" s="0"/>
      <c r="GF858" s="0"/>
      <c r="GG858" s="0"/>
      <c r="GH858" s="0"/>
      <c r="GI858" s="0"/>
      <c r="GJ858" s="0"/>
      <c r="GK858" s="0"/>
      <c r="GL858" s="0"/>
      <c r="GM858" s="0"/>
      <c r="GN858" s="0"/>
      <c r="GO858" s="0"/>
      <c r="GP858" s="0"/>
      <c r="GQ858" s="0"/>
      <c r="GR858" s="0"/>
      <c r="GS858" s="0"/>
      <c r="GT858" s="0"/>
      <c r="GU858" s="0"/>
      <c r="GV858" s="0"/>
      <c r="GW858" s="0"/>
      <c r="GX858" s="0"/>
      <c r="GY858" s="0"/>
      <c r="GZ858" s="0"/>
      <c r="HA858" s="0"/>
      <c r="HB858" s="0"/>
      <c r="HC858" s="0"/>
      <c r="HD858" s="0"/>
      <c r="HE858" s="0"/>
      <c r="HF858" s="0"/>
      <c r="HG858" s="0"/>
      <c r="HH858" s="0"/>
      <c r="HI858" s="0"/>
      <c r="HJ858" s="0"/>
      <c r="HK858" s="0"/>
      <c r="HL858" s="0"/>
      <c r="HM858" s="0"/>
      <c r="HN858" s="0"/>
      <c r="HO858" s="0"/>
      <c r="HP858" s="0"/>
      <c r="HQ858" s="0"/>
      <c r="HR858" s="0"/>
      <c r="HS858" s="0"/>
      <c r="HT858" s="0"/>
      <c r="HU858" s="0"/>
      <c r="HV858" s="0"/>
      <c r="HW858" s="0"/>
      <c r="HX858" s="0"/>
      <c r="HY858" s="0"/>
      <c r="HZ858" s="0"/>
      <c r="IA858" s="0"/>
      <c r="IB858" s="0"/>
      <c r="IC858" s="0"/>
      <c r="ID858" s="0"/>
      <c r="IE858" s="0"/>
      <c r="IF858" s="0"/>
      <c r="IG858" s="0"/>
      <c r="IH858" s="0"/>
      <c r="II858" s="0"/>
      <c r="IJ858" s="0"/>
      <c r="IK858" s="0"/>
      <c r="IL858" s="0"/>
      <c r="IM858" s="0"/>
      <c r="IN858" s="0"/>
      <c r="IO858" s="0"/>
      <c r="IP858" s="0"/>
      <c r="IQ858" s="0"/>
      <c r="IR858" s="0"/>
      <c r="IS858" s="0"/>
      <c r="IT858" s="0"/>
      <c r="IU858" s="0"/>
      <c r="IV858" s="0"/>
    </row>
    <row r="859" customFormat="false" ht="20.1" hidden="false" customHeight="true" outlineLevel="0" collapsed="false">
      <c r="A859" s="1229" t="s">
        <v>1601</v>
      </c>
      <c r="B859" s="413"/>
      <c r="C859" s="0"/>
      <c r="D859" s="0"/>
      <c r="E859" s="414"/>
      <c r="F859" s="414"/>
      <c r="G859" s="414"/>
      <c r="H859" s="414"/>
      <c r="I859" s="414"/>
      <c r="J859" s="1253"/>
      <c r="K859" s="903"/>
      <c r="L859" s="877" t="s">
        <v>1240</v>
      </c>
      <c r="M859" s="0"/>
      <c r="N859" s="0"/>
      <c r="O859" s="0"/>
      <c r="P859" s="0"/>
      <c r="Q859" s="0"/>
      <c r="R859" s="0"/>
      <c r="S859" s="0"/>
      <c r="T859" s="0"/>
      <c r="U859" s="0"/>
      <c r="V859" s="0"/>
      <c r="W859" s="0"/>
      <c r="X859" s="0"/>
      <c r="Y859" s="0"/>
      <c r="Z859" s="0"/>
      <c r="AA859" s="0"/>
      <c r="AB859" s="0"/>
      <c r="AC859" s="0"/>
      <c r="AD859" s="0"/>
      <c r="AE859" s="0"/>
      <c r="AF859" s="0"/>
      <c r="AG859" s="0"/>
      <c r="AH859" s="0"/>
      <c r="AI859" s="0"/>
      <c r="AJ859" s="0"/>
      <c r="AK859" s="0"/>
      <c r="AL859" s="0"/>
      <c r="AM859" s="0"/>
      <c r="AN859" s="0"/>
      <c r="AO859" s="0"/>
      <c r="AP859" s="0"/>
      <c r="AQ859" s="0"/>
      <c r="AR859" s="0"/>
      <c r="AS859" s="0"/>
      <c r="AT859" s="0"/>
      <c r="AU859" s="0"/>
      <c r="AV859" s="0"/>
      <c r="AW859" s="0"/>
      <c r="AX859" s="0"/>
      <c r="AY859" s="0"/>
      <c r="AZ859" s="0"/>
      <c r="BA859" s="0"/>
      <c r="BB859" s="0"/>
      <c r="BC859" s="0"/>
      <c r="BD859" s="0"/>
      <c r="BE859" s="0"/>
      <c r="BF859" s="0"/>
      <c r="BG859" s="0"/>
      <c r="BH859" s="0"/>
      <c r="BI859" s="0"/>
      <c r="BJ859" s="0"/>
      <c r="BK859" s="0"/>
      <c r="BL859" s="0"/>
      <c r="BM859" s="0"/>
      <c r="BN859" s="0"/>
      <c r="BO859" s="0"/>
      <c r="BP859" s="0"/>
      <c r="BQ859" s="0"/>
      <c r="BR859" s="0"/>
      <c r="BS859" s="0"/>
      <c r="BT859" s="0"/>
      <c r="BU859" s="0"/>
      <c r="BV859" s="0"/>
      <c r="BW859" s="0"/>
      <c r="BX859" s="0"/>
      <c r="BY859" s="0"/>
      <c r="BZ859" s="0"/>
      <c r="CA859" s="0"/>
      <c r="CB859" s="0"/>
      <c r="CC859" s="0"/>
      <c r="CD859" s="0"/>
      <c r="CE859" s="0"/>
      <c r="CF859" s="0"/>
      <c r="CG859" s="0"/>
      <c r="CH859" s="0"/>
      <c r="CI859" s="0"/>
      <c r="CJ859" s="0"/>
      <c r="CK859" s="0"/>
      <c r="CL859" s="0"/>
      <c r="CM859" s="0"/>
      <c r="CN859" s="0"/>
      <c r="CO859" s="0"/>
      <c r="CP859" s="0"/>
      <c r="CQ859" s="0"/>
      <c r="CR859" s="0"/>
      <c r="CS859" s="0"/>
      <c r="CT859" s="0"/>
      <c r="CU859" s="0"/>
      <c r="CV859" s="0"/>
      <c r="CW859" s="0"/>
      <c r="CX859" s="0"/>
      <c r="CY859" s="0"/>
      <c r="CZ859" s="0"/>
      <c r="DA859" s="0"/>
      <c r="DB859" s="0"/>
      <c r="DC859" s="0"/>
      <c r="DD859" s="0"/>
      <c r="DE859" s="0"/>
      <c r="DF859" s="0"/>
      <c r="DG859" s="0"/>
      <c r="DH859" s="0"/>
      <c r="DI859" s="0"/>
      <c r="DJ859" s="0"/>
      <c r="DK859" s="0"/>
      <c r="DL859" s="0"/>
      <c r="DM859" s="0"/>
      <c r="DN859" s="0"/>
      <c r="DO859" s="0"/>
      <c r="DP859" s="0"/>
      <c r="DQ859" s="0"/>
      <c r="DR859" s="0"/>
      <c r="DS859" s="0"/>
      <c r="DT859" s="0"/>
      <c r="DU859" s="0"/>
      <c r="DV859" s="0"/>
      <c r="DW859" s="0"/>
      <c r="DX859" s="0"/>
      <c r="DY859" s="0"/>
      <c r="DZ859" s="0"/>
      <c r="EA859" s="0"/>
      <c r="EB859" s="0"/>
      <c r="EC859" s="0"/>
      <c r="ED859" s="0"/>
      <c r="EE859" s="0"/>
      <c r="EF859" s="0"/>
      <c r="EG859" s="0"/>
      <c r="EH859" s="0"/>
      <c r="EI859" s="0"/>
      <c r="EJ859" s="0"/>
      <c r="EK859" s="0"/>
      <c r="EL859" s="0"/>
      <c r="EM859" s="0"/>
      <c r="EN859" s="0"/>
      <c r="EO859" s="0"/>
      <c r="EP859" s="0"/>
      <c r="EQ859" s="0"/>
      <c r="ER859" s="0"/>
      <c r="ES859" s="0"/>
      <c r="ET859" s="0"/>
      <c r="EU859" s="0"/>
      <c r="EV859" s="0"/>
      <c r="EW859" s="0"/>
      <c r="EX859" s="0"/>
      <c r="EY859" s="0"/>
      <c r="EZ859" s="0"/>
      <c r="FA859" s="0"/>
      <c r="FB859" s="0"/>
      <c r="FC859" s="0"/>
      <c r="FD859" s="0"/>
      <c r="FE859" s="0"/>
      <c r="FF859" s="0"/>
      <c r="FG859" s="0"/>
      <c r="FH859" s="0"/>
      <c r="FI859" s="0"/>
      <c r="FJ859" s="0"/>
      <c r="FK859" s="0"/>
      <c r="FL859" s="0"/>
      <c r="FM859" s="0"/>
      <c r="FN859" s="0"/>
      <c r="FO859" s="0"/>
      <c r="FP859" s="0"/>
      <c r="FQ859" s="0"/>
      <c r="FR859" s="0"/>
      <c r="FS859" s="0"/>
      <c r="FT859" s="0"/>
      <c r="FU859" s="0"/>
      <c r="FV859" s="0"/>
      <c r="FW859" s="0"/>
      <c r="FX859" s="0"/>
      <c r="FY859" s="0"/>
      <c r="FZ859" s="0"/>
      <c r="GA859" s="0"/>
      <c r="GB859" s="0"/>
      <c r="GC859" s="0"/>
      <c r="GD859" s="0"/>
      <c r="GE859" s="0"/>
      <c r="GF859" s="0"/>
      <c r="GG859" s="0"/>
      <c r="GH859" s="0"/>
      <c r="GI859" s="0"/>
      <c r="GJ859" s="0"/>
      <c r="GK859" s="0"/>
      <c r="GL859" s="0"/>
      <c r="GM859" s="0"/>
      <c r="GN859" s="0"/>
      <c r="GO859" s="0"/>
      <c r="GP859" s="0"/>
      <c r="GQ859" s="0"/>
      <c r="GR859" s="0"/>
      <c r="GS859" s="0"/>
      <c r="GT859" s="0"/>
      <c r="GU859" s="0"/>
      <c r="GV859" s="0"/>
      <c r="GW859" s="0"/>
      <c r="GX859" s="0"/>
      <c r="GY859" s="0"/>
      <c r="GZ859" s="0"/>
      <c r="HA859" s="0"/>
      <c r="HB859" s="0"/>
      <c r="HC859" s="0"/>
      <c r="HD859" s="0"/>
      <c r="HE859" s="0"/>
      <c r="HF859" s="0"/>
      <c r="HG859" s="0"/>
      <c r="HH859" s="0"/>
      <c r="HI859" s="0"/>
      <c r="HJ859" s="0"/>
      <c r="HK859" s="0"/>
      <c r="HL859" s="0"/>
      <c r="HM859" s="0"/>
      <c r="HN859" s="0"/>
      <c r="HO859" s="0"/>
      <c r="HP859" s="0"/>
      <c r="HQ859" s="0"/>
      <c r="HR859" s="0"/>
      <c r="HS859" s="0"/>
      <c r="HT859" s="0"/>
      <c r="HU859" s="0"/>
      <c r="HV859" s="0"/>
      <c r="HW859" s="0"/>
      <c r="HX859" s="0"/>
      <c r="HY859" s="0"/>
      <c r="HZ859" s="0"/>
      <c r="IA859" s="0"/>
      <c r="IB859" s="0"/>
      <c r="IC859" s="0"/>
      <c r="ID859" s="0"/>
      <c r="IE859" s="0"/>
      <c r="IF859" s="0"/>
      <c r="IG859" s="0"/>
      <c r="IH859" s="0"/>
      <c r="II859" s="0"/>
      <c r="IJ859" s="0"/>
      <c r="IK859" s="0"/>
      <c r="IL859" s="0"/>
      <c r="IM859" s="0"/>
      <c r="IN859" s="0"/>
      <c r="IO859" s="0"/>
      <c r="IP859" s="0"/>
      <c r="IQ859" s="0"/>
      <c r="IR859" s="0"/>
      <c r="IS859" s="0"/>
      <c r="IT859" s="0"/>
      <c r="IU859" s="0"/>
      <c r="IV859" s="0"/>
    </row>
    <row r="860" customFormat="false" ht="19.5" hidden="false" customHeight="true" outlineLevel="0" collapsed="false">
      <c r="A860" s="1008" t="s">
        <v>1602</v>
      </c>
      <c r="B860" s="1008"/>
      <c r="C860" s="1008"/>
      <c r="D860" s="1250" t="n">
        <v>0</v>
      </c>
      <c r="E860" s="14" t="s">
        <v>94</v>
      </c>
      <c r="F860" s="0"/>
      <c r="G860" s="909" t="s">
        <v>1603</v>
      </c>
      <c r="H860" s="909"/>
      <c r="I860" s="909"/>
      <c r="J860" s="910" t="n">
        <f aca="false">D860/B24</f>
        <v>0</v>
      </c>
      <c r="K860" s="903"/>
      <c r="L860" s="877"/>
      <c r="M860" s="0"/>
      <c r="N860" s="0"/>
      <c r="O860" s="0"/>
      <c r="P860" s="0"/>
      <c r="Q860" s="0"/>
      <c r="R860" s="0"/>
      <c r="S860" s="0"/>
      <c r="T860" s="0"/>
      <c r="U860" s="0"/>
      <c r="V860" s="0"/>
      <c r="W860" s="0"/>
      <c r="X860" s="0"/>
      <c r="Y860" s="0"/>
      <c r="Z860" s="0"/>
      <c r="AA860" s="0"/>
      <c r="AB860" s="0"/>
      <c r="AC860" s="0"/>
      <c r="AD860" s="0"/>
      <c r="AE860" s="0"/>
      <c r="AF860" s="0"/>
      <c r="AG860" s="0"/>
      <c r="AH860" s="0"/>
      <c r="AI860" s="0"/>
      <c r="AJ860" s="0"/>
      <c r="AK860" s="0"/>
      <c r="AL860" s="0"/>
      <c r="AM860" s="0"/>
      <c r="AN860" s="0"/>
      <c r="AO860" s="0"/>
      <c r="AP860" s="0"/>
      <c r="AQ860" s="0"/>
      <c r="AR860" s="0"/>
      <c r="AS860" s="0"/>
      <c r="AT860" s="0"/>
      <c r="AU860" s="0"/>
      <c r="AV860" s="0"/>
      <c r="AW860" s="0"/>
      <c r="AX860" s="0"/>
      <c r="AY860" s="0"/>
      <c r="AZ860" s="0"/>
      <c r="BA860" s="0"/>
      <c r="BB860" s="0"/>
      <c r="BC860" s="0"/>
      <c r="BD860" s="0"/>
      <c r="BE860" s="0"/>
      <c r="BF860" s="0"/>
      <c r="BG860" s="0"/>
      <c r="BH860" s="0"/>
      <c r="BI860" s="0"/>
      <c r="BJ860" s="0"/>
      <c r="BK860" s="0"/>
      <c r="BL860" s="0"/>
      <c r="BM860" s="0"/>
      <c r="BN860" s="0"/>
      <c r="BO860" s="0"/>
      <c r="BP860" s="0"/>
      <c r="BQ860" s="0"/>
      <c r="BR860" s="0"/>
      <c r="BS860" s="0"/>
      <c r="BT860" s="0"/>
      <c r="BU860" s="0"/>
      <c r="BV860" s="0"/>
      <c r="BW860" s="0"/>
      <c r="BX860" s="0"/>
      <c r="BY860" s="0"/>
      <c r="BZ860" s="0"/>
      <c r="CA860" s="0"/>
      <c r="CB860" s="0"/>
      <c r="CC860" s="0"/>
      <c r="CD860" s="0"/>
      <c r="CE860" s="0"/>
      <c r="CF860" s="0"/>
      <c r="CG860" s="0"/>
      <c r="CH860" s="0"/>
      <c r="CI860" s="0"/>
      <c r="CJ860" s="0"/>
      <c r="CK860" s="0"/>
      <c r="CL860" s="0"/>
      <c r="CM860" s="0"/>
      <c r="CN860" s="0"/>
      <c r="CO860" s="0"/>
      <c r="CP860" s="0"/>
      <c r="CQ860" s="0"/>
      <c r="CR860" s="0"/>
      <c r="CS860" s="0"/>
      <c r="CT860" s="0"/>
      <c r="CU860" s="0"/>
      <c r="CV860" s="0"/>
      <c r="CW860" s="0"/>
      <c r="CX860" s="0"/>
      <c r="CY860" s="0"/>
      <c r="CZ860" s="0"/>
      <c r="DA860" s="0"/>
      <c r="DB860" s="0"/>
      <c r="DC860" s="0"/>
      <c r="DD860" s="0"/>
      <c r="DE860" s="0"/>
      <c r="DF860" s="0"/>
      <c r="DG860" s="0"/>
      <c r="DH860" s="0"/>
      <c r="DI860" s="0"/>
      <c r="DJ860" s="0"/>
      <c r="DK860" s="0"/>
      <c r="DL860" s="0"/>
      <c r="DM860" s="0"/>
      <c r="DN860" s="0"/>
      <c r="DO860" s="0"/>
      <c r="DP860" s="0"/>
      <c r="DQ860" s="0"/>
      <c r="DR860" s="0"/>
      <c r="DS860" s="0"/>
      <c r="DT860" s="0"/>
      <c r="DU860" s="0"/>
      <c r="DV860" s="0"/>
      <c r="DW860" s="0"/>
      <c r="DX860" s="0"/>
      <c r="DY860" s="0"/>
      <c r="DZ860" s="0"/>
      <c r="EA860" s="0"/>
      <c r="EB860" s="0"/>
      <c r="EC860" s="0"/>
      <c r="ED860" s="0"/>
      <c r="EE860" s="0"/>
      <c r="EF860" s="0"/>
      <c r="EG860" s="0"/>
      <c r="EH860" s="0"/>
      <c r="EI860" s="0"/>
      <c r="EJ860" s="0"/>
      <c r="EK860" s="0"/>
      <c r="EL860" s="0"/>
      <c r="EM860" s="0"/>
      <c r="EN860" s="0"/>
      <c r="EO860" s="0"/>
      <c r="EP860" s="0"/>
      <c r="EQ860" s="0"/>
      <c r="ER860" s="0"/>
      <c r="ES860" s="0"/>
      <c r="ET860" s="0"/>
      <c r="EU860" s="0"/>
      <c r="EV860" s="0"/>
      <c r="EW860" s="0"/>
      <c r="EX860" s="0"/>
      <c r="EY860" s="0"/>
      <c r="EZ860" s="0"/>
      <c r="FA860" s="0"/>
      <c r="FB860" s="0"/>
      <c r="FC860" s="0"/>
      <c r="FD860" s="0"/>
      <c r="FE860" s="0"/>
      <c r="FF860" s="0"/>
      <c r="FG860" s="0"/>
      <c r="FH860" s="0"/>
      <c r="FI860" s="0"/>
      <c r="FJ860" s="0"/>
      <c r="FK860" s="0"/>
      <c r="FL860" s="0"/>
      <c r="FM860" s="0"/>
      <c r="FN860" s="0"/>
      <c r="FO860" s="0"/>
      <c r="FP860" s="0"/>
      <c r="FQ860" s="0"/>
      <c r="FR860" s="0"/>
      <c r="FS860" s="0"/>
      <c r="FT860" s="0"/>
      <c r="FU860" s="0"/>
      <c r="FV860" s="0"/>
      <c r="FW860" s="0"/>
      <c r="FX860" s="0"/>
      <c r="FY860" s="0"/>
      <c r="FZ860" s="0"/>
      <c r="GA860" s="0"/>
      <c r="GB860" s="0"/>
      <c r="GC860" s="0"/>
      <c r="GD860" s="0"/>
      <c r="GE860" s="0"/>
      <c r="GF860" s="0"/>
      <c r="GG860" s="0"/>
      <c r="GH860" s="0"/>
      <c r="GI860" s="0"/>
      <c r="GJ860" s="0"/>
      <c r="GK860" s="0"/>
      <c r="GL860" s="0"/>
      <c r="GM860" s="0"/>
      <c r="GN860" s="0"/>
      <c r="GO860" s="0"/>
      <c r="GP860" s="0"/>
      <c r="GQ860" s="0"/>
      <c r="GR860" s="0"/>
      <c r="GS860" s="0"/>
      <c r="GT860" s="0"/>
      <c r="GU860" s="0"/>
      <c r="GV860" s="0"/>
      <c r="GW860" s="0"/>
      <c r="GX860" s="0"/>
      <c r="GY860" s="0"/>
      <c r="GZ860" s="0"/>
      <c r="HA860" s="0"/>
      <c r="HB860" s="0"/>
      <c r="HC860" s="0"/>
      <c r="HD860" s="0"/>
      <c r="HE860" s="0"/>
      <c r="HF860" s="0"/>
      <c r="HG860" s="0"/>
      <c r="HH860" s="0"/>
      <c r="HI860" s="0"/>
      <c r="HJ860" s="0"/>
      <c r="HK860" s="0"/>
      <c r="HL860" s="0"/>
      <c r="HM860" s="0"/>
      <c r="HN860" s="0"/>
      <c r="HO860" s="0"/>
      <c r="HP860" s="0"/>
      <c r="HQ860" s="0"/>
      <c r="HR860" s="0"/>
      <c r="HS860" s="0"/>
      <c r="HT860" s="0"/>
      <c r="HU860" s="0"/>
      <c r="HV860" s="0"/>
      <c r="HW860" s="0"/>
      <c r="HX860" s="0"/>
      <c r="HY860" s="0"/>
      <c r="HZ860" s="0"/>
      <c r="IA860" s="0"/>
      <c r="IB860" s="0"/>
      <c r="IC860" s="0"/>
      <c r="ID860" s="0"/>
      <c r="IE860" s="0"/>
      <c r="IF860" s="0"/>
      <c r="IG860" s="0"/>
      <c r="IH860" s="0"/>
      <c r="II860" s="0"/>
      <c r="IJ860" s="0"/>
      <c r="IK860" s="0"/>
      <c r="IL860" s="0"/>
      <c r="IM860" s="0"/>
      <c r="IN860" s="0"/>
      <c r="IO860" s="0"/>
      <c r="IP860" s="0"/>
      <c r="IQ860" s="0"/>
      <c r="IR860" s="0"/>
      <c r="IS860" s="0"/>
      <c r="IT860" s="0"/>
      <c r="IU860" s="0"/>
      <c r="IV860" s="0"/>
    </row>
    <row r="861" customFormat="false" ht="20.1" hidden="false" customHeight="true" outlineLevel="0" collapsed="false">
      <c r="A861" s="11" t="s">
        <v>1604</v>
      </c>
      <c r="B861" s="413"/>
      <c r="C861" s="0"/>
      <c r="D861" s="0"/>
      <c r="E861" s="414"/>
      <c r="F861" s="414"/>
      <c r="G861" s="414"/>
      <c r="H861" s="414"/>
      <c r="I861" s="414"/>
      <c r="J861" s="1253"/>
      <c r="K861" s="903"/>
      <c r="L861" s="877"/>
      <c r="M861" s="0"/>
      <c r="N861" s="0"/>
      <c r="O861" s="0"/>
      <c r="P861" s="0"/>
      <c r="Q861" s="0"/>
      <c r="R861" s="0"/>
      <c r="S861" s="0"/>
      <c r="T861" s="0"/>
      <c r="U861" s="0"/>
      <c r="V861" s="0"/>
      <c r="W861" s="0"/>
      <c r="X861" s="0"/>
      <c r="Y861" s="0"/>
      <c r="Z861" s="0"/>
      <c r="AA861" s="0"/>
      <c r="AB861" s="0"/>
      <c r="AC861" s="0"/>
      <c r="AD861" s="0"/>
      <c r="AE861" s="0"/>
      <c r="AF861" s="0"/>
      <c r="AG861" s="0"/>
      <c r="AH861" s="0"/>
      <c r="AI861" s="0"/>
      <c r="AJ861" s="0"/>
      <c r="AK861" s="0"/>
      <c r="AL861" s="0"/>
      <c r="AM861" s="0"/>
      <c r="AN861" s="0"/>
      <c r="AO861" s="0"/>
      <c r="AP861" s="0"/>
      <c r="AQ861" s="0"/>
      <c r="AR861" s="0"/>
      <c r="AS861" s="0"/>
      <c r="AT861" s="0"/>
      <c r="AU861" s="0"/>
      <c r="AV861" s="0"/>
      <c r="AW861" s="0"/>
      <c r="AX861" s="0"/>
      <c r="AY861" s="0"/>
      <c r="AZ861" s="0"/>
      <c r="BA861" s="0"/>
      <c r="BB861" s="0"/>
      <c r="BC861" s="0"/>
      <c r="BD861" s="0"/>
      <c r="BE861" s="0"/>
      <c r="BF861" s="0"/>
      <c r="BG861" s="0"/>
      <c r="BH861" s="0"/>
      <c r="BI861" s="0"/>
      <c r="BJ861" s="0"/>
      <c r="BK861" s="0"/>
      <c r="BL861" s="0"/>
      <c r="BM861" s="0"/>
      <c r="BN861" s="0"/>
      <c r="BO861" s="0"/>
      <c r="BP861" s="0"/>
      <c r="BQ861" s="0"/>
      <c r="BR861" s="0"/>
      <c r="BS861" s="0"/>
      <c r="BT861" s="0"/>
      <c r="BU861" s="0"/>
      <c r="BV861" s="0"/>
      <c r="BW861" s="0"/>
      <c r="BX861" s="0"/>
      <c r="BY861" s="0"/>
      <c r="BZ861" s="0"/>
      <c r="CA861" s="0"/>
      <c r="CB861" s="0"/>
      <c r="CC861" s="0"/>
      <c r="CD861" s="0"/>
      <c r="CE861" s="0"/>
      <c r="CF861" s="0"/>
      <c r="CG861" s="0"/>
      <c r="CH861" s="0"/>
      <c r="CI861" s="0"/>
      <c r="CJ861" s="0"/>
      <c r="CK861" s="0"/>
      <c r="CL861" s="0"/>
      <c r="CM861" s="0"/>
      <c r="CN861" s="0"/>
      <c r="CO861" s="0"/>
      <c r="CP861" s="0"/>
      <c r="CQ861" s="0"/>
      <c r="CR861" s="0"/>
      <c r="CS861" s="0"/>
      <c r="CT861" s="0"/>
      <c r="CU861" s="0"/>
      <c r="CV861" s="0"/>
      <c r="CW861" s="0"/>
      <c r="CX861" s="0"/>
      <c r="CY861" s="0"/>
      <c r="CZ861" s="0"/>
      <c r="DA861" s="0"/>
      <c r="DB861" s="0"/>
      <c r="DC861" s="0"/>
      <c r="DD861" s="0"/>
      <c r="DE861" s="0"/>
      <c r="DF861" s="0"/>
      <c r="DG861" s="0"/>
      <c r="DH861" s="0"/>
      <c r="DI861" s="0"/>
      <c r="DJ861" s="0"/>
      <c r="DK861" s="0"/>
      <c r="DL861" s="0"/>
      <c r="DM861" s="0"/>
      <c r="DN861" s="0"/>
      <c r="DO861" s="0"/>
      <c r="DP861" s="0"/>
      <c r="DQ861" s="0"/>
      <c r="DR861" s="0"/>
      <c r="DS861" s="0"/>
      <c r="DT861" s="0"/>
      <c r="DU861" s="0"/>
      <c r="DV861" s="0"/>
      <c r="DW861" s="0"/>
      <c r="DX861" s="0"/>
      <c r="DY861" s="0"/>
      <c r="DZ861" s="0"/>
      <c r="EA861" s="0"/>
      <c r="EB861" s="0"/>
      <c r="EC861" s="0"/>
      <c r="ED861" s="0"/>
      <c r="EE861" s="0"/>
      <c r="EF861" s="0"/>
      <c r="EG861" s="0"/>
      <c r="EH861" s="0"/>
      <c r="EI861" s="0"/>
      <c r="EJ861" s="0"/>
      <c r="EK861" s="0"/>
      <c r="EL861" s="0"/>
      <c r="EM861" s="0"/>
      <c r="EN861" s="0"/>
      <c r="EO861" s="0"/>
      <c r="EP861" s="0"/>
      <c r="EQ861" s="0"/>
      <c r="ER861" s="0"/>
      <c r="ES861" s="0"/>
      <c r="ET861" s="0"/>
      <c r="EU861" s="0"/>
      <c r="EV861" s="0"/>
      <c r="EW861" s="0"/>
      <c r="EX861" s="0"/>
      <c r="EY861" s="0"/>
      <c r="EZ861" s="0"/>
      <c r="FA861" s="0"/>
      <c r="FB861" s="0"/>
      <c r="FC861" s="0"/>
      <c r="FD861" s="0"/>
      <c r="FE861" s="0"/>
      <c r="FF861" s="0"/>
      <c r="FG861" s="0"/>
      <c r="FH861" s="0"/>
      <c r="FI861" s="0"/>
      <c r="FJ861" s="0"/>
      <c r="FK861" s="0"/>
      <c r="FL861" s="0"/>
      <c r="FM861" s="0"/>
      <c r="FN861" s="0"/>
      <c r="FO861" s="0"/>
      <c r="FP861" s="0"/>
      <c r="FQ861" s="0"/>
      <c r="FR861" s="0"/>
      <c r="FS861" s="0"/>
      <c r="FT861" s="0"/>
      <c r="FU861" s="0"/>
      <c r="FV861" s="0"/>
      <c r="FW861" s="0"/>
      <c r="FX861" s="0"/>
      <c r="FY861" s="0"/>
      <c r="FZ861" s="0"/>
      <c r="GA861" s="0"/>
      <c r="GB861" s="0"/>
      <c r="GC861" s="0"/>
      <c r="GD861" s="0"/>
      <c r="GE861" s="0"/>
      <c r="GF861" s="0"/>
      <c r="GG861" s="0"/>
      <c r="GH861" s="0"/>
      <c r="GI861" s="0"/>
      <c r="GJ861" s="0"/>
      <c r="GK861" s="0"/>
      <c r="GL861" s="0"/>
      <c r="GM861" s="0"/>
      <c r="GN861" s="0"/>
      <c r="GO861" s="0"/>
      <c r="GP861" s="0"/>
      <c r="GQ861" s="0"/>
      <c r="GR861" s="0"/>
      <c r="GS861" s="0"/>
      <c r="GT861" s="0"/>
      <c r="GU861" s="0"/>
      <c r="GV861" s="0"/>
      <c r="GW861" s="0"/>
      <c r="GX861" s="0"/>
      <c r="GY861" s="0"/>
      <c r="GZ861" s="0"/>
      <c r="HA861" s="0"/>
      <c r="HB861" s="0"/>
      <c r="HC861" s="0"/>
      <c r="HD861" s="0"/>
      <c r="HE861" s="0"/>
      <c r="HF861" s="0"/>
      <c r="HG861" s="0"/>
      <c r="HH861" s="0"/>
      <c r="HI861" s="0"/>
      <c r="HJ861" s="0"/>
      <c r="HK861" s="0"/>
      <c r="HL861" s="0"/>
      <c r="HM861" s="0"/>
      <c r="HN861" s="0"/>
      <c r="HO861" s="0"/>
      <c r="HP861" s="0"/>
      <c r="HQ861" s="0"/>
      <c r="HR861" s="0"/>
      <c r="HS861" s="0"/>
      <c r="HT861" s="0"/>
      <c r="HU861" s="0"/>
      <c r="HV861" s="0"/>
      <c r="HW861" s="0"/>
      <c r="HX861" s="0"/>
      <c r="HY861" s="0"/>
      <c r="HZ861" s="0"/>
      <c r="IA861" s="0"/>
      <c r="IB861" s="0"/>
      <c r="IC861" s="0"/>
      <c r="ID861" s="0"/>
      <c r="IE861" s="0"/>
      <c r="IF861" s="0"/>
      <c r="IG861" s="0"/>
      <c r="IH861" s="0"/>
      <c r="II861" s="0"/>
      <c r="IJ861" s="0"/>
      <c r="IK861" s="0"/>
      <c r="IL861" s="0"/>
      <c r="IM861" s="0"/>
      <c r="IN861" s="0"/>
      <c r="IO861" s="0"/>
      <c r="IP861" s="0"/>
      <c r="IQ861" s="0"/>
      <c r="IR861" s="0"/>
      <c r="IS861" s="0"/>
      <c r="IT861" s="0"/>
      <c r="IU861" s="0"/>
      <c r="IV861" s="0"/>
    </row>
    <row r="862" customFormat="false" ht="20.1" hidden="false" customHeight="true" outlineLevel="0" collapsed="false">
      <c r="B862" s="413"/>
      <c r="C862" s="0"/>
      <c r="D862" s="0"/>
      <c r="E862" s="414"/>
      <c r="F862" s="414"/>
      <c r="G862" s="414"/>
      <c r="H862" s="414"/>
      <c r="I862" s="414"/>
      <c r="J862" s="1253"/>
      <c r="K862" s="903"/>
      <c r="L862" s="877"/>
      <c r="M862" s="0"/>
      <c r="N862" s="0"/>
      <c r="O862" s="0"/>
      <c r="P862" s="0"/>
      <c r="Q862" s="0"/>
      <c r="R862" s="0"/>
      <c r="S862" s="0"/>
      <c r="T862" s="0"/>
      <c r="U862" s="0"/>
      <c r="V862" s="0"/>
      <c r="W862" s="0"/>
      <c r="X862" s="0"/>
      <c r="Y862" s="0"/>
      <c r="Z862" s="0"/>
      <c r="AA862" s="0"/>
      <c r="AB862" s="0"/>
      <c r="AC862" s="0"/>
      <c r="AD862" s="0"/>
      <c r="AE862" s="0"/>
      <c r="AF862" s="0"/>
      <c r="AG862" s="0"/>
      <c r="AH862" s="0"/>
      <c r="AI862" s="0"/>
      <c r="AJ862" s="0"/>
      <c r="AK862" s="0"/>
      <c r="AL862" s="0"/>
      <c r="AM862" s="0"/>
      <c r="AN862" s="0"/>
      <c r="AO862" s="0"/>
      <c r="AP862" s="0"/>
      <c r="AQ862" s="0"/>
      <c r="AR862" s="0"/>
      <c r="AS862" s="0"/>
      <c r="AT862" s="0"/>
      <c r="AU862" s="0"/>
      <c r="AV862" s="0"/>
      <c r="AW862" s="0"/>
      <c r="AX862" s="0"/>
      <c r="AY862" s="0"/>
      <c r="AZ862" s="0"/>
      <c r="BA862" s="0"/>
      <c r="BB862" s="0"/>
      <c r="BC862" s="0"/>
      <c r="BD862" s="0"/>
      <c r="BE862" s="0"/>
      <c r="BF862" s="0"/>
      <c r="BG862" s="0"/>
      <c r="BH862" s="0"/>
      <c r="BI862" s="0"/>
      <c r="BJ862" s="0"/>
      <c r="BK862" s="0"/>
      <c r="BL862" s="0"/>
      <c r="BM862" s="0"/>
      <c r="BN862" s="0"/>
      <c r="BO862" s="0"/>
      <c r="BP862" s="0"/>
      <c r="BQ862" s="0"/>
      <c r="BR862" s="0"/>
      <c r="BS862" s="0"/>
      <c r="BT862" s="0"/>
      <c r="BU862" s="0"/>
      <c r="BV862" s="0"/>
      <c r="BW862" s="0"/>
      <c r="BX862" s="0"/>
      <c r="BY862" s="0"/>
      <c r="BZ862" s="0"/>
      <c r="CA862" s="0"/>
      <c r="CB862" s="0"/>
      <c r="CC862" s="0"/>
      <c r="CD862" s="0"/>
      <c r="CE862" s="0"/>
      <c r="CF862" s="0"/>
      <c r="CG862" s="0"/>
      <c r="CH862" s="0"/>
      <c r="CI862" s="0"/>
      <c r="CJ862" s="0"/>
      <c r="CK862" s="0"/>
      <c r="CL862" s="0"/>
      <c r="CM862" s="0"/>
      <c r="CN862" s="0"/>
      <c r="CO862" s="0"/>
      <c r="CP862" s="0"/>
      <c r="CQ862" s="0"/>
      <c r="CR862" s="0"/>
      <c r="CS862" s="0"/>
      <c r="CT862" s="0"/>
      <c r="CU862" s="0"/>
      <c r="CV862" s="0"/>
      <c r="CW862" s="0"/>
      <c r="CX862" s="0"/>
      <c r="CY862" s="0"/>
      <c r="CZ862" s="0"/>
      <c r="DA862" s="0"/>
      <c r="DB862" s="0"/>
      <c r="DC862" s="0"/>
      <c r="DD862" s="0"/>
      <c r="DE862" s="0"/>
      <c r="DF862" s="0"/>
      <c r="DG862" s="0"/>
      <c r="DH862" s="0"/>
      <c r="DI862" s="0"/>
      <c r="DJ862" s="0"/>
      <c r="DK862" s="0"/>
      <c r="DL862" s="0"/>
      <c r="DM862" s="0"/>
      <c r="DN862" s="0"/>
      <c r="DO862" s="0"/>
      <c r="DP862" s="0"/>
      <c r="DQ862" s="0"/>
      <c r="DR862" s="0"/>
      <c r="DS862" s="0"/>
      <c r="DT862" s="0"/>
      <c r="DU862" s="0"/>
      <c r="DV862" s="0"/>
      <c r="DW862" s="0"/>
      <c r="DX862" s="0"/>
      <c r="DY862" s="0"/>
      <c r="DZ862" s="0"/>
      <c r="EA862" s="0"/>
      <c r="EB862" s="0"/>
      <c r="EC862" s="0"/>
      <c r="ED862" s="0"/>
      <c r="EE862" s="0"/>
      <c r="EF862" s="0"/>
      <c r="EG862" s="0"/>
      <c r="EH862" s="0"/>
      <c r="EI862" s="0"/>
      <c r="EJ862" s="0"/>
      <c r="EK862" s="0"/>
      <c r="EL862" s="0"/>
      <c r="EM862" s="0"/>
      <c r="EN862" s="0"/>
      <c r="EO862" s="0"/>
      <c r="EP862" s="0"/>
      <c r="EQ862" s="0"/>
      <c r="ER862" s="0"/>
      <c r="ES862" s="0"/>
      <c r="ET862" s="0"/>
      <c r="EU862" s="0"/>
      <c r="EV862" s="0"/>
      <c r="EW862" s="0"/>
      <c r="EX862" s="0"/>
      <c r="EY862" s="0"/>
      <c r="EZ862" s="0"/>
      <c r="FA862" s="0"/>
      <c r="FB862" s="0"/>
      <c r="FC862" s="0"/>
      <c r="FD862" s="0"/>
      <c r="FE862" s="0"/>
      <c r="FF862" s="0"/>
      <c r="FG862" s="0"/>
      <c r="FH862" s="0"/>
      <c r="FI862" s="0"/>
      <c r="FJ862" s="0"/>
      <c r="FK862" s="0"/>
      <c r="FL862" s="0"/>
      <c r="FM862" s="0"/>
      <c r="FN862" s="0"/>
      <c r="FO862" s="0"/>
      <c r="FP862" s="0"/>
      <c r="FQ862" s="0"/>
      <c r="FR862" s="0"/>
      <c r="FS862" s="0"/>
      <c r="FT862" s="0"/>
      <c r="FU862" s="0"/>
      <c r="FV862" s="0"/>
      <c r="FW862" s="0"/>
      <c r="FX862" s="0"/>
      <c r="FY862" s="0"/>
      <c r="FZ862" s="0"/>
      <c r="GA862" s="0"/>
      <c r="GB862" s="0"/>
      <c r="GC862" s="0"/>
      <c r="GD862" s="0"/>
      <c r="GE862" s="0"/>
      <c r="GF862" s="0"/>
      <c r="GG862" s="0"/>
      <c r="GH862" s="0"/>
      <c r="GI862" s="0"/>
      <c r="GJ862" s="0"/>
      <c r="GK862" s="0"/>
      <c r="GL862" s="0"/>
      <c r="GM862" s="0"/>
      <c r="GN862" s="0"/>
      <c r="GO862" s="0"/>
      <c r="GP862" s="0"/>
      <c r="GQ862" s="0"/>
      <c r="GR862" s="0"/>
      <c r="GS862" s="0"/>
      <c r="GT862" s="0"/>
      <c r="GU862" s="0"/>
      <c r="GV862" s="0"/>
      <c r="GW862" s="0"/>
      <c r="GX862" s="0"/>
      <c r="GY862" s="0"/>
      <c r="GZ862" s="0"/>
      <c r="HA862" s="0"/>
      <c r="HB862" s="0"/>
      <c r="HC862" s="0"/>
      <c r="HD862" s="0"/>
      <c r="HE862" s="0"/>
      <c r="HF862" s="0"/>
      <c r="HG862" s="0"/>
      <c r="HH862" s="0"/>
      <c r="HI862" s="0"/>
      <c r="HJ862" s="0"/>
      <c r="HK862" s="0"/>
      <c r="HL862" s="0"/>
      <c r="HM862" s="0"/>
      <c r="HN862" s="0"/>
      <c r="HO862" s="0"/>
      <c r="HP862" s="0"/>
      <c r="HQ862" s="0"/>
      <c r="HR862" s="0"/>
      <c r="HS862" s="0"/>
      <c r="HT862" s="0"/>
      <c r="HU862" s="0"/>
      <c r="HV862" s="0"/>
      <c r="HW862" s="0"/>
      <c r="HX862" s="0"/>
      <c r="HY862" s="0"/>
      <c r="HZ862" s="0"/>
      <c r="IA862" s="0"/>
      <c r="IB862" s="0"/>
      <c r="IC862" s="0"/>
      <c r="ID862" s="0"/>
      <c r="IE862" s="0"/>
      <c r="IF862" s="0"/>
      <c r="IG862" s="0"/>
      <c r="IH862" s="0"/>
      <c r="II862" s="0"/>
      <c r="IJ862" s="0"/>
      <c r="IK862" s="0"/>
      <c r="IL862" s="0"/>
      <c r="IM862" s="0"/>
      <c r="IN862" s="0"/>
      <c r="IO862" s="0"/>
      <c r="IP862" s="0"/>
      <c r="IQ862" s="0"/>
      <c r="IR862" s="0"/>
      <c r="IS862" s="0"/>
      <c r="IT862" s="0"/>
      <c r="IU862" s="0"/>
      <c r="IV862" s="0"/>
    </row>
    <row r="863" customFormat="false" ht="20.1" hidden="false" customHeight="true" outlineLevel="0" collapsed="false">
      <c r="B863" s="413"/>
      <c r="C863" s="0"/>
      <c r="D863" s="0"/>
      <c r="E863" s="414"/>
      <c r="F863" s="414"/>
      <c r="G863" s="414"/>
      <c r="H863" s="414"/>
      <c r="I863" s="414"/>
      <c r="J863" s="1253"/>
      <c r="K863" s="903"/>
      <c r="L863" s="877"/>
      <c r="M863" s="0"/>
      <c r="N863" s="0"/>
      <c r="O863" s="0"/>
      <c r="P863" s="0"/>
      <c r="Q863" s="0"/>
      <c r="R863" s="0"/>
      <c r="S863" s="0"/>
      <c r="T863" s="0"/>
      <c r="U863" s="0"/>
      <c r="V863" s="0"/>
      <c r="W863" s="0"/>
      <c r="X863" s="0"/>
      <c r="Y863" s="0"/>
      <c r="Z863" s="0"/>
      <c r="AA863" s="0"/>
      <c r="AB863" s="0"/>
      <c r="AC863" s="0"/>
      <c r="AD863" s="0"/>
      <c r="AE863" s="0"/>
      <c r="AF863" s="0"/>
      <c r="AG863" s="0"/>
      <c r="AH863" s="0"/>
      <c r="AI863" s="0"/>
      <c r="AJ863" s="0"/>
      <c r="AK863" s="0"/>
      <c r="AL863" s="0"/>
      <c r="AM863" s="0"/>
      <c r="AN863" s="0"/>
      <c r="AO863" s="0"/>
      <c r="AP863" s="0"/>
      <c r="AQ863" s="0"/>
      <c r="AR863" s="0"/>
      <c r="AS863" s="0"/>
      <c r="AT863" s="0"/>
      <c r="AU863" s="0"/>
      <c r="AV863" s="0"/>
      <c r="AW863" s="0"/>
      <c r="AX863" s="0"/>
      <c r="AY863" s="0"/>
      <c r="AZ863" s="0"/>
      <c r="BA863" s="0"/>
      <c r="BB863" s="0"/>
      <c r="BC863" s="0"/>
      <c r="BD863" s="0"/>
      <c r="BE863" s="0"/>
      <c r="BF863" s="0"/>
      <c r="BG863" s="0"/>
      <c r="BH863" s="0"/>
      <c r="BI863" s="0"/>
      <c r="BJ863" s="0"/>
      <c r="BK863" s="0"/>
      <c r="BL863" s="0"/>
      <c r="BM863" s="0"/>
      <c r="BN863" s="0"/>
      <c r="BO863" s="0"/>
      <c r="BP863" s="0"/>
      <c r="BQ863" s="0"/>
      <c r="BR863" s="0"/>
      <c r="BS863" s="0"/>
      <c r="BT863" s="0"/>
      <c r="BU863" s="0"/>
      <c r="BV863" s="0"/>
      <c r="BW863" s="0"/>
      <c r="BX863" s="0"/>
      <c r="BY863" s="0"/>
      <c r="BZ863" s="0"/>
      <c r="CA863" s="0"/>
      <c r="CB863" s="0"/>
      <c r="CC863" s="0"/>
      <c r="CD863" s="0"/>
      <c r="CE863" s="0"/>
      <c r="CF863" s="0"/>
      <c r="CG863" s="0"/>
      <c r="CH863" s="0"/>
      <c r="CI863" s="0"/>
      <c r="CJ863" s="0"/>
      <c r="CK863" s="0"/>
      <c r="CL863" s="0"/>
      <c r="CM863" s="0"/>
      <c r="CN863" s="0"/>
      <c r="CO863" s="0"/>
      <c r="CP863" s="0"/>
      <c r="CQ863" s="0"/>
      <c r="CR863" s="0"/>
      <c r="CS863" s="0"/>
      <c r="CT863" s="0"/>
      <c r="CU863" s="0"/>
      <c r="CV863" s="0"/>
      <c r="CW863" s="0"/>
      <c r="CX863" s="0"/>
      <c r="CY863" s="0"/>
      <c r="CZ863" s="0"/>
      <c r="DA863" s="0"/>
      <c r="DB863" s="0"/>
      <c r="DC863" s="0"/>
      <c r="DD863" s="0"/>
      <c r="DE863" s="0"/>
      <c r="DF863" s="0"/>
      <c r="DG863" s="0"/>
      <c r="DH863" s="0"/>
      <c r="DI863" s="0"/>
      <c r="DJ863" s="0"/>
      <c r="DK863" s="0"/>
      <c r="DL863" s="0"/>
      <c r="DM863" s="0"/>
      <c r="DN863" s="0"/>
      <c r="DO863" s="0"/>
      <c r="DP863" s="0"/>
      <c r="DQ863" s="0"/>
      <c r="DR863" s="0"/>
      <c r="DS863" s="0"/>
      <c r="DT863" s="0"/>
      <c r="DU863" s="0"/>
      <c r="DV863" s="0"/>
      <c r="DW863" s="0"/>
      <c r="DX863" s="0"/>
      <c r="DY863" s="0"/>
      <c r="DZ863" s="0"/>
      <c r="EA863" s="0"/>
      <c r="EB863" s="0"/>
      <c r="EC863" s="0"/>
      <c r="ED863" s="0"/>
      <c r="EE863" s="0"/>
      <c r="EF863" s="0"/>
      <c r="EG863" s="0"/>
      <c r="EH863" s="0"/>
      <c r="EI863" s="0"/>
      <c r="EJ863" s="0"/>
      <c r="EK863" s="0"/>
      <c r="EL863" s="0"/>
      <c r="EM863" s="0"/>
      <c r="EN863" s="0"/>
      <c r="EO863" s="0"/>
      <c r="EP863" s="0"/>
      <c r="EQ863" s="0"/>
      <c r="ER863" s="0"/>
      <c r="ES863" s="0"/>
      <c r="ET863" s="0"/>
      <c r="EU863" s="0"/>
      <c r="EV863" s="0"/>
      <c r="EW863" s="0"/>
      <c r="EX863" s="0"/>
      <c r="EY863" s="0"/>
      <c r="EZ863" s="0"/>
      <c r="FA863" s="0"/>
      <c r="FB863" s="0"/>
      <c r="FC863" s="0"/>
      <c r="FD863" s="0"/>
      <c r="FE863" s="0"/>
      <c r="FF863" s="0"/>
      <c r="FG863" s="0"/>
      <c r="FH863" s="0"/>
      <c r="FI863" s="0"/>
      <c r="FJ863" s="0"/>
      <c r="FK863" s="0"/>
      <c r="FL863" s="0"/>
      <c r="FM863" s="0"/>
      <c r="FN863" s="0"/>
      <c r="FO863" s="0"/>
      <c r="FP863" s="0"/>
      <c r="FQ863" s="0"/>
      <c r="FR863" s="0"/>
      <c r="FS863" s="0"/>
      <c r="FT863" s="0"/>
      <c r="FU863" s="0"/>
      <c r="FV863" s="0"/>
      <c r="FW863" s="0"/>
      <c r="FX863" s="0"/>
      <c r="FY863" s="0"/>
      <c r="FZ863" s="0"/>
      <c r="GA863" s="0"/>
      <c r="GB863" s="0"/>
      <c r="GC863" s="0"/>
      <c r="GD863" s="0"/>
      <c r="GE863" s="0"/>
      <c r="GF863" s="0"/>
      <c r="GG863" s="0"/>
      <c r="GH863" s="0"/>
      <c r="GI863" s="0"/>
      <c r="GJ863" s="0"/>
      <c r="GK863" s="0"/>
      <c r="GL863" s="0"/>
      <c r="GM863" s="0"/>
      <c r="GN863" s="0"/>
      <c r="GO863" s="0"/>
      <c r="GP863" s="0"/>
      <c r="GQ863" s="0"/>
      <c r="GR863" s="0"/>
      <c r="GS863" s="0"/>
      <c r="GT863" s="0"/>
      <c r="GU863" s="0"/>
      <c r="GV863" s="0"/>
      <c r="GW863" s="0"/>
      <c r="GX863" s="0"/>
      <c r="GY863" s="0"/>
      <c r="GZ863" s="0"/>
      <c r="HA863" s="0"/>
      <c r="HB863" s="0"/>
      <c r="HC863" s="0"/>
      <c r="HD863" s="0"/>
      <c r="HE863" s="0"/>
      <c r="HF863" s="0"/>
      <c r="HG863" s="0"/>
      <c r="HH863" s="0"/>
      <c r="HI863" s="0"/>
      <c r="HJ863" s="0"/>
      <c r="HK863" s="0"/>
      <c r="HL863" s="0"/>
      <c r="HM863" s="0"/>
      <c r="HN863" s="0"/>
      <c r="HO863" s="0"/>
      <c r="HP863" s="0"/>
      <c r="HQ863" s="0"/>
      <c r="HR863" s="0"/>
      <c r="HS863" s="0"/>
      <c r="HT863" s="0"/>
      <c r="HU863" s="0"/>
      <c r="HV863" s="0"/>
      <c r="HW863" s="0"/>
      <c r="HX863" s="0"/>
      <c r="HY863" s="0"/>
      <c r="HZ863" s="0"/>
      <c r="IA863" s="0"/>
      <c r="IB863" s="0"/>
      <c r="IC863" s="0"/>
      <c r="ID863" s="0"/>
      <c r="IE863" s="0"/>
      <c r="IF863" s="0"/>
      <c r="IG863" s="0"/>
      <c r="IH863" s="0"/>
      <c r="II863" s="0"/>
      <c r="IJ863" s="0"/>
      <c r="IK863" s="0"/>
      <c r="IL863" s="0"/>
      <c r="IM863" s="0"/>
      <c r="IN863" s="0"/>
      <c r="IO863" s="0"/>
      <c r="IP863" s="0"/>
      <c r="IQ863" s="0"/>
      <c r="IR863" s="0"/>
      <c r="IS863" s="0"/>
      <c r="IT863" s="0"/>
      <c r="IU863" s="0"/>
      <c r="IV863" s="0"/>
    </row>
    <row r="864" customFormat="false" ht="20.1" hidden="false" customHeight="true" outlineLevel="0" collapsed="false">
      <c r="A864" s="869" t="s">
        <v>1605</v>
      </c>
      <c r="B864" s="869"/>
      <c r="C864" s="869"/>
      <c r="D864" s="869"/>
      <c r="E864" s="869"/>
      <c r="F864" s="869"/>
      <c r="G864" s="869"/>
      <c r="H864" s="53"/>
      <c r="I864" s="53"/>
      <c r="J864" s="53"/>
      <c r="K864" s="870"/>
      <c r="L864" s="871" t="s">
        <v>1348</v>
      </c>
      <c r="M864" s="0"/>
      <c r="N864" s="0"/>
      <c r="O864" s="0"/>
      <c r="P864" s="0"/>
      <c r="Q864" s="0"/>
      <c r="R864" s="0"/>
      <c r="S864" s="0"/>
      <c r="T864" s="0"/>
      <c r="U864" s="0"/>
      <c r="V864" s="0"/>
      <c r="W864" s="0"/>
      <c r="X864" s="0"/>
      <c r="Y864" s="0"/>
      <c r="Z864" s="0"/>
      <c r="AA864" s="0"/>
      <c r="AB864" s="0"/>
      <c r="AC864" s="0"/>
      <c r="AD864" s="0"/>
      <c r="AE864" s="0"/>
      <c r="AF864" s="0"/>
      <c r="AG864" s="0"/>
      <c r="AH864" s="0"/>
      <c r="AI864" s="0"/>
      <c r="AJ864" s="0"/>
      <c r="AK864" s="0"/>
      <c r="AL864" s="0"/>
      <c r="AM864" s="0"/>
      <c r="AN864" s="0"/>
      <c r="AO864" s="0"/>
      <c r="AP864" s="0"/>
      <c r="AQ864" s="0"/>
      <c r="AR864" s="0"/>
      <c r="AS864" s="0"/>
      <c r="AT864" s="0"/>
      <c r="AU864" s="0"/>
      <c r="AV864" s="0"/>
      <c r="AW864" s="0"/>
      <c r="AX864" s="0"/>
      <c r="AY864" s="0"/>
      <c r="AZ864" s="0"/>
      <c r="BA864" s="0"/>
      <c r="BB864" s="0"/>
      <c r="BC864" s="0"/>
      <c r="BD864" s="0"/>
      <c r="BE864" s="0"/>
      <c r="BF864" s="0"/>
      <c r="BG864" s="0"/>
      <c r="BH864" s="0"/>
      <c r="BI864" s="0"/>
      <c r="BJ864" s="0"/>
      <c r="BK864" s="0"/>
      <c r="BL864" s="0"/>
      <c r="BM864" s="0"/>
      <c r="BN864" s="0"/>
      <c r="BO864" s="0"/>
      <c r="BP864" s="0"/>
      <c r="BQ864" s="0"/>
      <c r="BR864" s="0"/>
      <c r="BS864" s="0"/>
      <c r="BT864" s="0"/>
      <c r="BU864" s="0"/>
      <c r="BV864" s="0"/>
      <c r="BW864" s="0"/>
      <c r="BX864" s="0"/>
      <c r="BY864" s="0"/>
      <c r="BZ864" s="0"/>
      <c r="CA864" s="0"/>
      <c r="CB864" s="0"/>
      <c r="CC864" s="0"/>
      <c r="CD864" s="0"/>
      <c r="CE864" s="0"/>
      <c r="CF864" s="0"/>
      <c r="CG864" s="0"/>
      <c r="CH864" s="0"/>
      <c r="CI864" s="0"/>
      <c r="CJ864" s="0"/>
      <c r="CK864" s="0"/>
      <c r="CL864" s="0"/>
      <c r="CM864" s="0"/>
      <c r="CN864" s="0"/>
      <c r="CO864" s="0"/>
      <c r="CP864" s="0"/>
      <c r="CQ864" s="0"/>
      <c r="CR864" s="0"/>
      <c r="CS864" s="0"/>
      <c r="CT864" s="0"/>
      <c r="CU864" s="0"/>
      <c r="CV864" s="0"/>
      <c r="CW864" s="0"/>
      <c r="CX864" s="0"/>
      <c r="CY864" s="0"/>
      <c r="CZ864" s="0"/>
      <c r="DA864" s="0"/>
      <c r="DB864" s="0"/>
      <c r="DC864" s="0"/>
      <c r="DD864" s="0"/>
      <c r="DE864" s="0"/>
      <c r="DF864" s="0"/>
      <c r="DG864" s="0"/>
      <c r="DH864" s="0"/>
      <c r="DI864" s="0"/>
      <c r="DJ864" s="0"/>
      <c r="DK864" s="0"/>
      <c r="DL864" s="0"/>
      <c r="DM864" s="0"/>
      <c r="DN864" s="0"/>
      <c r="DO864" s="0"/>
      <c r="DP864" s="0"/>
      <c r="DQ864" s="0"/>
      <c r="DR864" s="0"/>
      <c r="DS864" s="0"/>
      <c r="DT864" s="0"/>
      <c r="DU864" s="0"/>
      <c r="DV864" s="0"/>
      <c r="DW864" s="0"/>
      <c r="DX864" s="0"/>
      <c r="DY864" s="0"/>
      <c r="DZ864" s="0"/>
      <c r="EA864" s="0"/>
      <c r="EB864" s="0"/>
      <c r="EC864" s="0"/>
      <c r="ED864" s="0"/>
      <c r="EE864" s="0"/>
      <c r="EF864" s="0"/>
      <c r="EG864" s="0"/>
      <c r="EH864" s="0"/>
      <c r="EI864" s="0"/>
      <c r="EJ864" s="0"/>
      <c r="EK864" s="0"/>
      <c r="EL864" s="0"/>
      <c r="EM864" s="0"/>
      <c r="EN864" s="0"/>
      <c r="EO864" s="0"/>
      <c r="EP864" s="0"/>
      <c r="EQ864" s="0"/>
      <c r="ER864" s="0"/>
      <c r="ES864" s="0"/>
      <c r="ET864" s="0"/>
      <c r="EU864" s="0"/>
      <c r="EV864" s="0"/>
      <c r="EW864" s="0"/>
      <c r="EX864" s="0"/>
      <c r="EY864" s="0"/>
      <c r="EZ864" s="0"/>
      <c r="FA864" s="0"/>
      <c r="FB864" s="0"/>
      <c r="FC864" s="0"/>
      <c r="FD864" s="0"/>
      <c r="FE864" s="0"/>
      <c r="FF864" s="0"/>
      <c r="FG864" s="0"/>
      <c r="FH864" s="0"/>
      <c r="FI864" s="0"/>
      <c r="FJ864" s="0"/>
      <c r="FK864" s="0"/>
      <c r="FL864" s="0"/>
      <c r="FM864" s="0"/>
      <c r="FN864" s="0"/>
      <c r="FO864" s="0"/>
      <c r="FP864" s="0"/>
      <c r="FQ864" s="0"/>
      <c r="FR864" s="0"/>
      <c r="FS864" s="0"/>
      <c r="FT864" s="0"/>
      <c r="FU864" s="0"/>
      <c r="FV864" s="0"/>
      <c r="FW864" s="0"/>
      <c r="FX864" s="0"/>
      <c r="FY864" s="0"/>
      <c r="FZ864" s="0"/>
      <c r="GA864" s="0"/>
      <c r="GB864" s="0"/>
      <c r="GC864" s="0"/>
      <c r="GD864" s="0"/>
      <c r="GE864" s="0"/>
      <c r="GF864" s="0"/>
      <c r="GG864" s="0"/>
      <c r="GH864" s="0"/>
      <c r="GI864" s="0"/>
      <c r="GJ864" s="0"/>
      <c r="GK864" s="0"/>
      <c r="GL864" s="0"/>
      <c r="GM864" s="0"/>
      <c r="GN864" s="0"/>
      <c r="GO864" s="0"/>
      <c r="GP864" s="0"/>
      <c r="GQ864" s="0"/>
      <c r="GR864" s="0"/>
      <c r="GS864" s="0"/>
      <c r="GT864" s="0"/>
      <c r="GU864" s="0"/>
      <c r="GV864" s="0"/>
      <c r="GW864" s="0"/>
      <c r="GX864" s="0"/>
      <c r="GY864" s="0"/>
      <c r="GZ864" s="0"/>
      <c r="HA864" s="0"/>
      <c r="HB864" s="0"/>
      <c r="HC864" s="0"/>
      <c r="HD864" s="0"/>
      <c r="HE864" s="0"/>
      <c r="HF864" s="0"/>
      <c r="HG864" s="0"/>
      <c r="HH864" s="0"/>
      <c r="HI864" s="0"/>
      <c r="HJ864" s="0"/>
      <c r="HK864" s="0"/>
      <c r="HL864" s="0"/>
      <c r="HM864" s="0"/>
      <c r="HN864" s="0"/>
      <c r="HO864" s="0"/>
      <c r="HP864" s="0"/>
      <c r="HQ864" s="0"/>
      <c r="HR864" s="0"/>
      <c r="HS864" s="0"/>
      <c r="HT864" s="0"/>
      <c r="HU864" s="0"/>
      <c r="HV864" s="0"/>
      <c r="HW864" s="0"/>
      <c r="HX864" s="0"/>
      <c r="HY864" s="0"/>
      <c r="HZ864" s="0"/>
      <c r="IA864" s="0"/>
      <c r="IB864" s="0"/>
      <c r="IC864" s="0"/>
      <c r="ID864" s="0"/>
      <c r="IE864" s="0"/>
      <c r="IF864" s="0"/>
      <c r="IG864" s="0"/>
      <c r="IH864" s="0"/>
      <c r="II864" s="0"/>
      <c r="IJ864" s="0"/>
      <c r="IK864" s="0"/>
      <c r="IL864" s="0"/>
      <c r="IM864" s="0"/>
      <c r="IN864" s="0"/>
      <c r="IO864" s="0"/>
      <c r="IP864" s="0"/>
      <c r="IQ864" s="0"/>
      <c r="IR864" s="0"/>
      <c r="IS864" s="0"/>
      <c r="IT864" s="0"/>
      <c r="IU864" s="0"/>
      <c r="IV864" s="0"/>
    </row>
    <row r="865" customFormat="false" ht="20.1" hidden="false" customHeight="true" outlineLevel="0" collapsed="false">
      <c r="A865" s="0"/>
      <c r="B865" s="413"/>
      <c r="C865" s="0"/>
      <c r="D865" s="0"/>
      <c r="E865" s="414"/>
      <c r="F865" s="414"/>
      <c r="G865" s="414"/>
      <c r="H865" s="414"/>
      <c r="I865" s="414"/>
      <c r="J865" s="1253"/>
      <c r="K865" s="903"/>
      <c r="L865" s="877"/>
      <c r="M865" s="0"/>
      <c r="N865" s="0"/>
      <c r="O865" s="0"/>
      <c r="P865" s="0"/>
      <c r="Q865" s="0"/>
      <c r="R865" s="0"/>
      <c r="S865" s="0"/>
      <c r="T865" s="0"/>
      <c r="U865" s="0"/>
      <c r="V865" s="0"/>
      <c r="W865" s="0"/>
      <c r="X865" s="0"/>
      <c r="Y865" s="0"/>
      <c r="Z865" s="0"/>
      <c r="AA865" s="0"/>
      <c r="AB865" s="0"/>
      <c r="AC865" s="0"/>
      <c r="AD865" s="0"/>
      <c r="AE865" s="0"/>
      <c r="AF865" s="0"/>
      <c r="AG865" s="0"/>
      <c r="AH865" s="0"/>
      <c r="AI865" s="0"/>
      <c r="AJ865" s="0"/>
      <c r="AK865" s="0"/>
      <c r="AL865" s="0"/>
      <c r="AM865" s="0"/>
      <c r="AN865" s="0"/>
      <c r="AO865" s="0"/>
      <c r="AP865" s="0"/>
      <c r="AQ865" s="0"/>
      <c r="AR865" s="0"/>
      <c r="AS865" s="0"/>
      <c r="AT865" s="0"/>
      <c r="AU865" s="0"/>
      <c r="AV865" s="0"/>
      <c r="AW865" s="0"/>
      <c r="AX865" s="0"/>
      <c r="AY865" s="0"/>
      <c r="AZ865" s="0"/>
      <c r="BA865" s="0"/>
      <c r="BB865" s="0"/>
      <c r="BC865" s="0"/>
      <c r="BD865" s="0"/>
      <c r="BE865" s="0"/>
      <c r="BF865" s="0"/>
      <c r="BG865" s="0"/>
      <c r="BH865" s="0"/>
      <c r="BI865" s="0"/>
      <c r="BJ865" s="0"/>
      <c r="BK865" s="0"/>
      <c r="BL865" s="0"/>
      <c r="BM865" s="0"/>
      <c r="BN865" s="0"/>
      <c r="BO865" s="0"/>
      <c r="BP865" s="0"/>
      <c r="BQ865" s="0"/>
      <c r="BR865" s="0"/>
      <c r="BS865" s="0"/>
      <c r="BT865" s="0"/>
      <c r="BU865" s="0"/>
      <c r="BV865" s="0"/>
      <c r="BW865" s="0"/>
      <c r="BX865" s="0"/>
      <c r="BY865" s="0"/>
      <c r="BZ865" s="0"/>
      <c r="CA865" s="0"/>
      <c r="CB865" s="0"/>
      <c r="CC865" s="0"/>
      <c r="CD865" s="0"/>
      <c r="CE865" s="0"/>
      <c r="CF865" s="0"/>
      <c r="CG865" s="0"/>
      <c r="CH865" s="0"/>
      <c r="CI865" s="0"/>
      <c r="CJ865" s="0"/>
      <c r="CK865" s="0"/>
      <c r="CL865" s="0"/>
      <c r="CM865" s="0"/>
      <c r="CN865" s="0"/>
      <c r="CO865" s="0"/>
      <c r="CP865" s="0"/>
      <c r="CQ865" s="0"/>
      <c r="CR865" s="0"/>
      <c r="CS865" s="0"/>
      <c r="CT865" s="0"/>
      <c r="CU865" s="0"/>
      <c r="CV865" s="0"/>
      <c r="CW865" s="0"/>
      <c r="CX865" s="0"/>
      <c r="CY865" s="0"/>
      <c r="CZ865" s="0"/>
      <c r="DA865" s="0"/>
      <c r="DB865" s="0"/>
      <c r="DC865" s="0"/>
      <c r="DD865" s="0"/>
      <c r="DE865" s="0"/>
      <c r="DF865" s="0"/>
      <c r="DG865" s="0"/>
      <c r="DH865" s="0"/>
      <c r="DI865" s="0"/>
      <c r="DJ865" s="0"/>
      <c r="DK865" s="0"/>
      <c r="DL865" s="0"/>
      <c r="DM865" s="0"/>
      <c r="DN865" s="0"/>
      <c r="DO865" s="0"/>
      <c r="DP865" s="0"/>
      <c r="DQ865" s="0"/>
      <c r="DR865" s="0"/>
      <c r="DS865" s="0"/>
      <c r="DT865" s="0"/>
      <c r="DU865" s="0"/>
      <c r="DV865" s="0"/>
      <c r="DW865" s="0"/>
      <c r="DX865" s="0"/>
      <c r="DY865" s="0"/>
      <c r="DZ865" s="0"/>
      <c r="EA865" s="0"/>
      <c r="EB865" s="0"/>
      <c r="EC865" s="0"/>
      <c r="ED865" s="0"/>
      <c r="EE865" s="0"/>
      <c r="EF865" s="0"/>
      <c r="EG865" s="0"/>
      <c r="EH865" s="0"/>
      <c r="EI865" s="0"/>
      <c r="EJ865" s="0"/>
      <c r="EK865" s="0"/>
      <c r="EL865" s="0"/>
      <c r="EM865" s="0"/>
      <c r="EN865" s="0"/>
      <c r="EO865" s="0"/>
      <c r="EP865" s="0"/>
      <c r="EQ865" s="0"/>
      <c r="ER865" s="0"/>
      <c r="ES865" s="0"/>
      <c r="ET865" s="0"/>
      <c r="EU865" s="0"/>
      <c r="EV865" s="0"/>
      <c r="EW865" s="0"/>
      <c r="EX865" s="0"/>
      <c r="EY865" s="0"/>
      <c r="EZ865" s="0"/>
      <c r="FA865" s="0"/>
      <c r="FB865" s="0"/>
      <c r="FC865" s="0"/>
      <c r="FD865" s="0"/>
      <c r="FE865" s="0"/>
      <c r="FF865" s="0"/>
      <c r="FG865" s="0"/>
      <c r="FH865" s="0"/>
      <c r="FI865" s="0"/>
      <c r="FJ865" s="0"/>
      <c r="FK865" s="0"/>
      <c r="FL865" s="0"/>
      <c r="FM865" s="0"/>
      <c r="FN865" s="0"/>
      <c r="FO865" s="0"/>
      <c r="FP865" s="0"/>
      <c r="FQ865" s="0"/>
      <c r="FR865" s="0"/>
      <c r="FS865" s="0"/>
      <c r="FT865" s="0"/>
      <c r="FU865" s="0"/>
      <c r="FV865" s="0"/>
      <c r="FW865" s="0"/>
      <c r="FX865" s="0"/>
      <c r="FY865" s="0"/>
      <c r="FZ865" s="0"/>
      <c r="GA865" s="0"/>
      <c r="GB865" s="0"/>
      <c r="GC865" s="0"/>
      <c r="GD865" s="0"/>
      <c r="GE865" s="0"/>
      <c r="GF865" s="0"/>
      <c r="GG865" s="0"/>
      <c r="GH865" s="0"/>
      <c r="GI865" s="0"/>
      <c r="GJ865" s="0"/>
      <c r="GK865" s="0"/>
      <c r="GL865" s="0"/>
      <c r="GM865" s="0"/>
      <c r="GN865" s="0"/>
      <c r="GO865" s="0"/>
      <c r="GP865" s="0"/>
      <c r="GQ865" s="0"/>
      <c r="GR865" s="0"/>
      <c r="GS865" s="0"/>
      <c r="GT865" s="0"/>
      <c r="GU865" s="0"/>
      <c r="GV865" s="0"/>
      <c r="GW865" s="0"/>
      <c r="GX865" s="0"/>
      <c r="GY865" s="0"/>
      <c r="GZ865" s="0"/>
      <c r="HA865" s="0"/>
      <c r="HB865" s="0"/>
      <c r="HC865" s="0"/>
      <c r="HD865" s="0"/>
      <c r="HE865" s="0"/>
      <c r="HF865" s="0"/>
      <c r="HG865" s="0"/>
      <c r="HH865" s="0"/>
      <c r="HI865" s="0"/>
      <c r="HJ865" s="0"/>
      <c r="HK865" s="0"/>
      <c r="HL865" s="0"/>
      <c r="HM865" s="0"/>
      <c r="HN865" s="0"/>
      <c r="HO865" s="0"/>
      <c r="HP865" s="0"/>
      <c r="HQ865" s="0"/>
      <c r="HR865" s="0"/>
      <c r="HS865" s="0"/>
      <c r="HT865" s="0"/>
      <c r="HU865" s="0"/>
      <c r="HV865" s="0"/>
      <c r="HW865" s="0"/>
      <c r="HX865" s="0"/>
      <c r="HY865" s="0"/>
      <c r="HZ865" s="0"/>
      <c r="IA865" s="0"/>
      <c r="IB865" s="0"/>
      <c r="IC865" s="0"/>
      <c r="ID865" s="0"/>
      <c r="IE865" s="0"/>
      <c r="IF865" s="0"/>
      <c r="IG865" s="0"/>
      <c r="IH865" s="0"/>
      <c r="II865" s="0"/>
      <c r="IJ865" s="0"/>
      <c r="IK865" s="0"/>
      <c r="IL865" s="0"/>
      <c r="IM865" s="0"/>
      <c r="IN865" s="0"/>
      <c r="IO865" s="0"/>
      <c r="IP865" s="0"/>
      <c r="IQ865" s="0"/>
      <c r="IR865" s="0"/>
      <c r="IS865" s="0"/>
      <c r="IT865" s="0"/>
      <c r="IU865" s="0"/>
      <c r="IV865" s="0"/>
    </row>
    <row r="866" customFormat="false" ht="20.1" hidden="false" customHeight="true" outlineLevel="0" collapsed="false">
      <c r="A866" s="18" t="s">
        <v>1606</v>
      </c>
      <c r="B866" s="413"/>
      <c r="C866" s="0"/>
      <c r="D866" s="0"/>
      <c r="E866" s="414"/>
      <c r="F866" s="414"/>
      <c r="G866" s="414"/>
      <c r="H866" s="414"/>
      <c r="I866" s="414"/>
      <c r="J866" s="1253"/>
      <c r="K866" s="903"/>
      <c r="L866" s="877"/>
      <c r="M866" s="0"/>
      <c r="N866" s="0"/>
      <c r="O866" s="0"/>
      <c r="P866" s="0"/>
      <c r="Q866" s="0"/>
      <c r="R866" s="0"/>
      <c r="S866" s="0"/>
      <c r="T866" s="0"/>
      <c r="U866" s="0"/>
      <c r="V866" s="0"/>
      <c r="W866" s="0"/>
      <c r="X866" s="0"/>
      <c r="Y866" s="0"/>
      <c r="Z866" s="0"/>
      <c r="AA866" s="0"/>
      <c r="AB866" s="0"/>
      <c r="AC866" s="0"/>
      <c r="AD866" s="0"/>
      <c r="AE866" s="0"/>
      <c r="AF866" s="0"/>
      <c r="AG866" s="0"/>
      <c r="AH866" s="0"/>
      <c r="AI866" s="0"/>
      <c r="AJ866" s="0"/>
      <c r="AK866" s="0"/>
      <c r="AL866" s="0"/>
      <c r="AM866" s="0"/>
      <c r="AN866" s="0"/>
      <c r="AO866" s="0"/>
      <c r="AP866" s="0"/>
      <c r="AQ866" s="0"/>
      <c r="AR866" s="0"/>
      <c r="AS866" s="0"/>
      <c r="AT866" s="0"/>
      <c r="AU866" s="0"/>
      <c r="AV866" s="0"/>
      <c r="AW866" s="0"/>
      <c r="AX866" s="0"/>
      <c r="AY866" s="0"/>
      <c r="AZ866" s="0"/>
      <c r="BA866" s="0"/>
      <c r="BB866" s="0"/>
      <c r="BC866" s="0"/>
      <c r="BD866" s="0"/>
      <c r="BE866" s="0"/>
      <c r="BF866" s="0"/>
      <c r="BG866" s="0"/>
      <c r="BH866" s="0"/>
      <c r="BI866" s="0"/>
      <c r="BJ866" s="0"/>
      <c r="BK866" s="0"/>
      <c r="BL866" s="0"/>
      <c r="BM866" s="0"/>
      <c r="BN866" s="0"/>
      <c r="BO866" s="0"/>
      <c r="BP866" s="0"/>
      <c r="BQ866" s="0"/>
      <c r="BR866" s="0"/>
      <c r="BS866" s="0"/>
      <c r="BT866" s="0"/>
      <c r="BU866" s="0"/>
      <c r="BV866" s="0"/>
      <c r="BW866" s="0"/>
      <c r="BX866" s="0"/>
      <c r="BY866" s="0"/>
      <c r="BZ866" s="0"/>
      <c r="CA866" s="0"/>
      <c r="CB866" s="0"/>
      <c r="CC866" s="0"/>
      <c r="CD866" s="0"/>
      <c r="CE866" s="0"/>
      <c r="CF866" s="0"/>
      <c r="CG866" s="0"/>
      <c r="CH866" s="0"/>
      <c r="CI866" s="0"/>
      <c r="CJ866" s="0"/>
      <c r="CK866" s="0"/>
      <c r="CL866" s="0"/>
      <c r="CM866" s="0"/>
      <c r="CN866" s="0"/>
      <c r="CO866" s="0"/>
      <c r="CP866" s="0"/>
      <c r="CQ866" s="0"/>
      <c r="CR866" s="0"/>
      <c r="CS866" s="0"/>
      <c r="CT866" s="0"/>
      <c r="CU866" s="0"/>
      <c r="CV866" s="0"/>
      <c r="CW866" s="0"/>
      <c r="CX866" s="0"/>
      <c r="CY866" s="0"/>
      <c r="CZ866" s="0"/>
      <c r="DA866" s="0"/>
      <c r="DB866" s="0"/>
      <c r="DC866" s="0"/>
      <c r="DD866" s="0"/>
      <c r="DE866" s="0"/>
      <c r="DF866" s="0"/>
      <c r="DG866" s="0"/>
      <c r="DH866" s="0"/>
      <c r="DI866" s="0"/>
      <c r="DJ866" s="0"/>
      <c r="DK866" s="0"/>
      <c r="DL866" s="0"/>
      <c r="DM866" s="0"/>
      <c r="DN866" s="0"/>
      <c r="DO866" s="0"/>
      <c r="DP866" s="0"/>
      <c r="DQ866" s="0"/>
      <c r="DR866" s="0"/>
      <c r="DS866" s="0"/>
      <c r="DT866" s="0"/>
      <c r="DU866" s="0"/>
      <c r="DV866" s="0"/>
      <c r="DW866" s="0"/>
      <c r="DX866" s="0"/>
      <c r="DY866" s="0"/>
      <c r="DZ866" s="0"/>
      <c r="EA866" s="0"/>
      <c r="EB866" s="0"/>
      <c r="EC866" s="0"/>
      <c r="ED866" s="0"/>
      <c r="EE866" s="0"/>
      <c r="EF866" s="0"/>
      <c r="EG866" s="0"/>
      <c r="EH866" s="0"/>
      <c r="EI866" s="0"/>
      <c r="EJ866" s="0"/>
      <c r="EK866" s="0"/>
      <c r="EL866" s="0"/>
      <c r="EM866" s="0"/>
      <c r="EN866" s="0"/>
      <c r="EO866" s="0"/>
      <c r="EP866" s="0"/>
      <c r="EQ866" s="0"/>
      <c r="ER866" s="0"/>
      <c r="ES866" s="0"/>
      <c r="ET866" s="0"/>
      <c r="EU866" s="0"/>
      <c r="EV866" s="0"/>
      <c r="EW866" s="0"/>
      <c r="EX866" s="0"/>
      <c r="EY866" s="0"/>
      <c r="EZ866" s="0"/>
      <c r="FA866" s="0"/>
      <c r="FB866" s="0"/>
      <c r="FC866" s="0"/>
      <c r="FD866" s="0"/>
      <c r="FE866" s="0"/>
      <c r="FF866" s="0"/>
      <c r="FG866" s="0"/>
      <c r="FH866" s="0"/>
      <c r="FI866" s="0"/>
      <c r="FJ866" s="0"/>
      <c r="FK866" s="0"/>
      <c r="FL866" s="0"/>
      <c r="FM866" s="0"/>
      <c r="FN866" s="0"/>
      <c r="FO866" s="0"/>
      <c r="FP866" s="0"/>
      <c r="FQ866" s="0"/>
      <c r="FR866" s="0"/>
      <c r="FS866" s="0"/>
      <c r="FT866" s="0"/>
      <c r="FU866" s="0"/>
      <c r="FV866" s="0"/>
      <c r="FW866" s="0"/>
      <c r="FX866" s="0"/>
      <c r="FY866" s="0"/>
      <c r="FZ866" s="0"/>
      <c r="GA866" s="0"/>
      <c r="GB866" s="0"/>
      <c r="GC866" s="0"/>
      <c r="GD866" s="0"/>
      <c r="GE866" s="0"/>
      <c r="GF866" s="0"/>
      <c r="GG866" s="0"/>
      <c r="GH866" s="0"/>
      <c r="GI866" s="0"/>
      <c r="GJ866" s="0"/>
      <c r="GK866" s="0"/>
      <c r="GL866" s="0"/>
      <c r="GM866" s="0"/>
      <c r="GN866" s="0"/>
      <c r="GO866" s="0"/>
      <c r="GP866" s="0"/>
      <c r="GQ866" s="0"/>
      <c r="GR866" s="0"/>
      <c r="GS866" s="0"/>
      <c r="GT866" s="0"/>
      <c r="GU866" s="0"/>
      <c r="GV866" s="0"/>
      <c r="GW866" s="0"/>
      <c r="GX866" s="0"/>
      <c r="GY866" s="0"/>
      <c r="GZ866" s="0"/>
      <c r="HA866" s="0"/>
      <c r="HB866" s="0"/>
      <c r="HC866" s="0"/>
      <c r="HD866" s="0"/>
      <c r="HE866" s="0"/>
      <c r="HF866" s="0"/>
      <c r="HG866" s="0"/>
      <c r="HH866" s="0"/>
      <c r="HI866" s="0"/>
      <c r="HJ866" s="0"/>
      <c r="HK866" s="0"/>
      <c r="HL866" s="0"/>
      <c r="HM866" s="0"/>
      <c r="HN866" s="0"/>
      <c r="HO866" s="0"/>
      <c r="HP866" s="0"/>
      <c r="HQ866" s="0"/>
      <c r="HR866" s="0"/>
      <c r="HS866" s="0"/>
      <c r="HT866" s="0"/>
      <c r="HU866" s="0"/>
      <c r="HV866" s="0"/>
      <c r="HW866" s="0"/>
      <c r="HX866" s="0"/>
      <c r="HY866" s="0"/>
      <c r="HZ866" s="0"/>
      <c r="IA866" s="0"/>
      <c r="IB866" s="0"/>
      <c r="IC866" s="0"/>
      <c r="ID866" s="0"/>
      <c r="IE866" s="0"/>
      <c r="IF866" s="0"/>
      <c r="IG866" s="0"/>
      <c r="IH866" s="0"/>
      <c r="II866" s="0"/>
      <c r="IJ866" s="0"/>
      <c r="IK866" s="0"/>
      <c r="IL866" s="0"/>
      <c r="IM866" s="0"/>
      <c r="IN866" s="0"/>
      <c r="IO866" s="0"/>
      <c r="IP866" s="0"/>
      <c r="IQ866" s="0"/>
      <c r="IR866" s="0"/>
      <c r="IS866" s="0"/>
      <c r="IT866" s="0"/>
      <c r="IU866" s="0"/>
      <c r="IV866" s="0"/>
    </row>
    <row r="867" customFormat="false" ht="15.75" hidden="false" customHeight="true" outlineLevel="0" collapsed="false">
      <c r="A867" s="905" t="s">
        <v>1607</v>
      </c>
      <c r="B867" s="905"/>
      <c r="C867" s="905"/>
      <c r="D867" s="1257" t="s">
        <v>254</v>
      </c>
      <c r="E867" s="1015" t="s">
        <v>1608</v>
      </c>
      <c r="F867" s="1258"/>
      <c r="G867" s="1258"/>
      <c r="H867" s="1258"/>
      <c r="K867" s="0"/>
      <c r="L867" s="0"/>
      <c r="M867" s="0"/>
      <c r="N867" s="0"/>
      <c r="O867" s="0"/>
      <c r="P867" s="0"/>
      <c r="Q867" s="0"/>
      <c r="R867" s="0"/>
      <c r="S867" s="0"/>
      <c r="T867" s="0"/>
      <c r="U867" s="0"/>
      <c r="V867" s="0"/>
      <c r="W867" s="0"/>
      <c r="X867" s="0"/>
      <c r="Y867" s="0"/>
      <c r="Z867" s="0"/>
      <c r="AA867" s="0"/>
      <c r="AB867" s="0"/>
      <c r="AC867" s="0"/>
      <c r="AD867" s="0"/>
      <c r="AE867" s="0"/>
      <c r="AF867" s="0"/>
      <c r="AG867" s="0"/>
      <c r="AH867" s="0"/>
      <c r="AI867" s="0"/>
      <c r="AJ867" s="0"/>
      <c r="AK867" s="0"/>
      <c r="AL867" s="0"/>
      <c r="AM867" s="0"/>
      <c r="AN867" s="0"/>
      <c r="AO867" s="0"/>
      <c r="AP867" s="0"/>
      <c r="AQ867" s="0"/>
      <c r="AR867" s="0"/>
      <c r="AS867" s="0"/>
      <c r="AT867" s="0"/>
      <c r="AU867" s="0"/>
      <c r="AV867" s="0"/>
      <c r="AW867" s="0"/>
      <c r="AX867" s="0"/>
      <c r="AY867" s="0"/>
      <c r="AZ867" s="0"/>
      <c r="BA867" s="0"/>
      <c r="BB867" s="0"/>
      <c r="BC867" s="0"/>
      <c r="BD867" s="0"/>
      <c r="BE867" s="0"/>
      <c r="BF867" s="0"/>
      <c r="BG867" s="0"/>
      <c r="BH867" s="0"/>
      <c r="BI867" s="0"/>
      <c r="BJ867" s="0"/>
      <c r="BK867" s="0"/>
      <c r="BL867" s="0"/>
      <c r="BM867" s="0"/>
      <c r="BN867" s="0"/>
      <c r="BO867" s="0"/>
      <c r="BP867" s="0"/>
      <c r="BQ867" s="0"/>
      <c r="BR867" s="0"/>
      <c r="BS867" s="0"/>
      <c r="BT867" s="0"/>
      <c r="BU867" s="0"/>
      <c r="BV867" s="0"/>
      <c r="BW867" s="0"/>
      <c r="BX867" s="0"/>
      <c r="BY867" s="0"/>
      <c r="BZ867" s="0"/>
      <c r="CA867" s="0"/>
      <c r="CB867" s="0"/>
      <c r="CC867" s="0"/>
      <c r="CD867" s="0"/>
      <c r="CE867" s="0"/>
      <c r="CF867" s="0"/>
      <c r="CG867" s="0"/>
      <c r="CH867" s="0"/>
      <c r="CI867" s="0"/>
      <c r="CJ867" s="0"/>
      <c r="CK867" s="0"/>
      <c r="CL867" s="0"/>
      <c r="CM867" s="0"/>
      <c r="CN867" s="0"/>
      <c r="CO867" s="0"/>
      <c r="CP867" s="0"/>
      <c r="CQ867" s="0"/>
      <c r="CR867" s="0"/>
      <c r="CS867" s="0"/>
      <c r="CT867" s="0"/>
      <c r="CU867" s="0"/>
      <c r="CV867" s="0"/>
      <c r="CW867" s="0"/>
      <c r="CX867" s="0"/>
      <c r="CY867" s="0"/>
      <c r="CZ867" s="0"/>
      <c r="DA867" s="0"/>
      <c r="DB867" s="0"/>
      <c r="DC867" s="0"/>
      <c r="DD867" s="0"/>
      <c r="DE867" s="0"/>
      <c r="DF867" s="0"/>
      <c r="DG867" s="0"/>
      <c r="DH867" s="0"/>
      <c r="DI867" s="0"/>
      <c r="DJ867" s="0"/>
      <c r="DK867" s="0"/>
      <c r="DL867" s="0"/>
      <c r="DM867" s="0"/>
      <c r="DN867" s="0"/>
      <c r="DO867" s="0"/>
      <c r="DP867" s="0"/>
      <c r="DQ867" s="0"/>
      <c r="DR867" s="0"/>
      <c r="DS867" s="0"/>
      <c r="DT867" s="0"/>
      <c r="DU867" s="0"/>
      <c r="DV867" s="0"/>
      <c r="DW867" s="0"/>
      <c r="DX867" s="0"/>
      <c r="DY867" s="0"/>
      <c r="DZ867" s="0"/>
      <c r="EA867" s="0"/>
      <c r="EB867" s="0"/>
      <c r="EC867" s="0"/>
      <c r="ED867" s="0"/>
      <c r="EE867" s="0"/>
      <c r="EF867" s="0"/>
      <c r="EG867" s="0"/>
      <c r="EH867" s="0"/>
      <c r="EI867" s="0"/>
      <c r="EJ867" s="0"/>
      <c r="EK867" s="0"/>
      <c r="EL867" s="0"/>
      <c r="EM867" s="0"/>
      <c r="EN867" s="0"/>
      <c r="EO867" s="0"/>
      <c r="EP867" s="0"/>
      <c r="EQ867" s="0"/>
      <c r="ER867" s="0"/>
      <c r="ES867" s="0"/>
      <c r="ET867" s="0"/>
      <c r="EU867" s="0"/>
      <c r="EV867" s="0"/>
      <c r="EW867" s="0"/>
      <c r="EX867" s="0"/>
      <c r="EY867" s="0"/>
      <c r="EZ867" s="0"/>
      <c r="FA867" s="0"/>
      <c r="FB867" s="0"/>
      <c r="FC867" s="0"/>
      <c r="FD867" s="0"/>
      <c r="FE867" s="0"/>
      <c r="FF867" s="0"/>
      <c r="FG867" s="0"/>
      <c r="FH867" s="0"/>
      <c r="FI867" s="0"/>
      <c r="FJ867" s="0"/>
      <c r="FK867" s="0"/>
      <c r="FL867" s="0"/>
      <c r="FM867" s="0"/>
      <c r="FN867" s="0"/>
      <c r="FO867" s="0"/>
      <c r="FP867" s="0"/>
      <c r="FQ867" s="0"/>
      <c r="FR867" s="0"/>
      <c r="FS867" s="0"/>
      <c r="FT867" s="0"/>
      <c r="FU867" s="0"/>
      <c r="FV867" s="0"/>
      <c r="FW867" s="0"/>
      <c r="FX867" s="0"/>
      <c r="FY867" s="0"/>
      <c r="FZ867" s="0"/>
      <c r="GA867" s="0"/>
      <c r="GB867" s="0"/>
      <c r="GC867" s="0"/>
      <c r="GD867" s="0"/>
      <c r="GE867" s="0"/>
      <c r="GF867" s="0"/>
      <c r="GG867" s="0"/>
      <c r="GH867" s="0"/>
      <c r="GI867" s="0"/>
      <c r="GJ867" s="0"/>
      <c r="GK867" s="0"/>
      <c r="GL867" s="0"/>
      <c r="GM867" s="0"/>
      <c r="GN867" s="0"/>
      <c r="GO867" s="0"/>
      <c r="GP867" s="0"/>
      <c r="GQ867" s="0"/>
      <c r="GR867" s="0"/>
      <c r="GS867" s="0"/>
      <c r="GT867" s="0"/>
      <c r="GU867" s="0"/>
      <c r="GV867" s="0"/>
      <c r="GW867" s="0"/>
      <c r="GX867" s="0"/>
      <c r="GY867" s="0"/>
      <c r="GZ867" s="0"/>
      <c r="HA867" s="0"/>
      <c r="HB867" s="0"/>
      <c r="HC867" s="0"/>
      <c r="HD867" s="0"/>
      <c r="HE867" s="0"/>
      <c r="HF867" s="0"/>
      <c r="HG867" s="0"/>
      <c r="HH867" s="0"/>
      <c r="HI867" s="0"/>
      <c r="HJ867" s="0"/>
      <c r="HK867" s="0"/>
      <c r="HL867" s="0"/>
      <c r="HM867" s="0"/>
      <c r="HN867" s="0"/>
      <c r="HO867" s="0"/>
      <c r="HP867" s="0"/>
      <c r="HQ867" s="0"/>
      <c r="HR867" s="0"/>
      <c r="HS867" s="0"/>
      <c r="HT867" s="0"/>
      <c r="HU867" s="0"/>
      <c r="HV867" s="0"/>
      <c r="HW867" s="0"/>
      <c r="HX867" s="0"/>
      <c r="HY867" s="0"/>
      <c r="HZ867" s="0"/>
      <c r="IA867" s="0"/>
      <c r="IB867" s="0"/>
      <c r="IC867" s="0"/>
      <c r="ID867" s="0"/>
      <c r="IE867" s="0"/>
      <c r="IF867" s="0"/>
      <c r="IG867" s="0"/>
      <c r="IH867" s="0"/>
      <c r="II867" s="0"/>
      <c r="IJ867" s="0"/>
      <c r="IK867" s="0"/>
      <c r="IL867" s="0"/>
      <c r="IM867" s="0"/>
      <c r="IN867" s="0"/>
      <c r="IO867" s="0"/>
      <c r="IP867" s="0"/>
      <c r="IQ867" s="0"/>
      <c r="IR867" s="0"/>
      <c r="IS867" s="0"/>
      <c r="IT867" s="0"/>
      <c r="IU867" s="0"/>
      <c r="IV867" s="0"/>
    </row>
    <row r="868" customFormat="false" ht="15.75" hidden="false" customHeight="true" outlineLevel="0" collapsed="false">
      <c r="A868" s="451"/>
      <c r="B868" s="451"/>
      <c r="C868" s="905" t="s">
        <v>1609</v>
      </c>
      <c r="D868" s="1257" t="s">
        <v>254</v>
      </c>
      <c r="E868" s="1015" t="s">
        <v>1608</v>
      </c>
      <c r="F868" s="1258"/>
      <c r="G868" s="1258"/>
      <c r="H868" s="1258"/>
      <c r="K868" s="0"/>
      <c r="L868" s="0"/>
      <c r="M868" s="0"/>
      <c r="N868" s="0"/>
      <c r="O868" s="0"/>
      <c r="P868" s="0"/>
      <c r="Q868" s="0"/>
      <c r="R868" s="0"/>
      <c r="S868" s="0"/>
      <c r="T868" s="0"/>
      <c r="U868" s="0"/>
      <c r="V868" s="0"/>
      <c r="W868" s="0"/>
      <c r="X868" s="0"/>
      <c r="Y868" s="0"/>
      <c r="Z868" s="0"/>
      <c r="AA868" s="0"/>
      <c r="AB868" s="0"/>
      <c r="AC868" s="0"/>
      <c r="AD868" s="0"/>
      <c r="AE868" s="0"/>
      <c r="AF868" s="0"/>
      <c r="AG868" s="0"/>
      <c r="AH868" s="0"/>
      <c r="AI868" s="0"/>
      <c r="AJ868" s="0"/>
      <c r="AK868" s="0"/>
      <c r="AL868" s="0"/>
      <c r="AM868" s="0"/>
      <c r="AN868" s="0"/>
      <c r="AO868" s="0"/>
      <c r="AP868" s="0"/>
      <c r="AQ868" s="0"/>
      <c r="AR868" s="0"/>
      <c r="AS868" s="0"/>
      <c r="AT868" s="0"/>
      <c r="AU868" s="0"/>
      <c r="AV868" s="0"/>
      <c r="AW868" s="0"/>
      <c r="AX868" s="0"/>
      <c r="AY868" s="0"/>
      <c r="AZ868" s="0"/>
      <c r="BA868" s="0"/>
      <c r="BB868" s="0"/>
      <c r="BC868" s="0"/>
      <c r="BD868" s="0"/>
      <c r="BE868" s="0"/>
      <c r="BF868" s="0"/>
      <c r="BG868" s="0"/>
      <c r="BH868" s="0"/>
      <c r="BI868" s="0"/>
      <c r="BJ868" s="0"/>
      <c r="BK868" s="0"/>
      <c r="BL868" s="0"/>
      <c r="BM868" s="0"/>
      <c r="BN868" s="0"/>
      <c r="BO868" s="0"/>
      <c r="BP868" s="0"/>
      <c r="BQ868" s="0"/>
      <c r="BR868" s="0"/>
      <c r="BS868" s="0"/>
      <c r="BT868" s="0"/>
      <c r="BU868" s="0"/>
      <c r="BV868" s="0"/>
      <c r="BW868" s="0"/>
      <c r="BX868" s="0"/>
      <c r="BY868" s="0"/>
      <c r="BZ868" s="0"/>
      <c r="CA868" s="0"/>
      <c r="CB868" s="0"/>
      <c r="CC868" s="0"/>
      <c r="CD868" s="0"/>
      <c r="CE868" s="0"/>
      <c r="CF868" s="0"/>
      <c r="CG868" s="0"/>
      <c r="CH868" s="0"/>
      <c r="CI868" s="0"/>
      <c r="CJ868" s="0"/>
      <c r="CK868" s="0"/>
      <c r="CL868" s="0"/>
      <c r="CM868" s="0"/>
      <c r="CN868" s="0"/>
      <c r="CO868" s="0"/>
      <c r="CP868" s="0"/>
      <c r="CQ868" s="0"/>
      <c r="CR868" s="0"/>
      <c r="CS868" s="0"/>
      <c r="CT868" s="0"/>
      <c r="CU868" s="0"/>
      <c r="CV868" s="0"/>
      <c r="CW868" s="0"/>
      <c r="CX868" s="0"/>
      <c r="CY868" s="0"/>
      <c r="CZ868" s="0"/>
      <c r="DA868" s="0"/>
      <c r="DB868" s="0"/>
      <c r="DC868" s="0"/>
      <c r="DD868" s="0"/>
      <c r="DE868" s="0"/>
      <c r="DF868" s="0"/>
      <c r="DG868" s="0"/>
      <c r="DH868" s="0"/>
      <c r="DI868" s="0"/>
      <c r="DJ868" s="0"/>
      <c r="DK868" s="0"/>
      <c r="DL868" s="0"/>
      <c r="DM868" s="0"/>
      <c r="DN868" s="0"/>
      <c r="DO868" s="0"/>
      <c r="DP868" s="0"/>
      <c r="DQ868" s="0"/>
      <c r="DR868" s="0"/>
      <c r="DS868" s="0"/>
      <c r="DT868" s="0"/>
      <c r="DU868" s="0"/>
      <c r="DV868" s="0"/>
      <c r="DW868" s="0"/>
      <c r="DX868" s="0"/>
      <c r="DY868" s="0"/>
      <c r="DZ868" s="0"/>
      <c r="EA868" s="0"/>
      <c r="EB868" s="0"/>
      <c r="EC868" s="0"/>
      <c r="ED868" s="0"/>
      <c r="EE868" s="0"/>
      <c r="EF868" s="0"/>
      <c r="EG868" s="0"/>
      <c r="EH868" s="0"/>
      <c r="EI868" s="0"/>
      <c r="EJ868" s="0"/>
      <c r="EK868" s="0"/>
      <c r="EL868" s="0"/>
      <c r="EM868" s="0"/>
      <c r="EN868" s="0"/>
      <c r="EO868" s="0"/>
      <c r="EP868" s="0"/>
      <c r="EQ868" s="0"/>
      <c r="ER868" s="0"/>
      <c r="ES868" s="0"/>
      <c r="ET868" s="0"/>
      <c r="EU868" s="0"/>
      <c r="EV868" s="0"/>
      <c r="EW868" s="0"/>
      <c r="EX868" s="0"/>
      <c r="EY868" s="0"/>
      <c r="EZ868" s="0"/>
      <c r="FA868" s="0"/>
      <c r="FB868" s="0"/>
      <c r="FC868" s="0"/>
      <c r="FD868" s="0"/>
      <c r="FE868" s="0"/>
      <c r="FF868" s="0"/>
      <c r="FG868" s="0"/>
      <c r="FH868" s="0"/>
      <c r="FI868" s="0"/>
      <c r="FJ868" s="0"/>
      <c r="FK868" s="0"/>
      <c r="FL868" s="0"/>
      <c r="FM868" s="0"/>
      <c r="FN868" s="0"/>
      <c r="FO868" s="0"/>
      <c r="FP868" s="0"/>
      <c r="FQ868" s="0"/>
      <c r="FR868" s="0"/>
      <c r="FS868" s="0"/>
      <c r="FT868" s="0"/>
      <c r="FU868" s="0"/>
      <c r="FV868" s="0"/>
      <c r="FW868" s="0"/>
      <c r="FX868" s="0"/>
      <c r="FY868" s="0"/>
      <c r="FZ868" s="0"/>
      <c r="GA868" s="0"/>
      <c r="GB868" s="0"/>
      <c r="GC868" s="0"/>
      <c r="GD868" s="0"/>
      <c r="GE868" s="0"/>
      <c r="GF868" s="0"/>
      <c r="GG868" s="0"/>
      <c r="GH868" s="0"/>
      <c r="GI868" s="0"/>
      <c r="GJ868" s="0"/>
      <c r="GK868" s="0"/>
      <c r="GL868" s="0"/>
      <c r="GM868" s="0"/>
      <c r="GN868" s="0"/>
      <c r="GO868" s="0"/>
      <c r="GP868" s="0"/>
      <c r="GQ868" s="0"/>
      <c r="GR868" s="0"/>
      <c r="GS868" s="0"/>
      <c r="GT868" s="0"/>
      <c r="GU868" s="0"/>
      <c r="GV868" s="0"/>
      <c r="GW868" s="0"/>
      <c r="GX868" s="0"/>
      <c r="GY868" s="0"/>
      <c r="GZ868" s="0"/>
      <c r="HA868" s="0"/>
      <c r="HB868" s="0"/>
      <c r="HC868" s="0"/>
      <c r="HD868" s="0"/>
      <c r="HE868" s="0"/>
      <c r="HF868" s="0"/>
      <c r="HG868" s="0"/>
      <c r="HH868" s="0"/>
      <c r="HI868" s="0"/>
      <c r="HJ868" s="0"/>
      <c r="HK868" s="0"/>
      <c r="HL868" s="0"/>
      <c r="HM868" s="0"/>
      <c r="HN868" s="0"/>
      <c r="HO868" s="0"/>
      <c r="HP868" s="0"/>
      <c r="HQ868" s="0"/>
      <c r="HR868" s="0"/>
      <c r="HS868" s="0"/>
      <c r="HT868" s="0"/>
      <c r="HU868" s="0"/>
      <c r="HV868" s="0"/>
      <c r="HW868" s="0"/>
      <c r="HX868" s="0"/>
      <c r="HY868" s="0"/>
      <c r="HZ868" s="0"/>
      <c r="IA868" s="0"/>
      <c r="IB868" s="0"/>
      <c r="IC868" s="0"/>
      <c r="ID868" s="0"/>
      <c r="IE868" s="0"/>
      <c r="IF868" s="0"/>
      <c r="IG868" s="0"/>
      <c r="IH868" s="0"/>
      <c r="II868" s="0"/>
      <c r="IJ868" s="0"/>
      <c r="IK868" s="0"/>
      <c r="IL868" s="0"/>
      <c r="IM868" s="0"/>
      <c r="IN868" s="0"/>
      <c r="IO868" s="0"/>
      <c r="IP868" s="0"/>
      <c r="IQ868" s="0"/>
      <c r="IR868" s="0"/>
      <c r="IS868" s="0"/>
      <c r="IT868" s="0"/>
      <c r="IU868" s="0"/>
      <c r="IV868" s="0"/>
    </row>
    <row r="869" customFormat="false" ht="15.75" hidden="false" customHeight="true" outlineLevel="0" collapsed="false">
      <c r="A869" s="905" t="s">
        <v>1610</v>
      </c>
      <c r="B869" s="905"/>
      <c r="C869" s="905"/>
      <c r="D869" s="1257" t="s">
        <v>254</v>
      </c>
      <c r="E869" s="1015" t="s">
        <v>1608</v>
      </c>
      <c r="F869" s="1258"/>
      <c r="G869" s="1258"/>
      <c r="H869" s="1258"/>
      <c r="K869" s="903"/>
      <c r="L869" s="877"/>
    </row>
    <row r="870" customFormat="false" ht="15.75" hidden="false" customHeight="true" outlineLevel="0" collapsed="false">
      <c r="A870" s="905" t="s">
        <v>1611</v>
      </c>
      <c r="B870" s="905"/>
      <c r="C870" s="905"/>
      <c r="D870" s="1257" t="s">
        <v>254</v>
      </c>
      <c r="E870" s="1015" t="s">
        <v>1608</v>
      </c>
      <c r="F870" s="1258"/>
      <c r="G870" s="1258"/>
      <c r="H870" s="1258"/>
      <c r="K870" s="903"/>
      <c r="L870" s="877"/>
    </row>
    <row r="871" customFormat="false" ht="15.75" hidden="false" customHeight="true" outlineLevel="0" collapsed="false">
      <c r="A871" s="905" t="s">
        <v>679</v>
      </c>
      <c r="B871" s="905"/>
      <c r="C871" s="905"/>
      <c r="D871" s="1257" t="s">
        <v>254</v>
      </c>
      <c r="G871" s="14"/>
      <c r="H871" s="19"/>
      <c r="I871" s="14"/>
      <c r="J871" s="667"/>
      <c r="K871" s="903"/>
      <c r="L871" s="877"/>
      <c r="M871" s="0"/>
      <c r="T871" s="0"/>
      <c r="U871" s="0"/>
      <c r="V871" s="0"/>
      <c r="W871" s="0"/>
      <c r="X871" s="0"/>
      <c r="Y871" s="0"/>
      <c r="Z871" s="0"/>
      <c r="AA871" s="0"/>
      <c r="AB871" s="0"/>
      <c r="AC871" s="0"/>
      <c r="AD871" s="0"/>
      <c r="AE871" s="0"/>
      <c r="AF871" s="0"/>
      <c r="AG871" s="0"/>
      <c r="AH871" s="0"/>
      <c r="AI871" s="0"/>
      <c r="AJ871" s="0"/>
      <c r="AK871" s="0"/>
      <c r="AL871" s="0"/>
      <c r="AM871" s="0"/>
      <c r="AN871" s="0"/>
      <c r="AO871" s="0"/>
      <c r="AP871" s="0"/>
      <c r="AQ871" s="0"/>
      <c r="AR871" s="0"/>
      <c r="AS871" s="0"/>
      <c r="AT871" s="0"/>
      <c r="AU871" s="0"/>
      <c r="AV871" s="0"/>
      <c r="AW871" s="0"/>
      <c r="AX871" s="0"/>
      <c r="AY871" s="0"/>
      <c r="AZ871" s="0"/>
      <c r="BA871" s="0"/>
      <c r="BB871" s="0"/>
      <c r="BC871" s="0"/>
      <c r="BD871" s="0"/>
      <c r="BE871" s="0"/>
      <c r="BF871" s="0"/>
      <c r="BG871" s="0"/>
      <c r="BH871" s="0"/>
      <c r="BI871" s="0"/>
      <c r="BJ871" s="0"/>
      <c r="BK871" s="0"/>
      <c r="BL871" s="0"/>
      <c r="BM871" s="0"/>
      <c r="BN871" s="0"/>
      <c r="BO871" s="0"/>
      <c r="BP871" s="0"/>
      <c r="BQ871" s="0"/>
      <c r="BR871" s="0"/>
      <c r="BS871" s="0"/>
      <c r="BT871" s="0"/>
      <c r="BU871" s="0"/>
      <c r="BV871" s="0"/>
      <c r="BW871" s="0"/>
      <c r="BX871" s="0"/>
      <c r="BY871" s="0"/>
      <c r="BZ871" s="0"/>
      <c r="CA871" s="0"/>
      <c r="CB871" s="0"/>
      <c r="CC871" s="0"/>
      <c r="CD871" s="0"/>
      <c r="CE871" s="0"/>
      <c r="CF871" s="0"/>
      <c r="CG871" s="0"/>
      <c r="CH871" s="0"/>
      <c r="CI871" s="0"/>
      <c r="CJ871" s="0"/>
      <c r="CK871" s="0"/>
      <c r="CL871" s="0"/>
      <c r="CM871" s="0"/>
      <c r="CN871" s="0"/>
      <c r="CO871" s="0"/>
      <c r="CP871" s="0"/>
      <c r="CQ871" s="0"/>
      <c r="CR871" s="0"/>
      <c r="CS871" s="0"/>
      <c r="CT871" s="0"/>
      <c r="CU871" s="0"/>
      <c r="CV871" s="0"/>
      <c r="CW871" s="0"/>
      <c r="CX871" s="0"/>
      <c r="CY871" s="0"/>
      <c r="CZ871" s="0"/>
      <c r="DA871" s="0"/>
      <c r="DB871" s="0"/>
      <c r="DC871" s="0"/>
      <c r="DD871" s="0"/>
      <c r="DE871" s="0"/>
      <c r="DF871" s="0"/>
      <c r="DG871" s="0"/>
      <c r="DH871" s="0"/>
      <c r="DI871" s="0"/>
      <c r="DJ871" s="0"/>
      <c r="DK871" s="0"/>
      <c r="DL871" s="0"/>
      <c r="DM871" s="0"/>
      <c r="DN871" s="0"/>
      <c r="DO871" s="0"/>
      <c r="DP871" s="0"/>
      <c r="DQ871" s="0"/>
      <c r="DR871" s="0"/>
      <c r="DS871" s="0"/>
      <c r="DT871" s="0"/>
      <c r="DU871" s="0"/>
      <c r="DV871" s="0"/>
      <c r="DW871" s="0"/>
      <c r="DX871" s="0"/>
      <c r="DY871" s="0"/>
      <c r="DZ871" s="0"/>
      <c r="EA871" s="0"/>
      <c r="EB871" s="0"/>
      <c r="EC871" s="0"/>
      <c r="ED871" s="0"/>
      <c r="EE871" s="0"/>
      <c r="EF871" s="0"/>
      <c r="EG871" s="0"/>
      <c r="EH871" s="0"/>
      <c r="EI871" s="0"/>
      <c r="EJ871" s="0"/>
      <c r="EK871" s="0"/>
      <c r="EL871" s="0"/>
      <c r="EM871" s="0"/>
      <c r="EN871" s="0"/>
      <c r="EO871" s="0"/>
      <c r="EP871" s="0"/>
      <c r="EQ871" s="0"/>
      <c r="ER871" s="0"/>
      <c r="ES871" s="0"/>
      <c r="ET871" s="0"/>
      <c r="EU871" s="0"/>
      <c r="EV871" s="0"/>
      <c r="EW871" s="0"/>
      <c r="EX871" s="0"/>
      <c r="EY871" s="0"/>
      <c r="EZ871" s="0"/>
      <c r="FA871" s="0"/>
      <c r="FB871" s="0"/>
      <c r="FC871" s="0"/>
      <c r="FD871" s="0"/>
      <c r="FE871" s="0"/>
      <c r="FF871" s="0"/>
      <c r="FG871" s="0"/>
      <c r="FH871" s="0"/>
      <c r="FI871" s="0"/>
      <c r="FJ871" s="0"/>
      <c r="FK871" s="0"/>
      <c r="FL871" s="0"/>
      <c r="FM871" s="0"/>
      <c r="FN871" s="0"/>
      <c r="FO871" s="0"/>
      <c r="FP871" s="0"/>
      <c r="FQ871" s="0"/>
      <c r="FR871" s="0"/>
      <c r="FS871" s="0"/>
      <c r="FT871" s="0"/>
      <c r="FU871" s="0"/>
      <c r="FV871" s="0"/>
      <c r="FW871" s="0"/>
      <c r="FX871" s="0"/>
      <c r="FY871" s="0"/>
      <c r="FZ871" s="0"/>
      <c r="GA871" s="0"/>
      <c r="GB871" s="0"/>
      <c r="GC871" s="0"/>
      <c r="GD871" s="0"/>
      <c r="GE871" s="0"/>
      <c r="GF871" s="0"/>
      <c r="GG871" s="0"/>
      <c r="GH871" s="0"/>
      <c r="GI871" s="0"/>
      <c r="GJ871" s="0"/>
      <c r="GK871" s="0"/>
      <c r="GL871" s="0"/>
      <c r="GM871" s="0"/>
      <c r="GN871" s="0"/>
      <c r="GO871" s="0"/>
      <c r="GP871" s="0"/>
      <c r="GQ871" s="0"/>
      <c r="GR871" s="0"/>
      <c r="GS871" s="0"/>
      <c r="GT871" s="0"/>
      <c r="GU871" s="0"/>
      <c r="GV871" s="0"/>
      <c r="GW871" s="0"/>
      <c r="GX871" s="0"/>
      <c r="GY871" s="0"/>
      <c r="GZ871" s="0"/>
      <c r="HA871" s="0"/>
      <c r="HB871" s="0"/>
      <c r="HC871" s="0"/>
      <c r="HD871" s="0"/>
      <c r="HE871" s="0"/>
      <c r="HF871" s="0"/>
      <c r="HG871" s="0"/>
      <c r="HH871" s="0"/>
      <c r="HI871" s="0"/>
      <c r="HJ871" s="0"/>
      <c r="HK871" s="0"/>
      <c r="HL871" s="0"/>
      <c r="HM871" s="0"/>
      <c r="HN871" s="0"/>
      <c r="HO871" s="0"/>
      <c r="HP871" s="0"/>
      <c r="HQ871" s="0"/>
      <c r="HR871" s="0"/>
      <c r="HS871" s="0"/>
      <c r="HT871" s="0"/>
      <c r="HU871" s="0"/>
      <c r="HV871" s="0"/>
      <c r="HW871" s="0"/>
      <c r="HX871" s="0"/>
      <c r="HY871" s="0"/>
      <c r="HZ871" s="0"/>
      <c r="IA871" s="0"/>
      <c r="IB871" s="0"/>
      <c r="IC871" s="0"/>
      <c r="ID871" s="0"/>
      <c r="IE871" s="0"/>
      <c r="IF871" s="0"/>
      <c r="IG871" s="0"/>
      <c r="IH871" s="0"/>
      <c r="II871" s="0"/>
      <c r="IJ871" s="0"/>
      <c r="IK871" s="0"/>
      <c r="IL871" s="0"/>
      <c r="IM871" s="0"/>
      <c r="IN871" s="0"/>
      <c r="IO871" s="0"/>
      <c r="IP871" s="0"/>
      <c r="IQ871" s="0"/>
      <c r="IR871" s="0"/>
      <c r="IS871" s="0"/>
      <c r="IT871" s="0"/>
      <c r="IU871" s="0"/>
      <c r="IV871" s="0"/>
    </row>
    <row r="872" s="55" customFormat="true" ht="15" hidden="false" customHeight="true" outlineLevel="0" collapsed="false">
      <c r="A872" s="18"/>
      <c r="F872" s="19"/>
      <c r="G872" s="14"/>
      <c r="K872" s="903"/>
      <c r="L872" s="877"/>
    </row>
    <row r="873" s="55" customFormat="true" ht="15" hidden="false" customHeight="true" outlineLevel="0" collapsed="false">
      <c r="A873" s="18"/>
      <c r="F873" s="19"/>
      <c r="G873" s="14"/>
      <c r="K873" s="903"/>
      <c r="L873" s="877"/>
    </row>
    <row r="874" customFormat="false" ht="15.75" hidden="false" customHeight="true" outlineLevel="0" collapsed="false">
      <c r="A874" s="869" t="s">
        <v>1612</v>
      </c>
      <c r="B874" s="869"/>
      <c r="C874" s="869"/>
      <c r="D874" s="869"/>
      <c r="E874" s="869"/>
      <c r="F874" s="869"/>
      <c r="G874" s="869"/>
      <c r="H874" s="53"/>
      <c r="I874" s="53"/>
      <c r="J874" s="53"/>
      <c r="K874" s="870"/>
      <c r="L874" s="871" t="s">
        <v>1613</v>
      </c>
      <c r="M874" s="0"/>
      <c r="N874" s="0"/>
      <c r="O874" s="0"/>
      <c r="P874" s="0"/>
      <c r="Q874" s="0"/>
      <c r="R874" s="0"/>
      <c r="S874" s="0"/>
      <c r="T874" s="0"/>
      <c r="U874" s="0"/>
      <c r="V874" s="0"/>
      <c r="W874" s="0"/>
      <c r="X874" s="0"/>
      <c r="Y874" s="0"/>
      <c r="Z874" s="0"/>
      <c r="AA874" s="0"/>
      <c r="AB874" s="0"/>
      <c r="AC874" s="0"/>
      <c r="AD874" s="0"/>
      <c r="AE874" s="0"/>
      <c r="AF874" s="0"/>
      <c r="AG874" s="0"/>
      <c r="AH874" s="0"/>
      <c r="AI874" s="0"/>
      <c r="AJ874" s="0"/>
      <c r="AK874" s="0"/>
      <c r="AL874" s="0"/>
      <c r="AM874" s="0"/>
      <c r="AN874" s="0"/>
      <c r="AO874" s="0"/>
      <c r="AP874" s="0"/>
      <c r="AQ874" s="0"/>
      <c r="AR874" s="0"/>
      <c r="AS874" s="0"/>
      <c r="AT874" s="0"/>
      <c r="AU874" s="0"/>
      <c r="AV874" s="0"/>
      <c r="AW874" s="0"/>
      <c r="AX874" s="0"/>
      <c r="AY874" s="0"/>
      <c r="AZ874" s="0"/>
      <c r="BA874" s="0"/>
      <c r="BB874" s="0"/>
      <c r="BC874" s="0"/>
      <c r="BD874" s="0"/>
      <c r="BE874" s="0"/>
      <c r="BF874" s="0"/>
      <c r="BG874" s="0"/>
      <c r="BH874" s="0"/>
      <c r="BI874" s="0"/>
      <c r="BJ874" s="0"/>
      <c r="BK874" s="0"/>
      <c r="BL874" s="0"/>
      <c r="BM874" s="0"/>
      <c r="BN874" s="0"/>
      <c r="BO874" s="0"/>
      <c r="BP874" s="0"/>
      <c r="BQ874" s="0"/>
      <c r="BR874" s="0"/>
      <c r="BS874" s="0"/>
      <c r="BT874" s="0"/>
      <c r="BU874" s="0"/>
      <c r="BV874" s="0"/>
      <c r="BW874" s="0"/>
      <c r="BX874" s="0"/>
      <c r="BY874" s="0"/>
      <c r="BZ874" s="0"/>
      <c r="CA874" s="0"/>
      <c r="CB874" s="0"/>
      <c r="CC874" s="0"/>
      <c r="CD874" s="0"/>
      <c r="CE874" s="0"/>
      <c r="CF874" s="0"/>
      <c r="CG874" s="0"/>
      <c r="CH874" s="0"/>
      <c r="CI874" s="0"/>
      <c r="CJ874" s="0"/>
      <c r="CK874" s="0"/>
      <c r="CL874" s="0"/>
      <c r="CM874" s="0"/>
      <c r="CN874" s="0"/>
      <c r="CO874" s="0"/>
      <c r="CP874" s="0"/>
      <c r="CQ874" s="0"/>
      <c r="CR874" s="0"/>
      <c r="CS874" s="0"/>
      <c r="CT874" s="0"/>
      <c r="CU874" s="0"/>
      <c r="CV874" s="0"/>
      <c r="CW874" s="0"/>
      <c r="CX874" s="0"/>
      <c r="CY874" s="0"/>
      <c r="CZ874" s="0"/>
      <c r="DA874" s="0"/>
      <c r="DB874" s="0"/>
      <c r="DC874" s="0"/>
      <c r="DD874" s="0"/>
      <c r="DE874" s="0"/>
      <c r="DF874" s="0"/>
      <c r="DG874" s="0"/>
      <c r="DH874" s="0"/>
      <c r="DI874" s="0"/>
      <c r="DJ874" s="0"/>
      <c r="DK874" s="0"/>
      <c r="DL874" s="0"/>
      <c r="DM874" s="0"/>
      <c r="DN874" s="0"/>
      <c r="DO874" s="0"/>
      <c r="DP874" s="0"/>
      <c r="DQ874" s="0"/>
      <c r="DR874" s="0"/>
      <c r="DS874" s="0"/>
      <c r="DT874" s="0"/>
      <c r="DU874" s="0"/>
      <c r="DV874" s="0"/>
      <c r="DW874" s="0"/>
      <c r="DX874" s="0"/>
      <c r="DY874" s="0"/>
      <c r="DZ874" s="0"/>
      <c r="EA874" s="0"/>
      <c r="EB874" s="0"/>
      <c r="EC874" s="0"/>
      <c r="ED874" s="0"/>
      <c r="EE874" s="0"/>
      <c r="EF874" s="0"/>
      <c r="EG874" s="0"/>
      <c r="EH874" s="0"/>
      <c r="EI874" s="0"/>
      <c r="EJ874" s="0"/>
      <c r="EK874" s="0"/>
      <c r="EL874" s="0"/>
      <c r="EM874" s="0"/>
      <c r="EN874" s="0"/>
      <c r="EO874" s="0"/>
      <c r="EP874" s="0"/>
      <c r="EQ874" s="0"/>
      <c r="ER874" s="0"/>
      <c r="ES874" s="0"/>
      <c r="ET874" s="0"/>
      <c r="EU874" s="0"/>
      <c r="EV874" s="0"/>
      <c r="EW874" s="0"/>
      <c r="EX874" s="0"/>
      <c r="EY874" s="0"/>
      <c r="EZ874" s="0"/>
      <c r="FA874" s="0"/>
      <c r="FB874" s="0"/>
      <c r="FC874" s="0"/>
      <c r="FD874" s="0"/>
      <c r="FE874" s="0"/>
      <c r="FF874" s="0"/>
      <c r="FG874" s="0"/>
      <c r="FH874" s="0"/>
      <c r="FI874" s="0"/>
      <c r="FJ874" s="0"/>
      <c r="FK874" s="0"/>
      <c r="FL874" s="0"/>
      <c r="FM874" s="0"/>
      <c r="FN874" s="0"/>
      <c r="FO874" s="0"/>
      <c r="FP874" s="0"/>
      <c r="FQ874" s="0"/>
      <c r="FR874" s="0"/>
      <c r="FS874" s="0"/>
      <c r="FT874" s="0"/>
      <c r="FU874" s="0"/>
      <c r="FV874" s="0"/>
      <c r="FW874" s="0"/>
      <c r="FX874" s="0"/>
      <c r="FY874" s="0"/>
      <c r="FZ874" s="0"/>
      <c r="GA874" s="0"/>
      <c r="GB874" s="0"/>
      <c r="GC874" s="0"/>
      <c r="GD874" s="0"/>
      <c r="GE874" s="0"/>
      <c r="GF874" s="0"/>
      <c r="GG874" s="0"/>
      <c r="GH874" s="0"/>
      <c r="GI874" s="0"/>
      <c r="GJ874" s="0"/>
      <c r="GK874" s="0"/>
      <c r="GL874" s="0"/>
      <c r="GM874" s="0"/>
      <c r="GN874" s="0"/>
      <c r="GO874" s="0"/>
      <c r="GP874" s="0"/>
      <c r="GQ874" s="0"/>
      <c r="GR874" s="0"/>
      <c r="GS874" s="0"/>
      <c r="GT874" s="0"/>
      <c r="GU874" s="0"/>
      <c r="GV874" s="0"/>
      <c r="GW874" s="0"/>
      <c r="GX874" s="0"/>
      <c r="GY874" s="0"/>
      <c r="GZ874" s="0"/>
      <c r="HA874" s="0"/>
      <c r="HB874" s="0"/>
      <c r="HC874" s="0"/>
      <c r="HD874" s="0"/>
      <c r="HE874" s="0"/>
      <c r="HF874" s="0"/>
      <c r="HG874" s="0"/>
      <c r="HH874" s="0"/>
      <c r="HI874" s="0"/>
      <c r="HJ874" s="0"/>
      <c r="HK874" s="0"/>
      <c r="HL874" s="0"/>
      <c r="HM874" s="0"/>
      <c r="HN874" s="0"/>
      <c r="HO874" s="0"/>
      <c r="HP874" s="0"/>
      <c r="HQ874" s="0"/>
      <c r="HR874" s="0"/>
      <c r="HS874" s="0"/>
      <c r="HT874" s="0"/>
      <c r="HU874" s="0"/>
      <c r="HV874" s="0"/>
      <c r="HW874" s="0"/>
      <c r="HX874" s="0"/>
      <c r="HY874" s="0"/>
      <c r="HZ874" s="0"/>
      <c r="IA874" s="0"/>
      <c r="IB874" s="0"/>
      <c r="IC874" s="0"/>
      <c r="ID874" s="0"/>
      <c r="IE874" s="0"/>
      <c r="IF874" s="0"/>
      <c r="IG874" s="0"/>
      <c r="IH874" s="0"/>
      <c r="II874" s="0"/>
      <c r="IJ874" s="0"/>
      <c r="IK874" s="0"/>
      <c r="IL874" s="0"/>
      <c r="IM874" s="0"/>
      <c r="IN874" s="0"/>
      <c r="IO874" s="0"/>
      <c r="IP874" s="0"/>
      <c r="IQ874" s="0"/>
      <c r="IR874" s="0"/>
      <c r="IS874" s="0"/>
      <c r="IT874" s="0"/>
      <c r="IU874" s="0"/>
      <c r="IV874" s="0"/>
    </row>
    <row r="875" s="11" customFormat="true" ht="15.75" hidden="false" customHeight="true" outlineLevel="0" collapsed="false">
      <c r="A875" s="1005"/>
      <c r="B875" s="1005"/>
      <c r="C875" s="1005"/>
      <c r="D875" s="1005"/>
      <c r="K875" s="903"/>
      <c r="L875" s="877"/>
      <c r="M875" s="0"/>
      <c r="N875" s="0"/>
      <c r="O875" s="0"/>
      <c r="P875" s="0"/>
      <c r="Q875" s="0"/>
      <c r="R875" s="0"/>
      <c r="S875" s="0"/>
      <c r="T875" s="0"/>
      <c r="U875" s="0"/>
      <c r="V875" s="0"/>
      <c r="W875" s="0"/>
      <c r="X875" s="0"/>
      <c r="Y875" s="0"/>
      <c r="Z875" s="0"/>
      <c r="AA875" s="0"/>
      <c r="AB875" s="0"/>
      <c r="AC875" s="0"/>
      <c r="AD875" s="0"/>
      <c r="AE875" s="0"/>
      <c r="AF875" s="0"/>
      <c r="AG875" s="0"/>
      <c r="AH875" s="0"/>
      <c r="AI875" s="0"/>
      <c r="AJ875" s="0"/>
      <c r="AK875" s="0"/>
      <c r="AL875" s="0"/>
      <c r="AM875" s="0"/>
      <c r="AN875" s="0"/>
      <c r="AO875" s="0"/>
      <c r="AP875" s="0"/>
      <c r="AQ875" s="0"/>
      <c r="AR875" s="0"/>
      <c r="AS875" s="0"/>
      <c r="AT875" s="0"/>
      <c r="AU875" s="0"/>
      <c r="AV875" s="0"/>
      <c r="AW875" s="0"/>
      <c r="AX875" s="0"/>
      <c r="AY875" s="0"/>
      <c r="AZ875" s="0"/>
      <c r="BA875" s="0"/>
      <c r="BB875" s="0"/>
      <c r="BC875" s="0"/>
      <c r="BD875" s="0"/>
      <c r="BE875" s="0"/>
      <c r="BF875" s="0"/>
      <c r="BG875" s="0"/>
      <c r="BH875" s="0"/>
      <c r="BI875" s="0"/>
      <c r="BJ875" s="0"/>
      <c r="BK875" s="0"/>
      <c r="BL875" s="0"/>
      <c r="BM875" s="0"/>
      <c r="BN875" s="0"/>
      <c r="BO875" s="0"/>
      <c r="BP875" s="0"/>
      <c r="BQ875" s="0"/>
      <c r="BR875" s="0"/>
      <c r="BS875" s="0"/>
      <c r="BT875" s="0"/>
      <c r="BU875" s="0"/>
      <c r="BV875" s="0"/>
      <c r="BW875" s="0"/>
      <c r="BX875" s="0"/>
      <c r="BY875" s="0"/>
      <c r="BZ875" s="0"/>
      <c r="CA875" s="0"/>
      <c r="CB875" s="0"/>
      <c r="CC875" s="0"/>
      <c r="CD875" s="0"/>
      <c r="CE875" s="0"/>
      <c r="CF875" s="0"/>
      <c r="CG875" s="0"/>
      <c r="CH875" s="0"/>
      <c r="CI875" s="0"/>
      <c r="CJ875" s="0"/>
      <c r="CK875" s="0"/>
      <c r="CL875" s="0"/>
      <c r="CM875" s="0"/>
      <c r="CN875" s="0"/>
      <c r="CO875" s="0"/>
      <c r="CP875" s="0"/>
      <c r="CQ875" s="0"/>
      <c r="CR875" s="0"/>
      <c r="CS875" s="0"/>
      <c r="CT875" s="0"/>
      <c r="CU875" s="0"/>
      <c r="CV875" s="0"/>
      <c r="CW875" s="0"/>
      <c r="CX875" s="0"/>
      <c r="CY875" s="0"/>
      <c r="CZ875" s="0"/>
      <c r="DA875" s="0"/>
      <c r="DB875" s="0"/>
      <c r="DC875" s="0"/>
      <c r="DD875" s="0"/>
      <c r="DE875" s="0"/>
      <c r="DF875" s="0"/>
      <c r="DG875" s="0"/>
      <c r="DH875" s="0"/>
      <c r="DI875" s="0"/>
      <c r="DJ875" s="0"/>
      <c r="DK875" s="0"/>
      <c r="DL875" s="0"/>
      <c r="DM875" s="0"/>
      <c r="DN875" s="0"/>
      <c r="DO875" s="0"/>
      <c r="DP875" s="0"/>
      <c r="DQ875" s="0"/>
      <c r="DR875" s="0"/>
      <c r="DS875" s="0"/>
      <c r="DT875" s="0"/>
      <c r="DU875" s="0"/>
      <c r="DV875" s="0"/>
      <c r="DW875" s="0"/>
      <c r="DX875" s="0"/>
      <c r="DY875" s="0"/>
      <c r="DZ875" s="0"/>
      <c r="EA875" s="0"/>
      <c r="EB875" s="0"/>
      <c r="EC875" s="0"/>
      <c r="ED875" s="0"/>
      <c r="EE875" s="0"/>
      <c r="EF875" s="0"/>
      <c r="EG875" s="0"/>
      <c r="EH875" s="0"/>
      <c r="EI875" s="0"/>
      <c r="EJ875" s="0"/>
      <c r="EK875" s="0"/>
      <c r="EL875" s="0"/>
      <c r="EM875" s="0"/>
      <c r="EN875" s="0"/>
      <c r="EO875" s="0"/>
      <c r="EP875" s="0"/>
      <c r="EQ875" s="0"/>
      <c r="ER875" s="0"/>
      <c r="ES875" s="0"/>
      <c r="ET875" s="0"/>
      <c r="EU875" s="0"/>
      <c r="EV875" s="0"/>
      <c r="EW875" s="0"/>
      <c r="EX875" s="0"/>
      <c r="EY875" s="0"/>
      <c r="EZ875" s="0"/>
      <c r="FA875" s="0"/>
      <c r="FB875" s="0"/>
      <c r="FC875" s="0"/>
      <c r="FD875" s="0"/>
      <c r="FE875" s="0"/>
      <c r="FF875" s="0"/>
      <c r="FG875" s="0"/>
      <c r="FH875" s="0"/>
      <c r="FI875" s="0"/>
      <c r="FJ875" s="0"/>
      <c r="FK875" s="0"/>
      <c r="FL875" s="0"/>
      <c r="FM875" s="0"/>
      <c r="FN875" s="0"/>
      <c r="FO875" s="0"/>
      <c r="FP875" s="0"/>
      <c r="FQ875" s="0"/>
      <c r="FR875" s="0"/>
      <c r="FS875" s="0"/>
      <c r="FT875" s="0"/>
      <c r="FU875" s="0"/>
      <c r="FV875" s="0"/>
      <c r="FW875" s="0"/>
      <c r="FX875" s="0"/>
      <c r="FY875" s="0"/>
      <c r="FZ875" s="0"/>
      <c r="GA875" s="0"/>
      <c r="GB875" s="0"/>
      <c r="GC875" s="0"/>
      <c r="GD875" s="0"/>
      <c r="GE875" s="0"/>
      <c r="GF875" s="0"/>
      <c r="GG875" s="0"/>
      <c r="GH875" s="0"/>
      <c r="GI875" s="0"/>
      <c r="GJ875" s="0"/>
      <c r="GK875" s="0"/>
      <c r="GL875" s="0"/>
      <c r="GM875" s="0"/>
      <c r="GN875" s="0"/>
      <c r="GO875" s="0"/>
      <c r="GP875" s="0"/>
      <c r="GQ875" s="0"/>
      <c r="GR875" s="0"/>
      <c r="GS875" s="0"/>
      <c r="GT875" s="0"/>
      <c r="GU875" s="0"/>
      <c r="GV875" s="0"/>
      <c r="GW875" s="0"/>
      <c r="GX875" s="0"/>
      <c r="GY875" s="0"/>
      <c r="GZ875" s="0"/>
      <c r="HA875" s="0"/>
      <c r="HB875" s="0"/>
      <c r="HC875" s="0"/>
      <c r="HD875" s="0"/>
      <c r="HE875" s="0"/>
      <c r="HF875" s="0"/>
      <c r="HG875" s="0"/>
      <c r="HH875" s="0"/>
      <c r="HI875" s="0"/>
      <c r="HJ875" s="0"/>
      <c r="HK875" s="0"/>
      <c r="HL875" s="0"/>
      <c r="HM875" s="0"/>
      <c r="HN875" s="0"/>
      <c r="HO875" s="0"/>
      <c r="HP875" s="0"/>
      <c r="HQ875" s="0"/>
      <c r="HR875" s="0"/>
      <c r="HS875" s="0"/>
      <c r="HT875" s="0"/>
      <c r="HU875" s="0"/>
      <c r="HV875" s="0"/>
      <c r="HW875" s="0"/>
      <c r="HX875" s="0"/>
      <c r="HY875" s="0"/>
      <c r="HZ875" s="0"/>
      <c r="IA875" s="0"/>
      <c r="IB875" s="0"/>
      <c r="IC875" s="0"/>
      <c r="ID875" s="0"/>
      <c r="IE875" s="0"/>
      <c r="IF875" s="0"/>
      <c r="IG875" s="0"/>
      <c r="IH875" s="0"/>
      <c r="II875" s="0"/>
      <c r="IJ875" s="0"/>
      <c r="IK875" s="0"/>
      <c r="IL875" s="0"/>
      <c r="IM875" s="0"/>
      <c r="IN875" s="0"/>
      <c r="IO875" s="0"/>
      <c r="IP875" s="0"/>
      <c r="IQ875" s="0"/>
      <c r="IR875" s="0"/>
      <c r="IS875" s="0"/>
      <c r="IT875" s="0"/>
      <c r="IU875" s="0"/>
      <c r="IV875" s="0"/>
    </row>
    <row r="876" customFormat="false" ht="15" hidden="false" customHeight="true" outlineLevel="0" collapsed="false">
      <c r="A876" s="18" t="s">
        <v>689</v>
      </c>
      <c r="B876" s="1259"/>
      <c r="C876" s="1259"/>
      <c r="E876" s="1259"/>
      <c r="F876" s="1259"/>
      <c r="G876" s="1259"/>
      <c r="H876" s="1259"/>
      <c r="I876" s="19"/>
      <c r="J876" s="667"/>
      <c r="K876" s="876"/>
      <c r="L876" s="654"/>
      <c r="M876" s="0"/>
      <c r="N876" s="0"/>
      <c r="O876" s="0"/>
      <c r="P876" s="0"/>
      <c r="Q876" s="0"/>
      <c r="R876" s="0"/>
      <c r="S876" s="0"/>
      <c r="T876" s="0"/>
      <c r="U876" s="0"/>
      <c r="V876" s="0"/>
      <c r="W876" s="0"/>
      <c r="X876" s="0"/>
      <c r="Y876" s="0"/>
      <c r="Z876" s="0"/>
      <c r="AA876" s="0"/>
      <c r="AB876" s="0"/>
      <c r="AC876" s="0"/>
      <c r="AD876" s="0"/>
      <c r="AE876" s="0"/>
      <c r="AF876" s="0"/>
      <c r="AG876" s="0"/>
      <c r="AH876" s="0"/>
      <c r="AI876" s="0"/>
      <c r="AJ876" s="0"/>
      <c r="AK876" s="0"/>
      <c r="AL876" s="0"/>
      <c r="AM876" s="0"/>
      <c r="AN876" s="0"/>
      <c r="AO876" s="0"/>
      <c r="AP876" s="0"/>
      <c r="AQ876" s="0"/>
      <c r="AR876" s="0"/>
      <c r="AS876" s="0"/>
      <c r="AT876" s="0"/>
      <c r="AU876" s="0"/>
      <c r="AV876" s="0"/>
      <c r="AW876" s="0"/>
      <c r="AX876" s="0"/>
      <c r="AY876" s="0"/>
      <c r="AZ876" s="0"/>
      <c r="BA876" s="0"/>
      <c r="BB876" s="0"/>
      <c r="BC876" s="0"/>
      <c r="BD876" s="0"/>
      <c r="BE876" s="0"/>
      <c r="BF876" s="0"/>
      <c r="BG876" s="0"/>
      <c r="BH876" s="0"/>
      <c r="BI876" s="0"/>
      <c r="BJ876" s="0"/>
      <c r="BK876" s="0"/>
      <c r="BL876" s="0"/>
      <c r="BM876" s="0"/>
      <c r="BN876" s="0"/>
      <c r="BO876" s="0"/>
      <c r="BP876" s="0"/>
      <c r="BQ876" s="0"/>
      <c r="BR876" s="0"/>
      <c r="BS876" s="0"/>
      <c r="BT876" s="0"/>
      <c r="BU876" s="0"/>
      <c r="BV876" s="0"/>
      <c r="BW876" s="0"/>
      <c r="BX876" s="0"/>
      <c r="BY876" s="0"/>
      <c r="BZ876" s="0"/>
      <c r="CA876" s="0"/>
      <c r="CB876" s="0"/>
      <c r="CC876" s="0"/>
      <c r="CD876" s="0"/>
      <c r="CE876" s="0"/>
      <c r="CF876" s="0"/>
      <c r="CG876" s="0"/>
      <c r="CH876" s="0"/>
      <c r="CI876" s="0"/>
      <c r="CJ876" s="0"/>
      <c r="CK876" s="0"/>
      <c r="CL876" s="0"/>
      <c r="CM876" s="0"/>
      <c r="CN876" s="0"/>
      <c r="CO876" s="0"/>
      <c r="CP876" s="0"/>
      <c r="CQ876" s="0"/>
      <c r="CR876" s="0"/>
      <c r="CS876" s="0"/>
      <c r="CT876" s="0"/>
      <c r="CU876" s="0"/>
      <c r="CV876" s="0"/>
      <c r="CW876" s="0"/>
      <c r="CX876" s="0"/>
      <c r="CY876" s="0"/>
      <c r="CZ876" s="0"/>
      <c r="DA876" s="0"/>
      <c r="DB876" s="0"/>
      <c r="DC876" s="0"/>
      <c r="DD876" s="0"/>
      <c r="DE876" s="0"/>
      <c r="DF876" s="0"/>
      <c r="DG876" s="0"/>
      <c r="DH876" s="0"/>
      <c r="DI876" s="0"/>
      <c r="DJ876" s="0"/>
      <c r="DK876" s="0"/>
      <c r="DL876" s="0"/>
      <c r="DM876" s="0"/>
      <c r="DN876" s="0"/>
      <c r="DO876" s="0"/>
      <c r="DP876" s="0"/>
      <c r="DQ876" s="0"/>
      <c r="DR876" s="0"/>
      <c r="DS876" s="0"/>
      <c r="DT876" s="0"/>
      <c r="DU876" s="0"/>
      <c r="DV876" s="0"/>
      <c r="DW876" s="0"/>
      <c r="DX876" s="0"/>
      <c r="DY876" s="0"/>
      <c r="DZ876" s="0"/>
      <c r="EA876" s="0"/>
      <c r="EB876" s="0"/>
      <c r="EC876" s="0"/>
      <c r="ED876" s="0"/>
      <c r="EE876" s="0"/>
      <c r="EF876" s="0"/>
      <c r="EG876" s="0"/>
      <c r="EH876" s="0"/>
      <c r="EI876" s="0"/>
      <c r="EJ876" s="0"/>
      <c r="EK876" s="0"/>
      <c r="EL876" s="0"/>
      <c r="EM876" s="0"/>
      <c r="EN876" s="0"/>
      <c r="EO876" s="0"/>
      <c r="EP876" s="0"/>
      <c r="EQ876" s="0"/>
      <c r="ER876" s="0"/>
      <c r="ES876" s="0"/>
      <c r="ET876" s="0"/>
      <c r="EU876" s="0"/>
      <c r="EV876" s="0"/>
      <c r="EW876" s="0"/>
      <c r="EX876" s="0"/>
      <c r="EY876" s="0"/>
      <c r="EZ876" s="0"/>
      <c r="FA876" s="0"/>
      <c r="FB876" s="0"/>
      <c r="FC876" s="0"/>
      <c r="FD876" s="0"/>
      <c r="FE876" s="0"/>
      <c r="FF876" s="0"/>
      <c r="FG876" s="0"/>
      <c r="FH876" s="0"/>
      <c r="FI876" s="0"/>
      <c r="FJ876" s="0"/>
      <c r="FK876" s="0"/>
      <c r="FL876" s="0"/>
      <c r="FM876" s="0"/>
      <c r="FN876" s="0"/>
      <c r="FO876" s="0"/>
      <c r="FP876" s="0"/>
      <c r="FQ876" s="0"/>
      <c r="FR876" s="0"/>
      <c r="FS876" s="0"/>
      <c r="FT876" s="0"/>
      <c r="FU876" s="0"/>
      <c r="FV876" s="0"/>
      <c r="FW876" s="0"/>
      <c r="FX876" s="0"/>
      <c r="FY876" s="0"/>
      <c r="FZ876" s="0"/>
      <c r="GA876" s="0"/>
      <c r="GB876" s="0"/>
      <c r="GC876" s="0"/>
      <c r="GD876" s="0"/>
      <c r="GE876" s="0"/>
      <c r="GF876" s="0"/>
      <c r="GG876" s="0"/>
      <c r="GH876" s="0"/>
      <c r="GI876" s="0"/>
      <c r="GJ876" s="0"/>
      <c r="GK876" s="0"/>
      <c r="GL876" s="0"/>
      <c r="GM876" s="0"/>
      <c r="GN876" s="0"/>
      <c r="GO876" s="0"/>
      <c r="GP876" s="0"/>
      <c r="GQ876" s="0"/>
      <c r="GR876" s="0"/>
      <c r="GS876" s="0"/>
      <c r="GT876" s="0"/>
      <c r="GU876" s="0"/>
      <c r="GV876" s="0"/>
      <c r="GW876" s="0"/>
      <c r="GX876" s="0"/>
      <c r="GY876" s="0"/>
      <c r="GZ876" s="0"/>
      <c r="HA876" s="0"/>
      <c r="HB876" s="0"/>
      <c r="HC876" s="0"/>
      <c r="HD876" s="0"/>
      <c r="HE876" s="0"/>
      <c r="HF876" s="0"/>
      <c r="HG876" s="0"/>
      <c r="HH876" s="0"/>
      <c r="HI876" s="0"/>
      <c r="HJ876" s="0"/>
      <c r="HK876" s="0"/>
      <c r="HL876" s="0"/>
      <c r="HM876" s="0"/>
      <c r="HN876" s="0"/>
      <c r="HO876" s="0"/>
      <c r="HP876" s="0"/>
      <c r="HQ876" s="0"/>
      <c r="HR876" s="0"/>
      <c r="HS876" s="0"/>
      <c r="HT876" s="0"/>
      <c r="HU876" s="0"/>
      <c r="HV876" s="0"/>
      <c r="HW876" s="0"/>
      <c r="HX876" s="0"/>
      <c r="HY876" s="0"/>
      <c r="HZ876" s="0"/>
      <c r="IA876" s="0"/>
      <c r="IB876" s="0"/>
      <c r="IC876" s="0"/>
      <c r="ID876" s="0"/>
      <c r="IE876" s="0"/>
      <c r="IF876" s="0"/>
      <c r="IG876" s="0"/>
      <c r="IH876" s="0"/>
      <c r="II876" s="0"/>
      <c r="IJ876" s="0"/>
      <c r="IK876" s="0"/>
      <c r="IL876" s="0"/>
      <c r="IM876" s="0"/>
      <c r="IN876" s="0"/>
      <c r="IO876" s="0"/>
      <c r="IP876" s="0"/>
      <c r="IQ876" s="0"/>
      <c r="IR876" s="0"/>
      <c r="IS876" s="0"/>
      <c r="IT876" s="0"/>
      <c r="IU876" s="0"/>
      <c r="IV876" s="0"/>
    </row>
    <row r="877" customFormat="false" ht="15" hidden="false" customHeight="true" outlineLevel="0" collapsed="false">
      <c r="A877" s="1260" t="s">
        <v>1614</v>
      </c>
      <c r="B877" s="1261"/>
      <c r="C877" s="1261"/>
      <c r="D877" s="1261"/>
      <c r="E877" s="1261"/>
      <c r="F877" s="651" t="s">
        <v>254</v>
      </c>
      <c r="G877" s="1262" t="n">
        <f aca="false">IF(F877="oui",2,0)</f>
        <v>0</v>
      </c>
      <c r="J877" s="11"/>
      <c r="K877" s="876"/>
      <c r="L877" s="654"/>
      <c r="M877" s="0"/>
      <c r="N877" s="0"/>
      <c r="O877" s="0"/>
      <c r="P877" s="0"/>
      <c r="Q877" s="0"/>
      <c r="R877" s="0"/>
      <c r="S877" s="0"/>
      <c r="T877" s="0"/>
      <c r="U877" s="0"/>
      <c r="V877" s="0"/>
      <c r="W877" s="0"/>
      <c r="X877" s="0"/>
      <c r="Y877" s="0"/>
      <c r="Z877" s="0"/>
      <c r="AA877" s="0"/>
      <c r="AB877" s="0"/>
      <c r="AC877" s="0"/>
      <c r="AD877" s="0"/>
      <c r="AE877" s="0"/>
      <c r="AF877" s="0"/>
      <c r="AG877" s="0"/>
      <c r="AH877" s="0"/>
      <c r="AI877" s="0"/>
      <c r="AJ877" s="0"/>
      <c r="AK877" s="0"/>
      <c r="AL877" s="0"/>
      <c r="AM877" s="0"/>
      <c r="AN877" s="0"/>
      <c r="AO877" s="0"/>
      <c r="AP877" s="0"/>
      <c r="AQ877" s="0"/>
      <c r="AR877" s="0"/>
      <c r="AS877" s="0"/>
      <c r="AT877" s="0"/>
      <c r="AU877" s="0"/>
      <c r="AV877" s="0"/>
      <c r="AW877" s="0"/>
      <c r="AX877" s="0"/>
      <c r="AY877" s="0"/>
      <c r="AZ877" s="0"/>
      <c r="BA877" s="0"/>
      <c r="BB877" s="0"/>
      <c r="BC877" s="0"/>
      <c r="BD877" s="0"/>
      <c r="BE877" s="0"/>
      <c r="BF877" s="0"/>
      <c r="BG877" s="0"/>
      <c r="BH877" s="0"/>
      <c r="BI877" s="0"/>
      <c r="BJ877" s="0"/>
      <c r="BK877" s="0"/>
      <c r="BL877" s="0"/>
      <c r="BM877" s="0"/>
      <c r="BN877" s="0"/>
      <c r="BO877" s="0"/>
      <c r="BP877" s="0"/>
      <c r="BQ877" s="0"/>
      <c r="BR877" s="0"/>
      <c r="BS877" s="0"/>
      <c r="BT877" s="0"/>
      <c r="BU877" s="0"/>
      <c r="BV877" s="0"/>
      <c r="BW877" s="0"/>
      <c r="BX877" s="0"/>
      <c r="BY877" s="0"/>
      <c r="BZ877" s="0"/>
      <c r="CA877" s="0"/>
      <c r="CB877" s="0"/>
      <c r="CC877" s="0"/>
      <c r="CD877" s="0"/>
      <c r="CE877" s="0"/>
      <c r="CF877" s="0"/>
      <c r="CG877" s="0"/>
      <c r="CH877" s="0"/>
      <c r="CI877" s="0"/>
      <c r="CJ877" s="0"/>
      <c r="CK877" s="0"/>
      <c r="CL877" s="0"/>
      <c r="CM877" s="0"/>
      <c r="CN877" s="0"/>
      <c r="CO877" s="0"/>
      <c r="CP877" s="0"/>
      <c r="CQ877" s="0"/>
      <c r="CR877" s="0"/>
      <c r="CS877" s="0"/>
      <c r="CT877" s="0"/>
      <c r="CU877" s="0"/>
      <c r="CV877" s="0"/>
      <c r="CW877" s="0"/>
      <c r="CX877" s="0"/>
      <c r="CY877" s="0"/>
      <c r="CZ877" s="0"/>
      <c r="DA877" s="0"/>
      <c r="DB877" s="0"/>
      <c r="DC877" s="0"/>
      <c r="DD877" s="0"/>
      <c r="DE877" s="0"/>
      <c r="DF877" s="0"/>
      <c r="DG877" s="0"/>
      <c r="DH877" s="0"/>
      <c r="DI877" s="0"/>
      <c r="DJ877" s="0"/>
      <c r="DK877" s="0"/>
      <c r="DL877" s="0"/>
      <c r="DM877" s="0"/>
      <c r="DN877" s="0"/>
      <c r="DO877" s="0"/>
      <c r="DP877" s="0"/>
      <c r="DQ877" s="0"/>
      <c r="DR877" s="0"/>
      <c r="DS877" s="0"/>
      <c r="DT877" s="0"/>
      <c r="DU877" s="0"/>
      <c r="DV877" s="0"/>
      <c r="DW877" s="0"/>
      <c r="DX877" s="0"/>
      <c r="DY877" s="0"/>
      <c r="DZ877" s="0"/>
      <c r="EA877" s="0"/>
      <c r="EB877" s="0"/>
      <c r="EC877" s="0"/>
      <c r="ED877" s="0"/>
      <c r="EE877" s="0"/>
      <c r="EF877" s="0"/>
      <c r="EG877" s="0"/>
      <c r="EH877" s="0"/>
      <c r="EI877" s="0"/>
      <c r="EJ877" s="0"/>
      <c r="EK877" s="0"/>
      <c r="EL877" s="0"/>
      <c r="EM877" s="0"/>
      <c r="EN877" s="0"/>
      <c r="EO877" s="0"/>
      <c r="EP877" s="0"/>
      <c r="EQ877" s="0"/>
      <c r="ER877" s="0"/>
      <c r="ES877" s="0"/>
      <c r="ET877" s="0"/>
      <c r="EU877" s="0"/>
      <c r="EV877" s="0"/>
      <c r="EW877" s="0"/>
      <c r="EX877" s="0"/>
      <c r="EY877" s="0"/>
      <c r="EZ877" s="0"/>
      <c r="FA877" s="0"/>
      <c r="FB877" s="0"/>
      <c r="FC877" s="0"/>
      <c r="FD877" s="0"/>
      <c r="FE877" s="0"/>
      <c r="FF877" s="0"/>
      <c r="FG877" s="0"/>
      <c r="FH877" s="0"/>
      <c r="FI877" s="0"/>
      <c r="FJ877" s="0"/>
      <c r="FK877" s="0"/>
      <c r="FL877" s="0"/>
      <c r="FM877" s="0"/>
      <c r="FN877" s="0"/>
      <c r="FO877" s="0"/>
      <c r="FP877" s="0"/>
      <c r="FQ877" s="0"/>
      <c r="FR877" s="0"/>
      <c r="FS877" s="0"/>
      <c r="FT877" s="0"/>
      <c r="FU877" s="0"/>
      <c r="FV877" s="0"/>
      <c r="FW877" s="0"/>
      <c r="FX877" s="0"/>
      <c r="FY877" s="0"/>
      <c r="FZ877" s="0"/>
      <c r="GA877" s="0"/>
      <c r="GB877" s="0"/>
      <c r="GC877" s="0"/>
      <c r="GD877" s="0"/>
      <c r="GE877" s="0"/>
      <c r="GF877" s="0"/>
      <c r="GG877" s="0"/>
      <c r="GH877" s="0"/>
      <c r="GI877" s="0"/>
      <c r="GJ877" s="0"/>
      <c r="GK877" s="0"/>
      <c r="GL877" s="0"/>
      <c r="GM877" s="0"/>
      <c r="GN877" s="0"/>
      <c r="GO877" s="0"/>
      <c r="GP877" s="0"/>
      <c r="GQ877" s="0"/>
      <c r="GR877" s="0"/>
      <c r="GS877" s="0"/>
      <c r="GT877" s="0"/>
      <c r="GU877" s="0"/>
      <c r="GV877" s="0"/>
      <c r="GW877" s="0"/>
      <c r="GX877" s="0"/>
      <c r="GY877" s="0"/>
      <c r="GZ877" s="0"/>
      <c r="HA877" s="0"/>
      <c r="HB877" s="0"/>
      <c r="HC877" s="0"/>
      <c r="HD877" s="0"/>
      <c r="HE877" s="0"/>
      <c r="HF877" s="0"/>
      <c r="HG877" s="0"/>
      <c r="HH877" s="0"/>
      <c r="HI877" s="0"/>
      <c r="HJ877" s="0"/>
      <c r="HK877" s="0"/>
      <c r="HL877" s="0"/>
      <c r="HM877" s="0"/>
      <c r="HN877" s="0"/>
      <c r="HO877" s="0"/>
      <c r="HP877" s="0"/>
      <c r="HQ877" s="0"/>
      <c r="HR877" s="0"/>
      <c r="HS877" s="0"/>
      <c r="HT877" s="0"/>
      <c r="HU877" s="0"/>
      <c r="HV877" s="0"/>
      <c r="HW877" s="0"/>
      <c r="HX877" s="0"/>
      <c r="HY877" s="0"/>
      <c r="HZ877" s="0"/>
      <c r="IA877" s="0"/>
      <c r="IB877" s="0"/>
      <c r="IC877" s="0"/>
      <c r="ID877" s="0"/>
      <c r="IE877" s="0"/>
      <c r="IF877" s="0"/>
      <c r="IG877" s="0"/>
      <c r="IH877" s="0"/>
      <c r="II877" s="0"/>
      <c r="IJ877" s="0"/>
      <c r="IK877" s="0"/>
      <c r="IL877" s="0"/>
      <c r="IM877" s="0"/>
      <c r="IN877" s="0"/>
      <c r="IO877" s="0"/>
      <c r="IP877" s="0"/>
      <c r="IQ877" s="0"/>
      <c r="IR877" s="0"/>
      <c r="IS877" s="0"/>
      <c r="IT877" s="0"/>
      <c r="IU877" s="0"/>
      <c r="IV877" s="0"/>
    </row>
    <row r="878" customFormat="false" ht="18.75" hidden="false" customHeight="true" outlineLevel="0" collapsed="false">
      <c r="A878" s="1261" t="s">
        <v>1615</v>
      </c>
      <c r="B878" s="1261"/>
      <c r="C878" s="1261"/>
      <c r="D878" s="1261"/>
      <c r="E878" s="1261"/>
      <c r="F878" s="651" t="s">
        <v>253</v>
      </c>
      <c r="G878" s="1262" t="n">
        <f aca="false">IF(F878="oui",2,0)</f>
        <v>2</v>
      </c>
      <c r="J878" s="11"/>
      <c r="K878" s="876"/>
      <c r="L878" s="654"/>
      <c r="M878" s="307"/>
    </row>
    <row r="879" customFormat="false" ht="15" hidden="false" customHeight="true" outlineLevel="0" collapsed="false">
      <c r="A879" s="1261" t="s">
        <v>1616</v>
      </c>
      <c r="B879" s="1263"/>
      <c r="C879" s="19"/>
      <c r="D879" s="19"/>
      <c r="E879" s="19"/>
      <c r="F879" s="651" t="s">
        <v>254</v>
      </c>
      <c r="G879" s="1262" t="n">
        <f aca="false">IF(F879="oui",2,0)</f>
        <v>0</v>
      </c>
      <c r="J879" s="11"/>
      <c r="K879" s="876"/>
      <c r="L879" s="654"/>
      <c r="M879" s="55"/>
      <c r="T879" s="0"/>
      <c r="U879" s="0"/>
      <c r="V879" s="0"/>
      <c r="W879" s="0"/>
      <c r="X879" s="0"/>
      <c r="Y879" s="0"/>
      <c r="Z879" s="0"/>
      <c r="AA879" s="0"/>
      <c r="AB879" s="0"/>
      <c r="AC879" s="0"/>
      <c r="AD879" s="0"/>
      <c r="AE879" s="0"/>
      <c r="AF879" s="0"/>
      <c r="AG879" s="0"/>
      <c r="AH879" s="0"/>
      <c r="AI879" s="0"/>
      <c r="AJ879" s="0"/>
      <c r="AK879" s="0"/>
      <c r="AL879" s="0"/>
      <c r="AM879" s="0"/>
      <c r="AN879" s="0"/>
      <c r="AO879" s="0"/>
      <c r="AP879" s="0"/>
      <c r="AQ879" s="0"/>
      <c r="AR879" s="0"/>
      <c r="AS879" s="0"/>
      <c r="AT879" s="0"/>
      <c r="AU879" s="0"/>
      <c r="AV879" s="0"/>
      <c r="AW879" s="0"/>
      <c r="AX879" s="0"/>
      <c r="AY879" s="0"/>
      <c r="AZ879" s="0"/>
      <c r="BA879" s="0"/>
      <c r="BB879" s="0"/>
      <c r="BC879" s="0"/>
      <c r="BD879" s="0"/>
      <c r="BE879" s="0"/>
      <c r="BF879" s="0"/>
      <c r="BG879" s="0"/>
      <c r="BH879" s="0"/>
      <c r="BI879" s="0"/>
      <c r="BJ879" s="0"/>
      <c r="BK879" s="0"/>
      <c r="BL879" s="0"/>
      <c r="BM879" s="0"/>
      <c r="BN879" s="0"/>
      <c r="BO879" s="0"/>
      <c r="BP879" s="0"/>
      <c r="BQ879" s="0"/>
      <c r="BR879" s="0"/>
      <c r="BS879" s="0"/>
      <c r="BT879" s="0"/>
      <c r="BU879" s="0"/>
      <c r="BV879" s="0"/>
      <c r="BW879" s="0"/>
      <c r="BX879" s="0"/>
      <c r="BY879" s="0"/>
      <c r="BZ879" s="0"/>
      <c r="CA879" s="0"/>
      <c r="CB879" s="0"/>
      <c r="CC879" s="0"/>
      <c r="CD879" s="0"/>
      <c r="CE879" s="0"/>
      <c r="CF879" s="0"/>
      <c r="CG879" s="0"/>
      <c r="CH879" s="0"/>
      <c r="CI879" s="0"/>
      <c r="CJ879" s="0"/>
      <c r="CK879" s="0"/>
      <c r="CL879" s="0"/>
      <c r="CM879" s="0"/>
      <c r="CN879" s="0"/>
      <c r="CO879" s="0"/>
      <c r="CP879" s="0"/>
      <c r="CQ879" s="0"/>
      <c r="CR879" s="0"/>
      <c r="CS879" s="0"/>
      <c r="CT879" s="0"/>
      <c r="CU879" s="0"/>
      <c r="CV879" s="0"/>
      <c r="CW879" s="0"/>
      <c r="CX879" s="0"/>
      <c r="CY879" s="0"/>
      <c r="CZ879" s="0"/>
      <c r="DA879" s="0"/>
      <c r="DB879" s="0"/>
      <c r="DC879" s="0"/>
      <c r="DD879" s="0"/>
      <c r="DE879" s="0"/>
      <c r="DF879" s="0"/>
      <c r="DG879" s="0"/>
      <c r="DH879" s="0"/>
      <c r="DI879" s="0"/>
      <c r="DJ879" s="0"/>
      <c r="DK879" s="0"/>
      <c r="DL879" s="0"/>
      <c r="DM879" s="0"/>
      <c r="DN879" s="0"/>
      <c r="DO879" s="0"/>
      <c r="DP879" s="0"/>
      <c r="DQ879" s="0"/>
      <c r="DR879" s="0"/>
      <c r="DS879" s="0"/>
      <c r="DT879" s="0"/>
      <c r="DU879" s="0"/>
      <c r="DV879" s="0"/>
      <c r="DW879" s="0"/>
      <c r="DX879" s="0"/>
      <c r="DY879" s="0"/>
      <c r="DZ879" s="0"/>
      <c r="EA879" s="0"/>
      <c r="EB879" s="0"/>
      <c r="EC879" s="0"/>
      <c r="ED879" s="0"/>
      <c r="EE879" s="0"/>
      <c r="EF879" s="0"/>
      <c r="EG879" s="0"/>
      <c r="EH879" s="0"/>
      <c r="EI879" s="0"/>
      <c r="EJ879" s="0"/>
      <c r="EK879" s="0"/>
      <c r="EL879" s="0"/>
      <c r="EM879" s="0"/>
      <c r="EN879" s="0"/>
      <c r="EO879" s="0"/>
      <c r="EP879" s="0"/>
      <c r="EQ879" s="0"/>
      <c r="ER879" s="0"/>
      <c r="ES879" s="0"/>
      <c r="ET879" s="0"/>
      <c r="EU879" s="0"/>
      <c r="EV879" s="0"/>
      <c r="EW879" s="0"/>
      <c r="EX879" s="0"/>
      <c r="EY879" s="0"/>
      <c r="EZ879" s="0"/>
      <c r="FA879" s="0"/>
      <c r="FB879" s="0"/>
      <c r="FC879" s="0"/>
      <c r="FD879" s="0"/>
      <c r="FE879" s="0"/>
      <c r="FF879" s="0"/>
      <c r="FG879" s="0"/>
      <c r="FH879" s="0"/>
      <c r="FI879" s="0"/>
      <c r="FJ879" s="0"/>
      <c r="FK879" s="0"/>
      <c r="FL879" s="0"/>
      <c r="FM879" s="0"/>
      <c r="FN879" s="0"/>
      <c r="FO879" s="0"/>
      <c r="FP879" s="0"/>
      <c r="FQ879" s="0"/>
      <c r="FR879" s="0"/>
      <c r="FS879" s="0"/>
      <c r="FT879" s="0"/>
      <c r="FU879" s="0"/>
      <c r="FV879" s="0"/>
      <c r="FW879" s="0"/>
      <c r="FX879" s="0"/>
      <c r="FY879" s="0"/>
      <c r="FZ879" s="0"/>
      <c r="GA879" s="0"/>
      <c r="GB879" s="0"/>
      <c r="GC879" s="0"/>
      <c r="GD879" s="0"/>
      <c r="GE879" s="0"/>
      <c r="GF879" s="0"/>
      <c r="GG879" s="0"/>
      <c r="GH879" s="0"/>
      <c r="GI879" s="0"/>
      <c r="GJ879" s="0"/>
      <c r="GK879" s="0"/>
      <c r="GL879" s="0"/>
      <c r="GM879" s="0"/>
      <c r="GN879" s="0"/>
      <c r="GO879" s="0"/>
      <c r="GP879" s="0"/>
      <c r="GQ879" s="0"/>
      <c r="GR879" s="0"/>
      <c r="GS879" s="0"/>
      <c r="GT879" s="0"/>
      <c r="GU879" s="0"/>
      <c r="GV879" s="0"/>
      <c r="GW879" s="0"/>
      <c r="GX879" s="0"/>
      <c r="GY879" s="0"/>
      <c r="GZ879" s="0"/>
      <c r="HA879" s="0"/>
      <c r="HB879" s="0"/>
      <c r="HC879" s="0"/>
      <c r="HD879" s="0"/>
      <c r="HE879" s="0"/>
      <c r="HF879" s="0"/>
      <c r="HG879" s="0"/>
      <c r="HH879" s="0"/>
      <c r="HI879" s="0"/>
      <c r="HJ879" s="0"/>
      <c r="HK879" s="0"/>
      <c r="HL879" s="0"/>
      <c r="HM879" s="0"/>
      <c r="HN879" s="0"/>
      <c r="HO879" s="0"/>
      <c r="HP879" s="0"/>
      <c r="HQ879" s="0"/>
      <c r="HR879" s="0"/>
      <c r="HS879" s="0"/>
      <c r="HT879" s="0"/>
      <c r="HU879" s="0"/>
      <c r="HV879" s="0"/>
      <c r="HW879" s="0"/>
      <c r="HX879" s="0"/>
      <c r="HY879" s="0"/>
      <c r="HZ879" s="0"/>
      <c r="IA879" s="0"/>
      <c r="IB879" s="0"/>
      <c r="IC879" s="0"/>
      <c r="ID879" s="0"/>
      <c r="IE879" s="0"/>
      <c r="IF879" s="0"/>
      <c r="IG879" s="0"/>
      <c r="IH879" s="0"/>
      <c r="II879" s="0"/>
      <c r="IJ879" s="0"/>
      <c r="IK879" s="0"/>
      <c r="IL879" s="0"/>
      <c r="IM879" s="0"/>
      <c r="IN879" s="0"/>
      <c r="IO879" s="0"/>
      <c r="IP879" s="0"/>
      <c r="IQ879" s="0"/>
      <c r="IR879" s="0"/>
      <c r="IS879" s="0"/>
      <c r="IT879" s="0"/>
      <c r="IU879" s="0"/>
      <c r="IV879" s="0"/>
    </row>
    <row r="880" customFormat="false" ht="18.75" hidden="false" customHeight="true" outlineLevel="0" collapsed="false">
      <c r="A880" s="1260" t="s">
        <v>1617</v>
      </c>
      <c r="B880" s="1263"/>
      <c r="C880" s="19"/>
      <c r="D880" s="19"/>
      <c r="E880" s="19"/>
      <c r="F880" s="651" t="s">
        <v>254</v>
      </c>
      <c r="G880" s="1262" t="n">
        <f aca="false">IF(F880="oui",2,0)</f>
        <v>0</v>
      </c>
      <c r="J880" s="11"/>
      <c r="K880" s="876"/>
      <c r="L880" s="654"/>
      <c r="M880" s="307"/>
      <c r="N880" s="0"/>
      <c r="O880" s="0"/>
      <c r="P880" s="0"/>
      <c r="Q880" s="0"/>
      <c r="R880" s="0"/>
      <c r="S880" s="0"/>
      <c r="T880" s="0"/>
      <c r="U880" s="0"/>
      <c r="V880" s="0"/>
      <c r="W880" s="0"/>
      <c r="X880" s="0"/>
      <c r="Y880" s="0"/>
      <c r="Z880" s="0"/>
      <c r="AA880" s="0"/>
      <c r="AB880" s="0"/>
      <c r="AC880" s="0"/>
      <c r="AD880" s="0"/>
      <c r="AE880" s="0"/>
      <c r="AF880" s="0"/>
      <c r="AG880" s="0"/>
      <c r="AH880" s="0"/>
      <c r="AI880" s="0"/>
      <c r="AJ880" s="0"/>
      <c r="AK880" s="0"/>
      <c r="AL880" s="0"/>
      <c r="AM880" s="0"/>
      <c r="AN880" s="0"/>
      <c r="AO880" s="0"/>
      <c r="AP880" s="0"/>
      <c r="AQ880" s="0"/>
      <c r="AR880" s="0"/>
      <c r="AS880" s="0"/>
      <c r="AT880" s="0"/>
      <c r="AU880" s="0"/>
      <c r="AV880" s="0"/>
      <c r="AW880" s="0"/>
      <c r="AX880" s="0"/>
      <c r="AY880" s="0"/>
      <c r="AZ880" s="0"/>
      <c r="BA880" s="0"/>
      <c r="BB880" s="0"/>
      <c r="BC880" s="0"/>
      <c r="BD880" s="0"/>
      <c r="BE880" s="0"/>
      <c r="BF880" s="0"/>
      <c r="BG880" s="0"/>
      <c r="BH880" s="0"/>
      <c r="BI880" s="0"/>
      <c r="BJ880" s="0"/>
      <c r="BK880" s="0"/>
      <c r="BL880" s="0"/>
      <c r="BM880" s="0"/>
      <c r="BN880" s="0"/>
      <c r="BO880" s="0"/>
      <c r="BP880" s="0"/>
      <c r="BQ880" s="0"/>
      <c r="BR880" s="0"/>
      <c r="BS880" s="0"/>
      <c r="BT880" s="0"/>
      <c r="BU880" s="0"/>
      <c r="BV880" s="0"/>
      <c r="BW880" s="0"/>
      <c r="BX880" s="0"/>
      <c r="BY880" s="0"/>
      <c r="BZ880" s="0"/>
      <c r="CA880" s="0"/>
      <c r="CB880" s="0"/>
      <c r="CC880" s="0"/>
      <c r="CD880" s="0"/>
      <c r="CE880" s="0"/>
      <c r="CF880" s="0"/>
      <c r="CG880" s="0"/>
      <c r="CH880" s="0"/>
      <c r="CI880" s="0"/>
      <c r="CJ880" s="0"/>
      <c r="CK880" s="0"/>
      <c r="CL880" s="0"/>
      <c r="CM880" s="0"/>
      <c r="CN880" s="0"/>
      <c r="CO880" s="0"/>
      <c r="CP880" s="0"/>
      <c r="CQ880" s="0"/>
      <c r="CR880" s="0"/>
      <c r="CS880" s="0"/>
      <c r="CT880" s="0"/>
      <c r="CU880" s="0"/>
      <c r="CV880" s="0"/>
      <c r="CW880" s="0"/>
      <c r="CX880" s="0"/>
      <c r="CY880" s="0"/>
      <c r="CZ880" s="0"/>
      <c r="DA880" s="0"/>
      <c r="DB880" s="0"/>
      <c r="DC880" s="0"/>
      <c r="DD880" s="0"/>
      <c r="DE880" s="0"/>
      <c r="DF880" s="0"/>
      <c r="DG880" s="0"/>
      <c r="DH880" s="0"/>
      <c r="DI880" s="0"/>
      <c r="DJ880" s="0"/>
      <c r="DK880" s="0"/>
      <c r="DL880" s="0"/>
      <c r="DM880" s="0"/>
      <c r="DN880" s="0"/>
      <c r="DO880" s="0"/>
      <c r="DP880" s="0"/>
      <c r="DQ880" s="0"/>
      <c r="DR880" s="0"/>
      <c r="DS880" s="0"/>
      <c r="DT880" s="0"/>
      <c r="DU880" s="0"/>
      <c r="DV880" s="0"/>
      <c r="DW880" s="0"/>
      <c r="DX880" s="0"/>
      <c r="DY880" s="0"/>
      <c r="DZ880" s="0"/>
      <c r="EA880" s="0"/>
      <c r="EB880" s="0"/>
      <c r="EC880" s="0"/>
      <c r="ED880" s="0"/>
      <c r="EE880" s="0"/>
      <c r="EF880" s="0"/>
      <c r="EG880" s="0"/>
      <c r="EH880" s="0"/>
      <c r="EI880" s="0"/>
      <c r="EJ880" s="0"/>
      <c r="EK880" s="0"/>
      <c r="EL880" s="0"/>
      <c r="EM880" s="0"/>
      <c r="EN880" s="0"/>
      <c r="EO880" s="0"/>
      <c r="EP880" s="0"/>
      <c r="EQ880" s="0"/>
      <c r="ER880" s="0"/>
      <c r="ES880" s="0"/>
      <c r="ET880" s="0"/>
      <c r="EU880" s="0"/>
      <c r="EV880" s="0"/>
      <c r="EW880" s="0"/>
      <c r="EX880" s="0"/>
      <c r="EY880" s="0"/>
      <c r="EZ880" s="0"/>
      <c r="FA880" s="0"/>
      <c r="FB880" s="0"/>
      <c r="FC880" s="0"/>
      <c r="FD880" s="0"/>
      <c r="FE880" s="0"/>
      <c r="FF880" s="0"/>
      <c r="FG880" s="0"/>
      <c r="FH880" s="0"/>
      <c r="FI880" s="0"/>
      <c r="FJ880" s="0"/>
      <c r="FK880" s="0"/>
      <c r="FL880" s="0"/>
      <c r="FM880" s="0"/>
      <c r="FN880" s="0"/>
      <c r="FO880" s="0"/>
      <c r="FP880" s="0"/>
      <c r="FQ880" s="0"/>
      <c r="FR880" s="0"/>
      <c r="FS880" s="0"/>
      <c r="FT880" s="0"/>
      <c r="FU880" s="0"/>
      <c r="FV880" s="0"/>
      <c r="FW880" s="0"/>
      <c r="FX880" s="0"/>
      <c r="FY880" s="0"/>
      <c r="FZ880" s="0"/>
      <c r="GA880" s="0"/>
      <c r="GB880" s="0"/>
      <c r="GC880" s="0"/>
      <c r="GD880" s="0"/>
      <c r="GE880" s="0"/>
      <c r="GF880" s="0"/>
      <c r="GG880" s="0"/>
      <c r="GH880" s="0"/>
      <c r="GI880" s="0"/>
      <c r="GJ880" s="0"/>
      <c r="GK880" s="0"/>
      <c r="GL880" s="0"/>
      <c r="GM880" s="0"/>
      <c r="GN880" s="0"/>
      <c r="GO880" s="0"/>
      <c r="GP880" s="0"/>
      <c r="GQ880" s="0"/>
      <c r="GR880" s="0"/>
      <c r="GS880" s="0"/>
      <c r="GT880" s="0"/>
      <c r="GU880" s="0"/>
      <c r="GV880" s="0"/>
      <c r="GW880" s="0"/>
      <c r="GX880" s="0"/>
      <c r="GY880" s="0"/>
      <c r="GZ880" s="0"/>
      <c r="HA880" s="0"/>
      <c r="HB880" s="0"/>
      <c r="HC880" s="0"/>
      <c r="HD880" s="0"/>
      <c r="HE880" s="0"/>
      <c r="HF880" s="0"/>
      <c r="HG880" s="0"/>
      <c r="HH880" s="0"/>
      <c r="HI880" s="0"/>
      <c r="HJ880" s="0"/>
      <c r="HK880" s="0"/>
      <c r="HL880" s="0"/>
      <c r="HM880" s="0"/>
      <c r="HN880" s="0"/>
      <c r="HO880" s="0"/>
      <c r="HP880" s="0"/>
      <c r="HQ880" s="0"/>
      <c r="HR880" s="0"/>
      <c r="HS880" s="0"/>
      <c r="HT880" s="0"/>
      <c r="HU880" s="0"/>
      <c r="HV880" s="0"/>
      <c r="HW880" s="0"/>
      <c r="HX880" s="0"/>
      <c r="HY880" s="0"/>
      <c r="HZ880" s="0"/>
      <c r="IA880" s="0"/>
      <c r="IB880" s="0"/>
      <c r="IC880" s="0"/>
      <c r="ID880" s="0"/>
      <c r="IE880" s="0"/>
      <c r="IF880" s="0"/>
      <c r="IG880" s="0"/>
      <c r="IH880" s="0"/>
      <c r="II880" s="0"/>
      <c r="IJ880" s="0"/>
      <c r="IK880" s="0"/>
      <c r="IL880" s="0"/>
      <c r="IM880" s="0"/>
      <c r="IN880" s="0"/>
      <c r="IO880" s="0"/>
      <c r="IP880" s="0"/>
      <c r="IQ880" s="0"/>
      <c r="IR880" s="0"/>
      <c r="IS880" s="0"/>
      <c r="IT880" s="0"/>
      <c r="IU880" s="0"/>
      <c r="IV880" s="0"/>
    </row>
    <row r="881" customFormat="false" ht="15" hidden="false" customHeight="true" outlineLevel="0" collapsed="false">
      <c r="A881" s="1131" t="s">
        <v>1618</v>
      </c>
      <c r="F881" s="651" t="s">
        <v>254</v>
      </c>
      <c r="G881" s="1264" t="n">
        <f aca="false">IF(F881="oui",2,0)</f>
        <v>0</v>
      </c>
      <c r="J881" s="11"/>
      <c r="K881" s="876"/>
      <c r="L881" s="654"/>
      <c r="M881" s="0"/>
      <c r="T881" s="0"/>
      <c r="U881" s="0"/>
      <c r="V881" s="0"/>
      <c r="W881" s="0"/>
      <c r="X881" s="0"/>
      <c r="Y881" s="0"/>
      <c r="Z881" s="0"/>
      <c r="AA881" s="0"/>
      <c r="AB881" s="0"/>
      <c r="AC881" s="0"/>
      <c r="AD881" s="0"/>
      <c r="AE881" s="0"/>
      <c r="AF881" s="0"/>
      <c r="AG881" s="0"/>
      <c r="AH881" s="0"/>
      <c r="AI881" s="0"/>
      <c r="AJ881" s="0"/>
      <c r="AK881" s="0"/>
      <c r="AL881" s="0"/>
      <c r="AM881" s="0"/>
      <c r="AN881" s="0"/>
      <c r="AO881" s="0"/>
      <c r="AP881" s="0"/>
      <c r="AQ881" s="0"/>
      <c r="AR881" s="0"/>
      <c r="AS881" s="0"/>
      <c r="AT881" s="0"/>
      <c r="AU881" s="0"/>
      <c r="AV881" s="0"/>
      <c r="AW881" s="0"/>
      <c r="AX881" s="0"/>
      <c r="AY881" s="0"/>
      <c r="AZ881" s="0"/>
      <c r="BA881" s="0"/>
      <c r="BB881" s="0"/>
      <c r="BC881" s="0"/>
      <c r="BD881" s="0"/>
      <c r="BE881" s="0"/>
      <c r="BF881" s="0"/>
      <c r="BG881" s="0"/>
      <c r="BH881" s="0"/>
      <c r="BI881" s="0"/>
      <c r="BJ881" s="0"/>
      <c r="BK881" s="0"/>
      <c r="BL881" s="0"/>
      <c r="BM881" s="0"/>
      <c r="BN881" s="0"/>
      <c r="BO881" s="0"/>
      <c r="BP881" s="0"/>
      <c r="BQ881" s="0"/>
      <c r="BR881" s="0"/>
      <c r="BS881" s="0"/>
      <c r="BT881" s="0"/>
      <c r="BU881" s="0"/>
      <c r="BV881" s="0"/>
      <c r="BW881" s="0"/>
      <c r="BX881" s="0"/>
      <c r="BY881" s="0"/>
      <c r="BZ881" s="0"/>
      <c r="CA881" s="0"/>
      <c r="CB881" s="0"/>
      <c r="CC881" s="0"/>
      <c r="CD881" s="0"/>
      <c r="CE881" s="0"/>
      <c r="CF881" s="0"/>
      <c r="CG881" s="0"/>
      <c r="CH881" s="0"/>
      <c r="CI881" s="0"/>
      <c r="CJ881" s="0"/>
      <c r="CK881" s="0"/>
      <c r="CL881" s="0"/>
      <c r="CM881" s="0"/>
      <c r="CN881" s="0"/>
      <c r="CO881" s="0"/>
      <c r="CP881" s="0"/>
      <c r="CQ881" s="0"/>
      <c r="CR881" s="0"/>
      <c r="CS881" s="0"/>
      <c r="CT881" s="0"/>
      <c r="CU881" s="0"/>
      <c r="CV881" s="0"/>
      <c r="CW881" s="0"/>
      <c r="CX881" s="0"/>
      <c r="CY881" s="0"/>
      <c r="CZ881" s="0"/>
      <c r="DA881" s="0"/>
      <c r="DB881" s="0"/>
      <c r="DC881" s="0"/>
      <c r="DD881" s="0"/>
      <c r="DE881" s="0"/>
      <c r="DF881" s="0"/>
      <c r="DG881" s="0"/>
      <c r="DH881" s="0"/>
      <c r="DI881" s="0"/>
      <c r="DJ881" s="0"/>
      <c r="DK881" s="0"/>
      <c r="DL881" s="0"/>
      <c r="DM881" s="0"/>
      <c r="DN881" s="0"/>
      <c r="DO881" s="0"/>
      <c r="DP881" s="0"/>
      <c r="DQ881" s="0"/>
      <c r="DR881" s="0"/>
      <c r="DS881" s="0"/>
      <c r="DT881" s="0"/>
      <c r="DU881" s="0"/>
      <c r="DV881" s="0"/>
      <c r="DW881" s="0"/>
      <c r="DX881" s="0"/>
      <c r="DY881" s="0"/>
      <c r="DZ881" s="0"/>
      <c r="EA881" s="0"/>
      <c r="EB881" s="0"/>
      <c r="EC881" s="0"/>
      <c r="ED881" s="0"/>
      <c r="EE881" s="0"/>
      <c r="EF881" s="0"/>
      <c r="EG881" s="0"/>
      <c r="EH881" s="0"/>
      <c r="EI881" s="0"/>
      <c r="EJ881" s="0"/>
      <c r="EK881" s="0"/>
      <c r="EL881" s="0"/>
      <c r="EM881" s="0"/>
      <c r="EN881" s="0"/>
      <c r="EO881" s="0"/>
      <c r="EP881" s="0"/>
      <c r="EQ881" s="0"/>
      <c r="ER881" s="0"/>
      <c r="ES881" s="0"/>
      <c r="ET881" s="0"/>
      <c r="EU881" s="0"/>
      <c r="EV881" s="0"/>
      <c r="EW881" s="0"/>
      <c r="EX881" s="0"/>
      <c r="EY881" s="0"/>
      <c r="EZ881" s="0"/>
      <c r="FA881" s="0"/>
      <c r="FB881" s="0"/>
      <c r="FC881" s="0"/>
      <c r="FD881" s="0"/>
      <c r="FE881" s="0"/>
      <c r="FF881" s="0"/>
      <c r="FG881" s="0"/>
      <c r="FH881" s="0"/>
      <c r="FI881" s="0"/>
      <c r="FJ881" s="0"/>
      <c r="FK881" s="0"/>
      <c r="FL881" s="0"/>
      <c r="FM881" s="0"/>
      <c r="FN881" s="0"/>
      <c r="FO881" s="0"/>
      <c r="FP881" s="0"/>
      <c r="FQ881" s="0"/>
      <c r="FR881" s="0"/>
      <c r="FS881" s="0"/>
      <c r="FT881" s="0"/>
      <c r="FU881" s="0"/>
      <c r="FV881" s="0"/>
      <c r="FW881" s="0"/>
      <c r="FX881" s="0"/>
      <c r="FY881" s="0"/>
      <c r="FZ881" s="0"/>
      <c r="GA881" s="0"/>
      <c r="GB881" s="0"/>
      <c r="GC881" s="0"/>
      <c r="GD881" s="0"/>
      <c r="GE881" s="0"/>
      <c r="GF881" s="0"/>
      <c r="GG881" s="0"/>
      <c r="GH881" s="0"/>
      <c r="GI881" s="0"/>
      <c r="GJ881" s="0"/>
      <c r="GK881" s="0"/>
      <c r="GL881" s="0"/>
      <c r="GM881" s="0"/>
      <c r="GN881" s="0"/>
      <c r="GO881" s="0"/>
      <c r="GP881" s="0"/>
      <c r="GQ881" s="0"/>
      <c r="GR881" s="0"/>
      <c r="GS881" s="0"/>
      <c r="GT881" s="0"/>
      <c r="GU881" s="0"/>
      <c r="GV881" s="0"/>
      <c r="GW881" s="0"/>
      <c r="GX881" s="0"/>
      <c r="GY881" s="0"/>
      <c r="GZ881" s="0"/>
      <c r="HA881" s="0"/>
      <c r="HB881" s="0"/>
      <c r="HC881" s="0"/>
      <c r="HD881" s="0"/>
      <c r="HE881" s="0"/>
      <c r="HF881" s="0"/>
      <c r="HG881" s="0"/>
      <c r="HH881" s="0"/>
      <c r="HI881" s="0"/>
      <c r="HJ881" s="0"/>
      <c r="HK881" s="0"/>
      <c r="HL881" s="0"/>
      <c r="HM881" s="0"/>
      <c r="HN881" s="0"/>
      <c r="HO881" s="0"/>
      <c r="HP881" s="0"/>
      <c r="HQ881" s="0"/>
      <c r="HR881" s="0"/>
      <c r="HS881" s="0"/>
      <c r="HT881" s="0"/>
      <c r="HU881" s="0"/>
      <c r="HV881" s="0"/>
      <c r="HW881" s="0"/>
      <c r="HX881" s="0"/>
      <c r="HY881" s="0"/>
      <c r="HZ881" s="0"/>
      <c r="IA881" s="0"/>
      <c r="IB881" s="0"/>
      <c r="IC881" s="0"/>
      <c r="ID881" s="0"/>
      <c r="IE881" s="0"/>
      <c r="IF881" s="0"/>
      <c r="IG881" s="0"/>
      <c r="IH881" s="0"/>
      <c r="II881" s="0"/>
      <c r="IJ881" s="0"/>
      <c r="IK881" s="0"/>
      <c r="IL881" s="0"/>
      <c r="IM881" s="0"/>
      <c r="IN881" s="0"/>
      <c r="IO881" s="0"/>
      <c r="IP881" s="0"/>
      <c r="IQ881" s="0"/>
      <c r="IR881" s="0"/>
      <c r="IS881" s="0"/>
      <c r="IT881" s="0"/>
      <c r="IU881" s="0"/>
      <c r="IV881" s="0"/>
    </row>
    <row r="882" customFormat="false" ht="29.25" hidden="false" customHeight="true" outlineLevel="0" collapsed="false">
      <c r="A882" s="1265" t="s">
        <v>1619</v>
      </c>
      <c r="B882" s="1265"/>
      <c r="C882" s="1265"/>
      <c r="D882" s="1265"/>
      <c r="E882" s="1265"/>
      <c r="F882" s="651" t="s">
        <v>254</v>
      </c>
      <c r="G882" s="1262" t="n">
        <f aca="false">IF(F882="oui",2,0)</f>
        <v>0</v>
      </c>
      <c r="J882" s="11"/>
      <c r="K882" s="876"/>
      <c r="L882" s="654"/>
      <c r="M882" s="0"/>
      <c r="T882" s="0"/>
      <c r="U882" s="0"/>
      <c r="V882" s="0"/>
      <c r="W882" s="0"/>
      <c r="X882" s="0"/>
      <c r="Y882" s="0"/>
      <c r="Z882" s="0"/>
      <c r="AA882" s="0"/>
      <c r="AB882" s="0"/>
      <c r="AC882" s="0"/>
      <c r="AD882" s="0"/>
      <c r="AE882" s="0"/>
      <c r="AF882" s="0"/>
      <c r="AG882" s="0"/>
      <c r="AH882" s="0"/>
      <c r="AI882" s="0"/>
      <c r="AJ882" s="0"/>
      <c r="AK882" s="0"/>
      <c r="AL882" s="0"/>
      <c r="AM882" s="0"/>
      <c r="AN882" s="0"/>
      <c r="AO882" s="0"/>
      <c r="AP882" s="0"/>
      <c r="AQ882" s="0"/>
      <c r="AR882" s="0"/>
      <c r="AS882" s="0"/>
      <c r="AT882" s="0"/>
      <c r="AU882" s="0"/>
      <c r="AV882" s="0"/>
      <c r="AW882" s="0"/>
      <c r="AX882" s="0"/>
      <c r="AY882" s="0"/>
      <c r="AZ882" s="0"/>
      <c r="BA882" s="0"/>
      <c r="BB882" s="0"/>
      <c r="BC882" s="0"/>
      <c r="BD882" s="0"/>
      <c r="BE882" s="0"/>
      <c r="BF882" s="0"/>
      <c r="BG882" s="0"/>
      <c r="BH882" s="0"/>
      <c r="BI882" s="0"/>
      <c r="BJ882" s="0"/>
      <c r="BK882" s="0"/>
      <c r="BL882" s="0"/>
      <c r="BM882" s="0"/>
      <c r="BN882" s="0"/>
      <c r="BO882" s="0"/>
      <c r="BP882" s="0"/>
      <c r="BQ882" s="0"/>
      <c r="BR882" s="0"/>
      <c r="BS882" s="0"/>
      <c r="BT882" s="0"/>
      <c r="BU882" s="0"/>
      <c r="BV882" s="0"/>
      <c r="BW882" s="0"/>
      <c r="BX882" s="0"/>
      <c r="BY882" s="0"/>
      <c r="BZ882" s="0"/>
      <c r="CA882" s="0"/>
      <c r="CB882" s="0"/>
      <c r="CC882" s="0"/>
      <c r="CD882" s="0"/>
      <c r="CE882" s="0"/>
      <c r="CF882" s="0"/>
      <c r="CG882" s="0"/>
      <c r="CH882" s="0"/>
      <c r="CI882" s="0"/>
      <c r="CJ882" s="0"/>
      <c r="CK882" s="0"/>
      <c r="CL882" s="0"/>
      <c r="CM882" s="0"/>
      <c r="CN882" s="0"/>
      <c r="CO882" s="0"/>
      <c r="CP882" s="0"/>
      <c r="CQ882" s="0"/>
      <c r="CR882" s="0"/>
      <c r="CS882" s="0"/>
      <c r="CT882" s="0"/>
      <c r="CU882" s="0"/>
      <c r="CV882" s="0"/>
      <c r="CW882" s="0"/>
      <c r="CX882" s="0"/>
      <c r="CY882" s="0"/>
      <c r="CZ882" s="0"/>
      <c r="DA882" s="0"/>
      <c r="DB882" s="0"/>
      <c r="DC882" s="0"/>
      <c r="DD882" s="0"/>
      <c r="DE882" s="0"/>
      <c r="DF882" s="0"/>
      <c r="DG882" s="0"/>
      <c r="DH882" s="0"/>
      <c r="DI882" s="0"/>
      <c r="DJ882" s="0"/>
      <c r="DK882" s="0"/>
      <c r="DL882" s="0"/>
      <c r="DM882" s="0"/>
      <c r="DN882" s="0"/>
      <c r="DO882" s="0"/>
      <c r="DP882" s="0"/>
      <c r="DQ882" s="0"/>
      <c r="DR882" s="0"/>
      <c r="DS882" s="0"/>
      <c r="DT882" s="0"/>
      <c r="DU882" s="0"/>
      <c r="DV882" s="0"/>
      <c r="DW882" s="0"/>
      <c r="DX882" s="0"/>
      <c r="DY882" s="0"/>
      <c r="DZ882" s="0"/>
      <c r="EA882" s="0"/>
      <c r="EB882" s="0"/>
      <c r="EC882" s="0"/>
      <c r="ED882" s="0"/>
      <c r="EE882" s="0"/>
      <c r="EF882" s="0"/>
      <c r="EG882" s="0"/>
      <c r="EH882" s="0"/>
      <c r="EI882" s="0"/>
      <c r="EJ882" s="0"/>
      <c r="EK882" s="0"/>
      <c r="EL882" s="0"/>
      <c r="EM882" s="0"/>
      <c r="EN882" s="0"/>
      <c r="EO882" s="0"/>
      <c r="EP882" s="0"/>
      <c r="EQ882" s="0"/>
      <c r="ER882" s="0"/>
      <c r="ES882" s="0"/>
      <c r="ET882" s="0"/>
      <c r="EU882" s="0"/>
      <c r="EV882" s="0"/>
      <c r="EW882" s="0"/>
      <c r="EX882" s="0"/>
      <c r="EY882" s="0"/>
      <c r="EZ882" s="0"/>
      <c r="FA882" s="0"/>
      <c r="FB882" s="0"/>
      <c r="FC882" s="0"/>
      <c r="FD882" s="0"/>
      <c r="FE882" s="0"/>
      <c r="FF882" s="0"/>
      <c r="FG882" s="0"/>
      <c r="FH882" s="0"/>
      <c r="FI882" s="0"/>
      <c r="FJ882" s="0"/>
      <c r="FK882" s="0"/>
      <c r="FL882" s="0"/>
      <c r="FM882" s="0"/>
      <c r="FN882" s="0"/>
      <c r="FO882" s="0"/>
      <c r="FP882" s="0"/>
      <c r="FQ882" s="0"/>
      <c r="FR882" s="0"/>
      <c r="FS882" s="0"/>
      <c r="FT882" s="0"/>
      <c r="FU882" s="0"/>
      <c r="FV882" s="0"/>
      <c r="FW882" s="0"/>
      <c r="FX882" s="0"/>
      <c r="FY882" s="0"/>
      <c r="FZ882" s="0"/>
      <c r="GA882" s="0"/>
      <c r="GB882" s="0"/>
      <c r="GC882" s="0"/>
      <c r="GD882" s="0"/>
      <c r="GE882" s="0"/>
      <c r="GF882" s="0"/>
      <c r="GG882" s="0"/>
      <c r="GH882" s="0"/>
      <c r="GI882" s="0"/>
      <c r="GJ882" s="0"/>
      <c r="GK882" s="0"/>
      <c r="GL882" s="0"/>
      <c r="GM882" s="0"/>
      <c r="GN882" s="0"/>
      <c r="GO882" s="0"/>
      <c r="GP882" s="0"/>
      <c r="GQ882" s="0"/>
      <c r="GR882" s="0"/>
      <c r="GS882" s="0"/>
      <c r="GT882" s="0"/>
      <c r="GU882" s="0"/>
      <c r="GV882" s="0"/>
      <c r="GW882" s="0"/>
      <c r="GX882" s="0"/>
      <c r="GY882" s="0"/>
      <c r="GZ882" s="0"/>
      <c r="HA882" s="0"/>
      <c r="HB882" s="0"/>
      <c r="HC882" s="0"/>
      <c r="HD882" s="0"/>
      <c r="HE882" s="0"/>
      <c r="HF882" s="0"/>
      <c r="HG882" s="0"/>
      <c r="HH882" s="0"/>
      <c r="HI882" s="0"/>
      <c r="HJ882" s="0"/>
      <c r="HK882" s="0"/>
      <c r="HL882" s="0"/>
      <c r="HM882" s="0"/>
      <c r="HN882" s="0"/>
      <c r="HO882" s="0"/>
      <c r="HP882" s="0"/>
      <c r="HQ882" s="0"/>
      <c r="HR882" s="0"/>
      <c r="HS882" s="0"/>
      <c r="HT882" s="0"/>
      <c r="HU882" s="0"/>
      <c r="HV882" s="0"/>
      <c r="HW882" s="0"/>
      <c r="HX882" s="0"/>
      <c r="HY882" s="0"/>
      <c r="HZ882" s="0"/>
      <c r="IA882" s="0"/>
      <c r="IB882" s="0"/>
      <c r="IC882" s="0"/>
      <c r="ID882" s="0"/>
      <c r="IE882" s="0"/>
      <c r="IF882" s="0"/>
      <c r="IG882" s="0"/>
      <c r="IH882" s="0"/>
      <c r="II882" s="0"/>
      <c r="IJ882" s="0"/>
      <c r="IK882" s="0"/>
      <c r="IL882" s="0"/>
      <c r="IM882" s="0"/>
      <c r="IN882" s="0"/>
      <c r="IO882" s="0"/>
      <c r="IP882" s="0"/>
      <c r="IQ882" s="0"/>
      <c r="IR882" s="0"/>
      <c r="IS882" s="0"/>
      <c r="IT882" s="0"/>
      <c r="IU882" s="0"/>
      <c r="IV882" s="0"/>
    </row>
    <row r="883" customFormat="false" ht="15" hidden="false" customHeight="true" outlineLevel="0" collapsed="false">
      <c r="A883" s="1259" t="s">
        <v>1620</v>
      </c>
      <c r="B883" s="1266"/>
      <c r="C883" s="19"/>
      <c r="D883" s="19"/>
      <c r="E883" s="19"/>
      <c r="F883" s="651" t="s">
        <v>254</v>
      </c>
      <c r="G883" s="1262" t="n">
        <f aca="false">IF(F883="oui",2,0)</f>
        <v>0</v>
      </c>
      <c r="J883" s="11"/>
      <c r="K883" s="876"/>
      <c r="L883" s="654"/>
      <c r="M883" s="0"/>
      <c r="N883" s="0"/>
      <c r="O883" s="0"/>
      <c r="P883" s="0"/>
      <c r="Q883" s="0"/>
      <c r="R883" s="0"/>
      <c r="S883" s="0"/>
      <c r="T883" s="0"/>
      <c r="U883" s="0"/>
      <c r="V883" s="0"/>
      <c r="W883" s="0"/>
      <c r="X883" s="0"/>
      <c r="Y883" s="0"/>
      <c r="Z883" s="0"/>
      <c r="AA883" s="0"/>
      <c r="AB883" s="0"/>
      <c r="AC883" s="0"/>
      <c r="AD883" s="0"/>
      <c r="AE883" s="0"/>
      <c r="AF883" s="0"/>
      <c r="AG883" s="0"/>
      <c r="AH883" s="0"/>
      <c r="AI883" s="0"/>
      <c r="AJ883" s="0"/>
      <c r="AK883" s="0"/>
      <c r="AL883" s="0"/>
      <c r="AM883" s="0"/>
      <c r="AN883" s="0"/>
      <c r="AO883" s="0"/>
      <c r="AP883" s="0"/>
      <c r="AQ883" s="0"/>
      <c r="AR883" s="0"/>
      <c r="AS883" s="0"/>
      <c r="AT883" s="0"/>
      <c r="AU883" s="0"/>
      <c r="AV883" s="0"/>
      <c r="AW883" s="0"/>
      <c r="AX883" s="0"/>
      <c r="AY883" s="0"/>
      <c r="AZ883" s="0"/>
      <c r="BA883" s="0"/>
      <c r="BB883" s="0"/>
      <c r="BC883" s="0"/>
      <c r="BD883" s="0"/>
      <c r="BE883" s="0"/>
      <c r="BF883" s="0"/>
      <c r="BG883" s="0"/>
      <c r="BH883" s="0"/>
      <c r="BI883" s="0"/>
      <c r="BJ883" s="0"/>
      <c r="BK883" s="0"/>
      <c r="BL883" s="0"/>
      <c r="BM883" s="0"/>
      <c r="BN883" s="0"/>
      <c r="BO883" s="0"/>
      <c r="BP883" s="0"/>
      <c r="BQ883" s="0"/>
      <c r="BR883" s="0"/>
      <c r="BS883" s="0"/>
      <c r="BT883" s="0"/>
      <c r="BU883" s="0"/>
      <c r="BV883" s="0"/>
      <c r="BW883" s="0"/>
      <c r="BX883" s="0"/>
      <c r="BY883" s="0"/>
      <c r="BZ883" s="0"/>
      <c r="CA883" s="0"/>
      <c r="CB883" s="0"/>
      <c r="CC883" s="0"/>
      <c r="CD883" s="0"/>
      <c r="CE883" s="0"/>
      <c r="CF883" s="0"/>
      <c r="CG883" s="0"/>
      <c r="CH883" s="0"/>
      <c r="CI883" s="0"/>
      <c r="CJ883" s="0"/>
      <c r="CK883" s="0"/>
      <c r="CL883" s="0"/>
      <c r="CM883" s="0"/>
      <c r="CN883" s="0"/>
      <c r="CO883" s="0"/>
      <c r="CP883" s="0"/>
      <c r="CQ883" s="0"/>
      <c r="CR883" s="0"/>
      <c r="CS883" s="0"/>
      <c r="CT883" s="0"/>
      <c r="CU883" s="0"/>
      <c r="CV883" s="0"/>
      <c r="CW883" s="0"/>
      <c r="CX883" s="0"/>
      <c r="CY883" s="0"/>
      <c r="CZ883" s="0"/>
      <c r="DA883" s="0"/>
      <c r="DB883" s="0"/>
      <c r="DC883" s="0"/>
      <c r="DD883" s="0"/>
      <c r="DE883" s="0"/>
      <c r="DF883" s="0"/>
      <c r="DG883" s="0"/>
      <c r="DH883" s="0"/>
      <c r="DI883" s="0"/>
      <c r="DJ883" s="0"/>
      <c r="DK883" s="0"/>
      <c r="DL883" s="0"/>
      <c r="DM883" s="0"/>
      <c r="DN883" s="0"/>
      <c r="DO883" s="0"/>
      <c r="DP883" s="0"/>
      <c r="DQ883" s="0"/>
      <c r="DR883" s="0"/>
      <c r="DS883" s="0"/>
      <c r="DT883" s="0"/>
      <c r="DU883" s="0"/>
      <c r="DV883" s="0"/>
      <c r="DW883" s="0"/>
      <c r="DX883" s="0"/>
      <c r="DY883" s="0"/>
      <c r="DZ883" s="0"/>
      <c r="EA883" s="0"/>
      <c r="EB883" s="0"/>
      <c r="EC883" s="0"/>
      <c r="ED883" s="0"/>
      <c r="EE883" s="0"/>
      <c r="EF883" s="0"/>
      <c r="EG883" s="0"/>
      <c r="EH883" s="0"/>
      <c r="EI883" s="0"/>
      <c r="EJ883" s="0"/>
      <c r="EK883" s="0"/>
      <c r="EL883" s="0"/>
      <c r="EM883" s="0"/>
      <c r="EN883" s="0"/>
      <c r="EO883" s="0"/>
      <c r="EP883" s="0"/>
      <c r="EQ883" s="0"/>
      <c r="ER883" s="0"/>
      <c r="ES883" s="0"/>
      <c r="ET883" s="0"/>
      <c r="EU883" s="0"/>
      <c r="EV883" s="0"/>
      <c r="EW883" s="0"/>
      <c r="EX883" s="0"/>
      <c r="EY883" s="0"/>
      <c r="EZ883" s="0"/>
      <c r="FA883" s="0"/>
      <c r="FB883" s="0"/>
      <c r="FC883" s="0"/>
      <c r="FD883" s="0"/>
      <c r="FE883" s="0"/>
      <c r="FF883" s="0"/>
      <c r="FG883" s="0"/>
      <c r="FH883" s="0"/>
      <c r="FI883" s="0"/>
      <c r="FJ883" s="0"/>
      <c r="FK883" s="0"/>
      <c r="FL883" s="0"/>
      <c r="FM883" s="0"/>
      <c r="FN883" s="0"/>
      <c r="FO883" s="0"/>
      <c r="FP883" s="0"/>
      <c r="FQ883" s="0"/>
      <c r="FR883" s="0"/>
      <c r="FS883" s="0"/>
      <c r="FT883" s="0"/>
      <c r="FU883" s="0"/>
      <c r="FV883" s="0"/>
      <c r="FW883" s="0"/>
      <c r="FX883" s="0"/>
      <c r="FY883" s="0"/>
      <c r="FZ883" s="0"/>
      <c r="GA883" s="0"/>
      <c r="GB883" s="0"/>
      <c r="GC883" s="0"/>
      <c r="GD883" s="0"/>
      <c r="GE883" s="0"/>
      <c r="GF883" s="0"/>
      <c r="GG883" s="0"/>
      <c r="GH883" s="0"/>
      <c r="GI883" s="0"/>
      <c r="GJ883" s="0"/>
      <c r="GK883" s="0"/>
      <c r="GL883" s="0"/>
      <c r="GM883" s="0"/>
      <c r="GN883" s="0"/>
      <c r="GO883" s="0"/>
      <c r="GP883" s="0"/>
      <c r="GQ883" s="0"/>
      <c r="GR883" s="0"/>
      <c r="GS883" s="0"/>
      <c r="GT883" s="0"/>
      <c r="GU883" s="0"/>
      <c r="GV883" s="0"/>
      <c r="GW883" s="0"/>
      <c r="GX883" s="0"/>
      <c r="GY883" s="0"/>
      <c r="GZ883" s="0"/>
      <c r="HA883" s="0"/>
      <c r="HB883" s="0"/>
      <c r="HC883" s="0"/>
      <c r="HD883" s="0"/>
      <c r="HE883" s="0"/>
      <c r="HF883" s="0"/>
      <c r="HG883" s="0"/>
      <c r="HH883" s="0"/>
      <c r="HI883" s="0"/>
      <c r="HJ883" s="0"/>
      <c r="HK883" s="0"/>
      <c r="HL883" s="0"/>
      <c r="HM883" s="0"/>
      <c r="HN883" s="0"/>
      <c r="HO883" s="0"/>
      <c r="HP883" s="0"/>
      <c r="HQ883" s="0"/>
      <c r="HR883" s="0"/>
      <c r="HS883" s="0"/>
      <c r="HT883" s="0"/>
      <c r="HU883" s="0"/>
      <c r="HV883" s="0"/>
      <c r="HW883" s="0"/>
      <c r="HX883" s="0"/>
      <c r="HY883" s="0"/>
      <c r="HZ883" s="0"/>
      <c r="IA883" s="0"/>
      <c r="IB883" s="0"/>
      <c r="IC883" s="0"/>
      <c r="ID883" s="0"/>
      <c r="IE883" s="0"/>
      <c r="IF883" s="0"/>
      <c r="IG883" s="0"/>
      <c r="IH883" s="0"/>
      <c r="II883" s="0"/>
      <c r="IJ883" s="0"/>
      <c r="IK883" s="0"/>
      <c r="IL883" s="0"/>
      <c r="IM883" s="0"/>
      <c r="IN883" s="0"/>
      <c r="IO883" s="0"/>
      <c r="IP883" s="0"/>
      <c r="IQ883" s="0"/>
      <c r="IR883" s="0"/>
      <c r="IS883" s="0"/>
      <c r="IT883" s="0"/>
      <c r="IU883" s="0"/>
      <c r="IV883" s="0"/>
    </row>
    <row r="884" customFormat="false" ht="15.75" hidden="false" customHeight="true" outlineLevel="0" collapsed="false">
      <c r="A884" s="19" t="s">
        <v>1621</v>
      </c>
      <c r="B884" s="1258"/>
      <c r="C884" s="1258"/>
      <c r="D884" s="1258"/>
      <c r="E884" s="1258"/>
      <c r="F884" s="651"/>
      <c r="G884" s="1262" t="n">
        <f aca="false">IF(F884="oui",2,0)</f>
        <v>0</v>
      </c>
      <c r="J884" s="1146"/>
      <c r="K884" s="876"/>
      <c r="L884" s="654"/>
      <c r="M884" s="0"/>
      <c r="N884" s="0"/>
      <c r="O884" s="0"/>
      <c r="P884" s="0"/>
      <c r="Q884" s="0"/>
      <c r="R884" s="0"/>
      <c r="S884" s="0"/>
      <c r="T884" s="0"/>
      <c r="U884" s="0"/>
      <c r="V884" s="0"/>
      <c r="W884" s="0"/>
      <c r="X884" s="0"/>
      <c r="Y884" s="0"/>
      <c r="Z884" s="0"/>
      <c r="AA884" s="0"/>
      <c r="AB884" s="0"/>
      <c r="AC884" s="0"/>
      <c r="AD884" s="0"/>
      <c r="AE884" s="0"/>
      <c r="AF884" s="0"/>
      <c r="AG884" s="0"/>
      <c r="AH884" s="0"/>
      <c r="AI884" s="0"/>
      <c r="AJ884" s="0"/>
      <c r="AK884" s="0"/>
      <c r="AL884" s="0"/>
      <c r="AM884" s="0"/>
      <c r="AN884" s="0"/>
      <c r="AO884" s="0"/>
      <c r="AP884" s="0"/>
      <c r="AQ884" s="0"/>
      <c r="AR884" s="0"/>
      <c r="AS884" s="0"/>
      <c r="AT884" s="0"/>
      <c r="AU884" s="0"/>
      <c r="AV884" s="0"/>
      <c r="AW884" s="0"/>
      <c r="AX884" s="0"/>
      <c r="AY884" s="0"/>
      <c r="AZ884" s="0"/>
      <c r="BA884" s="0"/>
      <c r="BB884" s="0"/>
      <c r="BC884" s="0"/>
      <c r="BD884" s="0"/>
      <c r="BE884" s="0"/>
      <c r="BF884" s="0"/>
      <c r="BG884" s="0"/>
      <c r="BH884" s="0"/>
      <c r="BI884" s="0"/>
      <c r="BJ884" s="0"/>
      <c r="BK884" s="0"/>
      <c r="BL884" s="0"/>
      <c r="BM884" s="0"/>
      <c r="BN884" s="0"/>
      <c r="BO884" s="0"/>
      <c r="BP884" s="0"/>
      <c r="BQ884" s="0"/>
      <c r="BR884" s="0"/>
      <c r="BS884" s="0"/>
      <c r="BT884" s="0"/>
      <c r="BU884" s="0"/>
      <c r="BV884" s="0"/>
      <c r="BW884" s="0"/>
      <c r="BX884" s="0"/>
      <c r="BY884" s="0"/>
      <c r="BZ884" s="0"/>
      <c r="CA884" s="0"/>
      <c r="CB884" s="0"/>
      <c r="CC884" s="0"/>
      <c r="CD884" s="0"/>
      <c r="CE884" s="0"/>
      <c r="CF884" s="0"/>
      <c r="CG884" s="0"/>
      <c r="CH884" s="0"/>
      <c r="CI884" s="0"/>
      <c r="CJ884" s="0"/>
      <c r="CK884" s="0"/>
      <c r="CL884" s="0"/>
      <c r="CM884" s="0"/>
      <c r="CN884" s="0"/>
      <c r="CO884" s="0"/>
      <c r="CP884" s="0"/>
      <c r="CQ884" s="0"/>
      <c r="CR884" s="0"/>
      <c r="CS884" s="0"/>
      <c r="CT884" s="0"/>
      <c r="CU884" s="0"/>
      <c r="CV884" s="0"/>
      <c r="CW884" s="0"/>
      <c r="CX884" s="0"/>
      <c r="CY884" s="0"/>
      <c r="CZ884" s="0"/>
      <c r="DA884" s="0"/>
      <c r="DB884" s="0"/>
      <c r="DC884" s="0"/>
      <c r="DD884" s="0"/>
      <c r="DE884" s="0"/>
      <c r="DF884" s="0"/>
      <c r="DG884" s="0"/>
      <c r="DH884" s="0"/>
      <c r="DI884" s="0"/>
      <c r="DJ884" s="0"/>
      <c r="DK884" s="0"/>
      <c r="DL884" s="0"/>
      <c r="DM884" s="0"/>
      <c r="DN884" s="0"/>
      <c r="DO884" s="0"/>
      <c r="DP884" s="0"/>
      <c r="DQ884" s="0"/>
      <c r="DR884" s="0"/>
      <c r="DS884" s="0"/>
      <c r="DT884" s="0"/>
      <c r="DU884" s="0"/>
      <c r="DV884" s="0"/>
      <c r="DW884" s="0"/>
      <c r="DX884" s="0"/>
      <c r="DY884" s="0"/>
      <c r="DZ884" s="0"/>
      <c r="EA884" s="0"/>
      <c r="EB884" s="0"/>
      <c r="EC884" s="0"/>
      <c r="ED884" s="0"/>
      <c r="EE884" s="0"/>
      <c r="EF884" s="0"/>
      <c r="EG884" s="0"/>
      <c r="EH884" s="0"/>
      <c r="EI884" s="0"/>
      <c r="EJ884" s="0"/>
      <c r="EK884" s="0"/>
      <c r="EL884" s="0"/>
      <c r="EM884" s="0"/>
      <c r="EN884" s="0"/>
      <c r="EO884" s="0"/>
      <c r="EP884" s="0"/>
      <c r="EQ884" s="0"/>
      <c r="ER884" s="0"/>
      <c r="ES884" s="0"/>
      <c r="ET884" s="0"/>
      <c r="EU884" s="0"/>
      <c r="EV884" s="0"/>
      <c r="EW884" s="0"/>
      <c r="EX884" s="0"/>
      <c r="EY884" s="0"/>
      <c r="EZ884" s="0"/>
      <c r="FA884" s="0"/>
      <c r="FB884" s="0"/>
      <c r="FC884" s="0"/>
      <c r="FD884" s="0"/>
      <c r="FE884" s="0"/>
      <c r="FF884" s="0"/>
      <c r="FG884" s="0"/>
      <c r="FH884" s="0"/>
      <c r="FI884" s="0"/>
      <c r="FJ884" s="0"/>
      <c r="FK884" s="0"/>
      <c r="FL884" s="0"/>
      <c r="FM884" s="0"/>
      <c r="FN884" s="0"/>
      <c r="FO884" s="0"/>
      <c r="FP884" s="0"/>
      <c r="FQ884" s="0"/>
      <c r="FR884" s="0"/>
      <c r="FS884" s="0"/>
      <c r="FT884" s="0"/>
      <c r="FU884" s="0"/>
      <c r="FV884" s="0"/>
      <c r="FW884" s="0"/>
      <c r="FX884" s="0"/>
      <c r="FY884" s="0"/>
      <c r="FZ884" s="0"/>
      <c r="GA884" s="0"/>
      <c r="GB884" s="0"/>
      <c r="GC884" s="0"/>
      <c r="GD884" s="0"/>
      <c r="GE884" s="0"/>
      <c r="GF884" s="0"/>
      <c r="GG884" s="0"/>
      <c r="GH884" s="0"/>
      <c r="GI884" s="0"/>
      <c r="GJ884" s="0"/>
      <c r="GK884" s="0"/>
      <c r="GL884" s="0"/>
      <c r="GM884" s="0"/>
      <c r="GN884" s="0"/>
      <c r="GO884" s="0"/>
      <c r="GP884" s="0"/>
      <c r="GQ884" s="0"/>
      <c r="GR884" s="0"/>
      <c r="GS884" s="0"/>
      <c r="GT884" s="0"/>
      <c r="GU884" s="0"/>
      <c r="GV884" s="0"/>
      <c r="GW884" s="0"/>
      <c r="GX884" s="0"/>
      <c r="GY884" s="0"/>
      <c r="GZ884" s="0"/>
      <c r="HA884" s="0"/>
      <c r="HB884" s="0"/>
      <c r="HC884" s="0"/>
      <c r="HD884" s="0"/>
      <c r="HE884" s="0"/>
      <c r="HF884" s="0"/>
      <c r="HG884" s="0"/>
      <c r="HH884" s="0"/>
      <c r="HI884" s="0"/>
      <c r="HJ884" s="0"/>
      <c r="HK884" s="0"/>
      <c r="HL884" s="0"/>
      <c r="HM884" s="0"/>
      <c r="HN884" s="0"/>
      <c r="HO884" s="0"/>
      <c r="HP884" s="0"/>
      <c r="HQ884" s="0"/>
      <c r="HR884" s="0"/>
      <c r="HS884" s="0"/>
      <c r="HT884" s="0"/>
      <c r="HU884" s="0"/>
      <c r="HV884" s="0"/>
      <c r="HW884" s="0"/>
      <c r="HX884" s="0"/>
      <c r="HY884" s="0"/>
      <c r="HZ884" s="0"/>
      <c r="IA884" s="0"/>
      <c r="IB884" s="0"/>
      <c r="IC884" s="0"/>
      <c r="ID884" s="0"/>
      <c r="IE884" s="0"/>
      <c r="IF884" s="0"/>
      <c r="IG884" s="0"/>
      <c r="IH884" s="0"/>
      <c r="II884" s="0"/>
      <c r="IJ884" s="0"/>
      <c r="IK884" s="0"/>
      <c r="IL884" s="0"/>
      <c r="IM884" s="0"/>
      <c r="IN884" s="0"/>
      <c r="IO884" s="0"/>
      <c r="IP884" s="0"/>
      <c r="IQ884" s="0"/>
      <c r="IR884" s="0"/>
      <c r="IS884" s="0"/>
      <c r="IT884" s="0"/>
      <c r="IU884" s="0"/>
      <c r="IV884" s="0"/>
    </row>
    <row r="885" customFormat="false" ht="15.75" hidden="false" customHeight="true" outlineLevel="0" collapsed="false">
      <c r="A885" s="307"/>
      <c r="B885" s="1267"/>
      <c r="C885" s="307"/>
      <c r="D885" s="307"/>
      <c r="E885" s="307"/>
      <c r="F885" s="1119" t="n">
        <f aca="false">MIN(6,SUM(G877:G884))</f>
        <v>2</v>
      </c>
      <c r="G885" s="307"/>
      <c r="J885" s="667"/>
      <c r="K885" s="876"/>
      <c r="L885" s="654"/>
      <c r="M885" s="0"/>
      <c r="N885" s="0"/>
      <c r="O885" s="0"/>
      <c r="P885" s="0"/>
      <c r="Q885" s="0"/>
      <c r="R885" s="0"/>
      <c r="S885" s="0"/>
      <c r="T885" s="0"/>
      <c r="U885" s="0"/>
      <c r="V885" s="0"/>
      <c r="W885" s="0"/>
      <c r="X885" s="0"/>
      <c r="Y885" s="0"/>
      <c r="Z885" s="0"/>
      <c r="AA885" s="0"/>
      <c r="AB885" s="0"/>
      <c r="AC885" s="0"/>
      <c r="AD885" s="0"/>
      <c r="AE885" s="0"/>
      <c r="AF885" s="0"/>
      <c r="AG885" s="0"/>
      <c r="AH885" s="0"/>
      <c r="AI885" s="0"/>
      <c r="AJ885" s="0"/>
      <c r="AK885" s="0"/>
      <c r="AL885" s="0"/>
      <c r="AM885" s="0"/>
      <c r="AN885" s="0"/>
      <c r="AO885" s="0"/>
      <c r="AP885" s="0"/>
      <c r="AQ885" s="0"/>
      <c r="AR885" s="0"/>
      <c r="AS885" s="0"/>
      <c r="AT885" s="0"/>
      <c r="AU885" s="0"/>
      <c r="AV885" s="0"/>
      <c r="AW885" s="0"/>
      <c r="AX885" s="0"/>
      <c r="AY885" s="0"/>
      <c r="AZ885" s="0"/>
      <c r="BA885" s="0"/>
      <c r="BB885" s="0"/>
      <c r="BC885" s="0"/>
      <c r="BD885" s="0"/>
      <c r="BE885" s="0"/>
      <c r="BF885" s="0"/>
      <c r="BG885" s="0"/>
      <c r="BH885" s="0"/>
      <c r="BI885" s="0"/>
      <c r="BJ885" s="0"/>
      <c r="BK885" s="0"/>
      <c r="BL885" s="0"/>
      <c r="BM885" s="0"/>
      <c r="BN885" s="0"/>
      <c r="BO885" s="0"/>
      <c r="BP885" s="0"/>
      <c r="BQ885" s="0"/>
      <c r="BR885" s="0"/>
      <c r="BS885" s="0"/>
      <c r="BT885" s="0"/>
      <c r="BU885" s="0"/>
      <c r="BV885" s="0"/>
      <c r="BW885" s="0"/>
      <c r="BX885" s="0"/>
      <c r="BY885" s="0"/>
      <c r="BZ885" s="0"/>
      <c r="CA885" s="0"/>
      <c r="CB885" s="0"/>
      <c r="CC885" s="0"/>
      <c r="CD885" s="0"/>
      <c r="CE885" s="0"/>
      <c r="CF885" s="0"/>
      <c r="CG885" s="0"/>
      <c r="CH885" s="0"/>
      <c r="CI885" s="0"/>
      <c r="CJ885" s="0"/>
      <c r="CK885" s="0"/>
      <c r="CL885" s="0"/>
      <c r="CM885" s="0"/>
      <c r="CN885" s="0"/>
      <c r="CO885" s="0"/>
      <c r="CP885" s="0"/>
      <c r="CQ885" s="0"/>
      <c r="CR885" s="0"/>
      <c r="CS885" s="0"/>
      <c r="CT885" s="0"/>
      <c r="CU885" s="0"/>
      <c r="CV885" s="0"/>
      <c r="CW885" s="0"/>
      <c r="CX885" s="0"/>
      <c r="CY885" s="0"/>
      <c r="CZ885" s="0"/>
      <c r="DA885" s="0"/>
      <c r="DB885" s="0"/>
      <c r="DC885" s="0"/>
      <c r="DD885" s="0"/>
      <c r="DE885" s="0"/>
      <c r="DF885" s="0"/>
      <c r="DG885" s="0"/>
      <c r="DH885" s="0"/>
      <c r="DI885" s="0"/>
      <c r="DJ885" s="0"/>
      <c r="DK885" s="0"/>
      <c r="DL885" s="0"/>
      <c r="DM885" s="0"/>
      <c r="DN885" s="0"/>
      <c r="DO885" s="0"/>
      <c r="DP885" s="0"/>
      <c r="DQ885" s="0"/>
      <c r="DR885" s="0"/>
      <c r="DS885" s="0"/>
      <c r="DT885" s="0"/>
      <c r="DU885" s="0"/>
      <c r="DV885" s="0"/>
      <c r="DW885" s="0"/>
      <c r="DX885" s="0"/>
      <c r="DY885" s="0"/>
      <c r="DZ885" s="0"/>
      <c r="EA885" s="0"/>
      <c r="EB885" s="0"/>
      <c r="EC885" s="0"/>
      <c r="ED885" s="0"/>
      <c r="EE885" s="0"/>
      <c r="EF885" s="0"/>
      <c r="EG885" s="0"/>
      <c r="EH885" s="0"/>
      <c r="EI885" s="0"/>
      <c r="EJ885" s="0"/>
      <c r="EK885" s="0"/>
      <c r="EL885" s="0"/>
      <c r="EM885" s="0"/>
      <c r="EN885" s="0"/>
      <c r="EO885" s="0"/>
      <c r="EP885" s="0"/>
      <c r="EQ885" s="0"/>
      <c r="ER885" s="0"/>
      <c r="ES885" s="0"/>
      <c r="ET885" s="0"/>
      <c r="EU885" s="0"/>
      <c r="EV885" s="0"/>
      <c r="EW885" s="0"/>
      <c r="EX885" s="0"/>
      <c r="EY885" s="0"/>
      <c r="EZ885" s="0"/>
      <c r="FA885" s="0"/>
      <c r="FB885" s="0"/>
      <c r="FC885" s="0"/>
      <c r="FD885" s="0"/>
      <c r="FE885" s="0"/>
      <c r="FF885" s="0"/>
      <c r="FG885" s="0"/>
      <c r="FH885" s="0"/>
      <c r="FI885" s="0"/>
      <c r="FJ885" s="0"/>
      <c r="FK885" s="0"/>
      <c r="FL885" s="0"/>
      <c r="FM885" s="0"/>
      <c r="FN885" s="0"/>
      <c r="FO885" s="0"/>
      <c r="FP885" s="0"/>
      <c r="FQ885" s="0"/>
      <c r="FR885" s="0"/>
      <c r="FS885" s="0"/>
      <c r="FT885" s="0"/>
      <c r="FU885" s="0"/>
      <c r="FV885" s="0"/>
      <c r="FW885" s="0"/>
      <c r="FX885" s="0"/>
      <c r="FY885" s="0"/>
      <c r="FZ885" s="0"/>
      <c r="GA885" s="0"/>
      <c r="GB885" s="0"/>
      <c r="GC885" s="0"/>
      <c r="GD885" s="0"/>
      <c r="GE885" s="0"/>
      <c r="GF885" s="0"/>
      <c r="GG885" s="0"/>
      <c r="GH885" s="0"/>
      <c r="GI885" s="0"/>
      <c r="GJ885" s="0"/>
      <c r="GK885" s="0"/>
      <c r="GL885" s="0"/>
      <c r="GM885" s="0"/>
      <c r="GN885" s="0"/>
      <c r="GO885" s="0"/>
      <c r="GP885" s="0"/>
      <c r="GQ885" s="0"/>
      <c r="GR885" s="0"/>
      <c r="GS885" s="0"/>
      <c r="GT885" s="0"/>
      <c r="GU885" s="0"/>
      <c r="GV885" s="0"/>
      <c r="GW885" s="0"/>
      <c r="GX885" s="0"/>
      <c r="GY885" s="0"/>
      <c r="GZ885" s="0"/>
      <c r="HA885" s="0"/>
      <c r="HB885" s="0"/>
      <c r="HC885" s="0"/>
      <c r="HD885" s="0"/>
      <c r="HE885" s="0"/>
      <c r="HF885" s="0"/>
      <c r="HG885" s="0"/>
      <c r="HH885" s="0"/>
      <c r="HI885" s="0"/>
      <c r="HJ885" s="0"/>
      <c r="HK885" s="0"/>
      <c r="HL885" s="0"/>
      <c r="HM885" s="0"/>
      <c r="HN885" s="0"/>
      <c r="HO885" s="0"/>
      <c r="HP885" s="0"/>
      <c r="HQ885" s="0"/>
      <c r="HR885" s="0"/>
      <c r="HS885" s="0"/>
      <c r="HT885" s="0"/>
      <c r="HU885" s="0"/>
      <c r="HV885" s="0"/>
      <c r="HW885" s="0"/>
      <c r="HX885" s="0"/>
      <c r="HY885" s="0"/>
      <c r="HZ885" s="0"/>
      <c r="IA885" s="0"/>
      <c r="IB885" s="0"/>
      <c r="IC885" s="0"/>
      <c r="ID885" s="0"/>
      <c r="IE885" s="0"/>
      <c r="IF885" s="0"/>
      <c r="IG885" s="0"/>
      <c r="IH885" s="0"/>
      <c r="II885" s="0"/>
      <c r="IJ885" s="0"/>
      <c r="IK885" s="0"/>
      <c r="IL885" s="0"/>
      <c r="IM885" s="0"/>
      <c r="IN885" s="0"/>
      <c r="IO885" s="0"/>
      <c r="IP885" s="0"/>
      <c r="IQ885" s="0"/>
      <c r="IR885" s="0"/>
      <c r="IS885" s="0"/>
      <c r="IT885" s="0"/>
      <c r="IU885" s="0"/>
      <c r="IV885" s="0"/>
    </row>
    <row r="886" customFormat="false" ht="15" hidden="false" customHeight="true" outlineLevel="0" collapsed="false">
      <c r="J886" s="11"/>
      <c r="K886" s="876"/>
      <c r="L886" s="877"/>
      <c r="M886" s="0"/>
      <c r="N886" s="0"/>
      <c r="O886" s="0"/>
      <c r="P886" s="0"/>
      <c r="Q886" s="0"/>
      <c r="R886" s="0"/>
      <c r="S886" s="0"/>
      <c r="T886" s="0"/>
      <c r="U886" s="0"/>
      <c r="V886" s="0"/>
      <c r="W886" s="0"/>
      <c r="X886" s="0"/>
      <c r="Y886" s="0"/>
      <c r="Z886" s="0"/>
      <c r="AA886" s="0"/>
      <c r="AB886" s="0"/>
      <c r="AC886" s="0"/>
      <c r="AD886" s="0"/>
      <c r="AE886" s="0"/>
      <c r="AF886" s="0"/>
      <c r="AG886" s="0"/>
      <c r="AH886" s="0"/>
      <c r="AI886" s="0"/>
      <c r="AJ886" s="0"/>
      <c r="AK886" s="0"/>
      <c r="AL886" s="0"/>
      <c r="AM886" s="0"/>
      <c r="AN886" s="0"/>
      <c r="AO886" s="0"/>
      <c r="AP886" s="0"/>
      <c r="AQ886" s="0"/>
      <c r="AR886" s="0"/>
      <c r="AS886" s="0"/>
      <c r="AT886" s="0"/>
      <c r="AU886" s="0"/>
      <c r="AV886" s="0"/>
      <c r="AW886" s="0"/>
      <c r="AX886" s="0"/>
      <c r="AY886" s="0"/>
      <c r="AZ886" s="0"/>
      <c r="BA886" s="0"/>
      <c r="BB886" s="0"/>
      <c r="BC886" s="0"/>
      <c r="BD886" s="0"/>
      <c r="BE886" s="0"/>
      <c r="BF886" s="0"/>
      <c r="BG886" s="0"/>
      <c r="BH886" s="0"/>
      <c r="BI886" s="0"/>
      <c r="BJ886" s="0"/>
      <c r="BK886" s="0"/>
      <c r="BL886" s="0"/>
      <c r="BM886" s="0"/>
      <c r="BN886" s="0"/>
      <c r="BO886" s="0"/>
      <c r="BP886" s="0"/>
      <c r="BQ886" s="0"/>
      <c r="BR886" s="0"/>
      <c r="BS886" s="0"/>
      <c r="BT886" s="0"/>
      <c r="BU886" s="0"/>
      <c r="BV886" s="0"/>
      <c r="BW886" s="0"/>
      <c r="BX886" s="0"/>
      <c r="BY886" s="0"/>
      <c r="BZ886" s="0"/>
      <c r="CA886" s="0"/>
      <c r="CB886" s="0"/>
      <c r="CC886" s="0"/>
      <c r="CD886" s="0"/>
      <c r="CE886" s="0"/>
      <c r="CF886" s="0"/>
      <c r="CG886" s="0"/>
      <c r="CH886" s="0"/>
      <c r="CI886" s="0"/>
      <c r="CJ886" s="0"/>
      <c r="CK886" s="0"/>
      <c r="CL886" s="0"/>
      <c r="CM886" s="0"/>
      <c r="CN886" s="0"/>
      <c r="CO886" s="0"/>
      <c r="CP886" s="0"/>
      <c r="CQ886" s="0"/>
      <c r="CR886" s="0"/>
      <c r="CS886" s="0"/>
      <c r="CT886" s="0"/>
      <c r="CU886" s="0"/>
      <c r="CV886" s="0"/>
      <c r="CW886" s="0"/>
      <c r="CX886" s="0"/>
      <c r="CY886" s="0"/>
      <c r="CZ886" s="0"/>
      <c r="DA886" s="0"/>
      <c r="DB886" s="0"/>
      <c r="DC886" s="0"/>
      <c r="DD886" s="0"/>
      <c r="DE886" s="0"/>
      <c r="DF886" s="0"/>
      <c r="DG886" s="0"/>
      <c r="DH886" s="0"/>
      <c r="DI886" s="0"/>
      <c r="DJ886" s="0"/>
      <c r="DK886" s="0"/>
      <c r="DL886" s="0"/>
      <c r="DM886" s="0"/>
      <c r="DN886" s="0"/>
      <c r="DO886" s="0"/>
      <c r="DP886" s="0"/>
      <c r="DQ886" s="0"/>
      <c r="DR886" s="0"/>
      <c r="DS886" s="0"/>
      <c r="DT886" s="0"/>
      <c r="DU886" s="0"/>
      <c r="DV886" s="0"/>
      <c r="DW886" s="0"/>
      <c r="DX886" s="0"/>
      <c r="DY886" s="0"/>
      <c r="DZ886" s="0"/>
      <c r="EA886" s="0"/>
      <c r="EB886" s="0"/>
      <c r="EC886" s="0"/>
      <c r="ED886" s="0"/>
      <c r="EE886" s="0"/>
      <c r="EF886" s="0"/>
      <c r="EG886" s="0"/>
      <c r="EH886" s="0"/>
      <c r="EI886" s="0"/>
      <c r="EJ886" s="0"/>
      <c r="EK886" s="0"/>
      <c r="EL886" s="0"/>
      <c r="EM886" s="0"/>
      <c r="EN886" s="0"/>
      <c r="EO886" s="0"/>
      <c r="EP886" s="0"/>
      <c r="EQ886" s="0"/>
      <c r="ER886" s="0"/>
      <c r="ES886" s="0"/>
      <c r="ET886" s="0"/>
      <c r="EU886" s="0"/>
      <c r="EV886" s="0"/>
      <c r="EW886" s="0"/>
      <c r="EX886" s="0"/>
      <c r="EY886" s="0"/>
      <c r="EZ886" s="0"/>
      <c r="FA886" s="0"/>
      <c r="FB886" s="0"/>
      <c r="FC886" s="0"/>
      <c r="FD886" s="0"/>
      <c r="FE886" s="0"/>
      <c r="FF886" s="0"/>
      <c r="FG886" s="0"/>
      <c r="FH886" s="0"/>
      <c r="FI886" s="0"/>
      <c r="FJ886" s="0"/>
      <c r="FK886" s="0"/>
      <c r="FL886" s="0"/>
      <c r="FM886" s="0"/>
      <c r="FN886" s="0"/>
      <c r="FO886" s="0"/>
      <c r="FP886" s="0"/>
      <c r="FQ886" s="0"/>
      <c r="FR886" s="0"/>
      <c r="FS886" s="0"/>
      <c r="FT886" s="0"/>
      <c r="FU886" s="0"/>
      <c r="FV886" s="0"/>
      <c r="FW886" s="0"/>
      <c r="FX886" s="0"/>
      <c r="FY886" s="0"/>
      <c r="FZ886" s="0"/>
      <c r="GA886" s="0"/>
      <c r="GB886" s="0"/>
      <c r="GC886" s="0"/>
      <c r="GD886" s="0"/>
      <c r="GE886" s="0"/>
      <c r="GF886" s="0"/>
      <c r="GG886" s="0"/>
      <c r="GH886" s="0"/>
      <c r="GI886" s="0"/>
      <c r="GJ886" s="0"/>
      <c r="GK886" s="0"/>
      <c r="GL886" s="0"/>
      <c r="GM886" s="0"/>
      <c r="GN886" s="0"/>
      <c r="GO886" s="0"/>
      <c r="GP886" s="0"/>
      <c r="GQ886" s="0"/>
      <c r="GR886" s="0"/>
      <c r="GS886" s="0"/>
      <c r="GT886" s="0"/>
      <c r="GU886" s="0"/>
      <c r="GV886" s="0"/>
      <c r="GW886" s="0"/>
      <c r="GX886" s="0"/>
      <c r="GY886" s="0"/>
      <c r="GZ886" s="0"/>
      <c r="HA886" s="0"/>
      <c r="HB886" s="0"/>
      <c r="HC886" s="0"/>
      <c r="HD886" s="0"/>
      <c r="HE886" s="0"/>
      <c r="HF886" s="0"/>
      <c r="HG886" s="0"/>
      <c r="HH886" s="0"/>
      <c r="HI886" s="0"/>
      <c r="HJ886" s="0"/>
      <c r="HK886" s="0"/>
      <c r="HL886" s="0"/>
      <c r="HM886" s="0"/>
      <c r="HN886" s="0"/>
      <c r="HO886" s="0"/>
      <c r="HP886" s="0"/>
      <c r="HQ886" s="0"/>
      <c r="HR886" s="0"/>
      <c r="HS886" s="0"/>
      <c r="HT886" s="0"/>
      <c r="HU886" s="0"/>
      <c r="HV886" s="0"/>
      <c r="HW886" s="0"/>
      <c r="HX886" s="0"/>
      <c r="HY886" s="0"/>
      <c r="HZ886" s="0"/>
      <c r="IA886" s="0"/>
      <c r="IB886" s="0"/>
      <c r="IC886" s="0"/>
      <c r="ID886" s="0"/>
      <c r="IE886" s="0"/>
      <c r="IF886" s="0"/>
      <c r="IG886" s="0"/>
      <c r="IH886" s="0"/>
      <c r="II886" s="0"/>
      <c r="IJ886" s="0"/>
      <c r="IK886" s="0"/>
      <c r="IL886" s="0"/>
      <c r="IM886" s="0"/>
      <c r="IN886" s="0"/>
      <c r="IO886" s="0"/>
      <c r="IP886" s="0"/>
      <c r="IQ886" s="0"/>
      <c r="IR886" s="0"/>
      <c r="IS886" s="0"/>
      <c r="IT886" s="0"/>
      <c r="IU886" s="0"/>
      <c r="IV886" s="0"/>
    </row>
    <row r="887" customFormat="false" ht="15" hidden="false" customHeight="true" outlineLevel="0" collapsed="false">
      <c r="A887" s="307"/>
      <c r="B887" s="1267"/>
      <c r="C887" s="307"/>
      <c r="D887" s="307"/>
      <c r="E887" s="307"/>
      <c r="F887" s="307"/>
      <c r="G887" s="307"/>
      <c r="H887" s="307"/>
      <c r="I887" s="863"/>
      <c r="J887" s="667"/>
      <c r="K887" s="876"/>
      <c r="L887" s="877"/>
    </row>
    <row r="888" customFormat="false" ht="15" hidden="false" customHeight="true" outlineLevel="0" collapsed="false">
      <c r="A888" s="869" t="s">
        <v>1622</v>
      </c>
      <c r="B888" s="869"/>
      <c r="C888" s="869"/>
      <c r="D888" s="869"/>
      <c r="E888" s="869"/>
      <c r="F888" s="869"/>
      <c r="G888" s="869"/>
      <c r="H888" s="53"/>
      <c r="I888" s="53"/>
      <c r="J888" s="53"/>
      <c r="K888" s="870"/>
      <c r="L888" s="871" t="s">
        <v>1623</v>
      </c>
    </row>
    <row r="889" customFormat="false" ht="15" hidden="false" customHeight="true" outlineLevel="0" collapsed="false">
      <c r="J889" s="11"/>
      <c r="M889" s="0"/>
      <c r="N889" s="0"/>
      <c r="O889" s="0"/>
      <c r="P889" s="0"/>
      <c r="Q889" s="0"/>
      <c r="R889" s="0"/>
      <c r="S889" s="0"/>
      <c r="T889" s="0"/>
      <c r="U889" s="0"/>
      <c r="V889" s="0"/>
      <c r="W889" s="0"/>
      <c r="X889" s="0"/>
      <c r="Y889" s="0"/>
      <c r="Z889" s="0"/>
      <c r="AA889" s="0"/>
      <c r="AB889" s="0"/>
      <c r="AC889" s="0"/>
      <c r="AD889" s="0"/>
      <c r="AE889" s="0"/>
      <c r="AF889" s="0"/>
      <c r="AG889" s="0"/>
      <c r="AH889" s="0"/>
      <c r="AI889" s="0"/>
      <c r="AJ889" s="0"/>
      <c r="AK889" s="0"/>
      <c r="AL889" s="0"/>
      <c r="AM889" s="0"/>
      <c r="AN889" s="0"/>
      <c r="AO889" s="0"/>
      <c r="AP889" s="0"/>
      <c r="AQ889" s="0"/>
      <c r="AR889" s="0"/>
      <c r="AS889" s="0"/>
      <c r="AT889" s="0"/>
      <c r="AU889" s="0"/>
      <c r="AV889" s="0"/>
      <c r="AW889" s="0"/>
      <c r="AX889" s="0"/>
      <c r="AY889" s="0"/>
      <c r="AZ889" s="0"/>
      <c r="BA889" s="0"/>
      <c r="BB889" s="0"/>
      <c r="BC889" s="0"/>
      <c r="BD889" s="0"/>
      <c r="BE889" s="0"/>
      <c r="BF889" s="0"/>
      <c r="BG889" s="0"/>
      <c r="BH889" s="0"/>
      <c r="BI889" s="0"/>
      <c r="BJ889" s="0"/>
      <c r="BK889" s="0"/>
      <c r="BL889" s="0"/>
      <c r="BM889" s="0"/>
      <c r="BN889" s="0"/>
      <c r="BO889" s="0"/>
      <c r="BP889" s="0"/>
      <c r="BQ889" s="0"/>
      <c r="BR889" s="0"/>
      <c r="BS889" s="0"/>
      <c r="BT889" s="0"/>
      <c r="BU889" s="0"/>
      <c r="BV889" s="0"/>
      <c r="BW889" s="0"/>
      <c r="BX889" s="0"/>
      <c r="BY889" s="0"/>
      <c r="BZ889" s="0"/>
      <c r="CA889" s="0"/>
      <c r="CB889" s="0"/>
      <c r="CC889" s="0"/>
      <c r="CD889" s="0"/>
      <c r="CE889" s="0"/>
      <c r="CF889" s="0"/>
      <c r="CG889" s="0"/>
      <c r="CH889" s="0"/>
      <c r="CI889" s="0"/>
      <c r="CJ889" s="0"/>
      <c r="CK889" s="0"/>
      <c r="CL889" s="0"/>
      <c r="CM889" s="0"/>
      <c r="CN889" s="0"/>
      <c r="CO889" s="0"/>
      <c r="CP889" s="0"/>
      <c r="CQ889" s="0"/>
      <c r="CR889" s="0"/>
      <c r="CS889" s="0"/>
      <c r="CT889" s="0"/>
      <c r="CU889" s="0"/>
      <c r="CV889" s="0"/>
      <c r="CW889" s="0"/>
      <c r="CX889" s="0"/>
      <c r="CY889" s="0"/>
      <c r="CZ889" s="0"/>
      <c r="DA889" s="0"/>
      <c r="DB889" s="0"/>
      <c r="DC889" s="0"/>
      <c r="DD889" s="0"/>
      <c r="DE889" s="0"/>
      <c r="DF889" s="0"/>
      <c r="DG889" s="0"/>
      <c r="DH889" s="0"/>
      <c r="DI889" s="0"/>
      <c r="DJ889" s="0"/>
      <c r="DK889" s="0"/>
      <c r="DL889" s="0"/>
      <c r="DM889" s="0"/>
      <c r="DN889" s="0"/>
      <c r="DO889" s="0"/>
      <c r="DP889" s="0"/>
      <c r="DQ889" s="0"/>
      <c r="DR889" s="0"/>
      <c r="DS889" s="0"/>
      <c r="DT889" s="0"/>
      <c r="DU889" s="0"/>
      <c r="DV889" s="0"/>
      <c r="DW889" s="0"/>
      <c r="DX889" s="0"/>
      <c r="DY889" s="0"/>
      <c r="DZ889" s="0"/>
      <c r="EA889" s="0"/>
      <c r="EB889" s="0"/>
      <c r="EC889" s="0"/>
      <c r="ED889" s="0"/>
      <c r="EE889" s="0"/>
      <c r="EF889" s="0"/>
      <c r="EG889" s="0"/>
      <c r="EH889" s="0"/>
      <c r="EI889" s="0"/>
      <c r="EJ889" s="0"/>
      <c r="EK889" s="0"/>
      <c r="EL889" s="0"/>
      <c r="EM889" s="0"/>
      <c r="EN889" s="0"/>
      <c r="EO889" s="0"/>
      <c r="EP889" s="0"/>
      <c r="EQ889" s="0"/>
      <c r="ER889" s="0"/>
      <c r="ES889" s="0"/>
      <c r="ET889" s="0"/>
      <c r="EU889" s="0"/>
      <c r="EV889" s="0"/>
      <c r="EW889" s="0"/>
      <c r="EX889" s="0"/>
      <c r="EY889" s="0"/>
      <c r="EZ889" s="0"/>
      <c r="FA889" s="0"/>
      <c r="FB889" s="0"/>
      <c r="FC889" s="0"/>
      <c r="FD889" s="0"/>
      <c r="FE889" s="0"/>
      <c r="FF889" s="0"/>
      <c r="FG889" s="0"/>
      <c r="FH889" s="0"/>
      <c r="FI889" s="0"/>
      <c r="FJ889" s="0"/>
      <c r="FK889" s="0"/>
      <c r="FL889" s="0"/>
      <c r="FM889" s="0"/>
      <c r="FN889" s="0"/>
      <c r="FO889" s="0"/>
      <c r="FP889" s="0"/>
      <c r="FQ889" s="0"/>
      <c r="FR889" s="0"/>
      <c r="FS889" s="0"/>
      <c r="FT889" s="0"/>
      <c r="FU889" s="0"/>
      <c r="FV889" s="0"/>
      <c r="FW889" s="0"/>
      <c r="FX889" s="0"/>
      <c r="FY889" s="0"/>
      <c r="FZ889" s="0"/>
      <c r="GA889" s="0"/>
      <c r="GB889" s="0"/>
      <c r="GC889" s="0"/>
      <c r="GD889" s="0"/>
      <c r="GE889" s="0"/>
      <c r="GF889" s="0"/>
      <c r="GG889" s="0"/>
      <c r="GH889" s="0"/>
      <c r="GI889" s="0"/>
      <c r="GJ889" s="0"/>
      <c r="GK889" s="0"/>
      <c r="GL889" s="0"/>
      <c r="GM889" s="0"/>
      <c r="GN889" s="0"/>
      <c r="GO889" s="0"/>
      <c r="GP889" s="0"/>
      <c r="GQ889" s="0"/>
      <c r="GR889" s="0"/>
      <c r="GS889" s="0"/>
      <c r="GT889" s="0"/>
      <c r="GU889" s="0"/>
      <c r="GV889" s="0"/>
      <c r="GW889" s="0"/>
      <c r="GX889" s="0"/>
      <c r="GY889" s="0"/>
      <c r="GZ889" s="0"/>
      <c r="HA889" s="0"/>
      <c r="HB889" s="0"/>
      <c r="HC889" s="0"/>
      <c r="HD889" s="0"/>
      <c r="HE889" s="0"/>
      <c r="HF889" s="0"/>
      <c r="HG889" s="0"/>
      <c r="HH889" s="0"/>
      <c r="HI889" s="0"/>
      <c r="HJ889" s="0"/>
      <c r="HK889" s="0"/>
      <c r="HL889" s="0"/>
      <c r="HM889" s="0"/>
      <c r="HN889" s="0"/>
      <c r="HO889" s="0"/>
      <c r="HP889" s="0"/>
      <c r="HQ889" s="0"/>
      <c r="HR889" s="0"/>
      <c r="HS889" s="0"/>
      <c r="HT889" s="0"/>
      <c r="HU889" s="0"/>
      <c r="HV889" s="0"/>
      <c r="HW889" s="0"/>
      <c r="HX889" s="0"/>
      <c r="HY889" s="0"/>
      <c r="HZ889" s="0"/>
      <c r="IA889" s="0"/>
      <c r="IB889" s="0"/>
      <c r="IC889" s="0"/>
      <c r="ID889" s="0"/>
      <c r="IE889" s="0"/>
      <c r="IF889" s="0"/>
      <c r="IG889" s="0"/>
      <c r="IH889" s="0"/>
      <c r="II889" s="0"/>
      <c r="IJ889" s="0"/>
      <c r="IK889" s="0"/>
      <c r="IL889" s="0"/>
      <c r="IM889" s="0"/>
      <c r="IN889" s="0"/>
      <c r="IO889" s="0"/>
      <c r="IP889" s="0"/>
      <c r="IQ889" s="0"/>
      <c r="IR889" s="0"/>
      <c r="IS889" s="0"/>
      <c r="IT889" s="0"/>
      <c r="IU889" s="0"/>
      <c r="IV889" s="0"/>
    </row>
    <row r="890" customFormat="false" ht="15" hidden="false" customHeight="true" outlineLevel="0" collapsed="false">
      <c r="A890" s="433" t="s">
        <v>1624</v>
      </c>
      <c r="B890" s="433"/>
      <c r="C890" s="433"/>
      <c r="D890" s="433"/>
      <c r="E890" s="1268" t="s">
        <v>254</v>
      </c>
      <c r="F890" s="927"/>
      <c r="G890" s="19"/>
      <c r="H890" s="307"/>
      <c r="I890" s="863"/>
      <c r="J890" s="667"/>
      <c r="K890" s="876"/>
      <c r="L890" s="877"/>
      <c r="M890" s="0"/>
      <c r="N890" s="0"/>
      <c r="O890" s="0"/>
      <c r="P890" s="0"/>
      <c r="Q890" s="0"/>
      <c r="R890" s="0"/>
      <c r="S890" s="0"/>
      <c r="T890" s="0"/>
      <c r="U890" s="0"/>
      <c r="V890" s="0"/>
      <c r="W890" s="0"/>
      <c r="X890" s="0"/>
      <c r="Y890" s="0"/>
      <c r="Z890" s="0"/>
      <c r="AA890" s="0"/>
      <c r="AB890" s="0"/>
      <c r="AC890" s="0"/>
      <c r="AD890" s="0"/>
      <c r="AE890" s="0"/>
      <c r="AF890" s="0"/>
      <c r="AG890" s="0"/>
      <c r="AH890" s="0"/>
      <c r="AI890" s="0"/>
      <c r="AJ890" s="0"/>
      <c r="AK890" s="0"/>
      <c r="AL890" s="0"/>
      <c r="AM890" s="0"/>
      <c r="AN890" s="0"/>
      <c r="AO890" s="0"/>
      <c r="AP890" s="0"/>
      <c r="AQ890" s="0"/>
      <c r="AR890" s="0"/>
      <c r="AS890" s="0"/>
      <c r="AT890" s="0"/>
      <c r="AU890" s="0"/>
      <c r="AV890" s="0"/>
      <c r="AW890" s="0"/>
      <c r="AX890" s="0"/>
      <c r="AY890" s="0"/>
      <c r="AZ890" s="0"/>
      <c r="BA890" s="0"/>
      <c r="BB890" s="0"/>
      <c r="BC890" s="0"/>
      <c r="BD890" s="0"/>
      <c r="BE890" s="0"/>
      <c r="BF890" s="0"/>
      <c r="BG890" s="0"/>
      <c r="BH890" s="0"/>
      <c r="BI890" s="0"/>
      <c r="BJ890" s="0"/>
      <c r="BK890" s="0"/>
      <c r="BL890" s="0"/>
      <c r="BM890" s="0"/>
      <c r="BN890" s="0"/>
      <c r="BO890" s="0"/>
      <c r="BP890" s="0"/>
      <c r="BQ890" s="0"/>
      <c r="BR890" s="0"/>
      <c r="BS890" s="0"/>
      <c r="BT890" s="0"/>
      <c r="BU890" s="0"/>
      <c r="BV890" s="0"/>
      <c r="BW890" s="0"/>
      <c r="BX890" s="0"/>
      <c r="BY890" s="0"/>
      <c r="BZ890" s="0"/>
      <c r="CA890" s="0"/>
      <c r="CB890" s="0"/>
      <c r="CC890" s="0"/>
      <c r="CD890" s="0"/>
      <c r="CE890" s="0"/>
      <c r="CF890" s="0"/>
      <c r="CG890" s="0"/>
      <c r="CH890" s="0"/>
      <c r="CI890" s="0"/>
      <c r="CJ890" s="0"/>
      <c r="CK890" s="0"/>
      <c r="CL890" s="0"/>
      <c r="CM890" s="0"/>
      <c r="CN890" s="0"/>
      <c r="CO890" s="0"/>
      <c r="CP890" s="0"/>
      <c r="CQ890" s="0"/>
      <c r="CR890" s="0"/>
      <c r="CS890" s="0"/>
      <c r="CT890" s="0"/>
      <c r="CU890" s="0"/>
      <c r="CV890" s="0"/>
      <c r="CW890" s="0"/>
      <c r="CX890" s="0"/>
      <c r="CY890" s="0"/>
      <c r="CZ890" s="0"/>
      <c r="DA890" s="0"/>
      <c r="DB890" s="0"/>
      <c r="DC890" s="0"/>
      <c r="DD890" s="0"/>
      <c r="DE890" s="0"/>
      <c r="DF890" s="0"/>
      <c r="DG890" s="0"/>
      <c r="DH890" s="0"/>
      <c r="DI890" s="0"/>
      <c r="DJ890" s="0"/>
      <c r="DK890" s="0"/>
      <c r="DL890" s="0"/>
      <c r="DM890" s="0"/>
      <c r="DN890" s="0"/>
      <c r="DO890" s="0"/>
      <c r="DP890" s="0"/>
      <c r="DQ890" s="0"/>
      <c r="DR890" s="0"/>
      <c r="DS890" s="0"/>
      <c r="DT890" s="0"/>
      <c r="DU890" s="0"/>
      <c r="DV890" s="0"/>
      <c r="DW890" s="0"/>
      <c r="DX890" s="0"/>
      <c r="DY890" s="0"/>
      <c r="DZ890" s="0"/>
      <c r="EA890" s="0"/>
      <c r="EB890" s="0"/>
      <c r="EC890" s="0"/>
      <c r="ED890" s="0"/>
      <c r="EE890" s="0"/>
      <c r="EF890" s="0"/>
      <c r="EG890" s="0"/>
      <c r="EH890" s="0"/>
      <c r="EI890" s="0"/>
      <c r="EJ890" s="0"/>
      <c r="EK890" s="0"/>
      <c r="EL890" s="0"/>
      <c r="EM890" s="0"/>
      <c r="EN890" s="0"/>
      <c r="EO890" s="0"/>
      <c r="EP890" s="0"/>
      <c r="EQ890" s="0"/>
      <c r="ER890" s="0"/>
      <c r="ES890" s="0"/>
      <c r="ET890" s="0"/>
      <c r="EU890" s="0"/>
      <c r="EV890" s="0"/>
      <c r="EW890" s="0"/>
      <c r="EX890" s="0"/>
      <c r="EY890" s="0"/>
      <c r="EZ890" s="0"/>
      <c r="FA890" s="0"/>
      <c r="FB890" s="0"/>
      <c r="FC890" s="0"/>
      <c r="FD890" s="0"/>
      <c r="FE890" s="0"/>
      <c r="FF890" s="0"/>
      <c r="FG890" s="0"/>
      <c r="FH890" s="0"/>
      <c r="FI890" s="0"/>
      <c r="FJ890" s="0"/>
      <c r="FK890" s="0"/>
      <c r="FL890" s="0"/>
      <c r="FM890" s="0"/>
      <c r="FN890" s="0"/>
      <c r="FO890" s="0"/>
      <c r="FP890" s="0"/>
      <c r="FQ890" s="0"/>
      <c r="FR890" s="0"/>
      <c r="FS890" s="0"/>
      <c r="FT890" s="0"/>
      <c r="FU890" s="0"/>
      <c r="FV890" s="0"/>
      <c r="FW890" s="0"/>
      <c r="FX890" s="0"/>
      <c r="FY890" s="0"/>
      <c r="FZ890" s="0"/>
      <c r="GA890" s="0"/>
      <c r="GB890" s="0"/>
      <c r="GC890" s="0"/>
      <c r="GD890" s="0"/>
      <c r="GE890" s="0"/>
      <c r="GF890" s="0"/>
      <c r="GG890" s="0"/>
      <c r="GH890" s="0"/>
      <c r="GI890" s="0"/>
      <c r="GJ890" s="0"/>
      <c r="GK890" s="0"/>
      <c r="GL890" s="0"/>
      <c r="GM890" s="0"/>
      <c r="GN890" s="0"/>
      <c r="GO890" s="0"/>
      <c r="GP890" s="0"/>
      <c r="GQ890" s="0"/>
      <c r="GR890" s="0"/>
      <c r="GS890" s="0"/>
      <c r="GT890" s="0"/>
      <c r="GU890" s="0"/>
      <c r="GV890" s="0"/>
      <c r="GW890" s="0"/>
      <c r="GX890" s="0"/>
      <c r="GY890" s="0"/>
      <c r="GZ890" s="0"/>
      <c r="HA890" s="0"/>
      <c r="HB890" s="0"/>
      <c r="HC890" s="0"/>
      <c r="HD890" s="0"/>
      <c r="HE890" s="0"/>
      <c r="HF890" s="0"/>
      <c r="HG890" s="0"/>
      <c r="HH890" s="0"/>
      <c r="HI890" s="0"/>
      <c r="HJ890" s="0"/>
      <c r="HK890" s="0"/>
      <c r="HL890" s="0"/>
      <c r="HM890" s="0"/>
      <c r="HN890" s="0"/>
      <c r="HO890" s="0"/>
      <c r="HP890" s="0"/>
      <c r="HQ890" s="0"/>
      <c r="HR890" s="0"/>
      <c r="HS890" s="0"/>
      <c r="HT890" s="0"/>
      <c r="HU890" s="0"/>
      <c r="HV890" s="0"/>
      <c r="HW890" s="0"/>
      <c r="HX890" s="0"/>
      <c r="HY890" s="0"/>
      <c r="HZ890" s="0"/>
      <c r="IA890" s="0"/>
      <c r="IB890" s="0"/>
      <c r="IC890" s="0"/>
      <c r="ID890" s="0"/>
      <c r="IE890" s="0"/>
      <c r="IF890" s="0"/>
      <c r="IG890" s="0"/>
      <c r="IH890" s="0"/>
      <c r="II890" s="0"/>
      <c r="IJ890" s="0"/>
      <c r="IK890" s="0"/>
      <c r="IL890" s="0"/>
      <c r="IM890" s="0"/>
      <c r="IN890" s="0"/>
      <c r="IO890" s="0"/>
      <c r="IP890" s="0"/>
      <c r="IQ890" s="0"/>
      <c r="IR890" s="0"/>
      <c r="IS890" s="0"/>
      <c r="IT890" s="0"/>
      <c r="IU890" s="0"/>
      <c r="IV890" s="0"/>
    </row>
    <row r="891" customFormat="false" ht="28.5" hidden="false" customHeight="true" outlineLevel="0" collapsed="false">
      <c r="A891" s="1269" t="s">
        <v>1625</v>
      </c>
      <c r="B891" s="1269"/>
      <c r="C891" s="1269"/>
      <c r="D891" s="1269"/>
      <c r="E891" s="1269"/>
      <c r="F891" s="1269"/>
      <c r="G891" s="1131"/>
      <c r="H891" s="1131"/>
      <c r="I891" s="1131"/>
      <c r="J891" s="1131"/>
      <c r="K891" s="903"/>
      <c r="L891" s="877"/>
      <c r="M891" s="0"/>
      <c r="N891" s="0"/>
      <c r="O891" s="0"/>
      <c r="P891" s="0"/>
      <c r="Q891" s="0"/>
      <c r="R891" s="0"/>
      <c r="S891" s="0"/>
      <c r="T891" s="0"/>
      <c r="U891" s="0"/>
      <c r="V891" s="0"/>
      <c r="W891" s="0"/>
      <c r="X891" s="0"/>
      <c r="Y891" s="0"/>
      <c r="Z891" s="0"/>
      <c r="AA891" s="0"/>
      <c r="AB891" s="0"/>
      <c r="AC891" s="0"/>
      <c r="AD891" s="0"/>
      <c r="AE891" s="0"/>
      <c r="AF891" s="0"/>
      <c r="AG891" s="0"/>
      <c r="AH891" s="0"/>
      <c r="AI891" s="0"/>
      <c r="AJ891" s="0"/>
      <c r="AK891" s="0"/>
      <c r="AL891" s="0"/>
      <c r="AM891" s="0"/>
      <c r="AN891" s="0"/>
      <c r="AO891" s="0"/>
      <c r="AP891" s="0"/>
      <c r="AQ891" s="0"/>
      <c r="AR891" s="0"/>
      <c r="AS891" s="0"/>
      <c r="AT891" s="0"/>
      <c r="AU891" s="0"/>
      <c r="AV891" s="0"/>
      <c r="AW891" s="0"/>
      <c r="AX891" s="0"/>
      <c r="AY891" s="0"/>
      <c r="AZ891" s="0"/>
      <c r="BA891" s="0"/>
      <c r="BB891" s="0"/>
      <c r="BC891" s="0"/>
      <c r="BD891" s="0"/>
      <c r="BE891" s="0"/>
      <c r="BF891" s="0"/>
      <c r="BG891" s="0"/>
      <c r="BH891" s="0"/>
      <c r="BI891" s="0"/>
      <c r="BJ891" s="0"/>
      <c r="BK891" s="0"/>
      <c r="BL891" s="0"/>
      <c r="BM891" s="0"/>
      <c r="BN891" s="0"/>
      <c r="BO891" s="0"/>
      <c r="BP891" s="0"/>
      <c r="BQ891" s="0"/>
      <c r="BR891" s="0"/>
      <c r="BS891" s="0"/>
      <c r="BT891" s="0"/>
      <c r="BU891" s="0"/>
      <c r="BV891" s="0"/>
      <c r="BW891" s="0"/>
      <c r="BX891" s="0"/>
      <c r="BY891" s="0"/>
      <c r="BZ891" s="0"/>
      <c r="CA891" s="0"/>
      <c r="CB891" s="0"/>
      <c r="CC891" s="0"/>
      <c r="CD891" s="0"/>
      <c r="CE891" s="0"/>
      <c r="CF891" s="0"/>
      <c r="CG891" s="0"/>
      <c r="CH891" s="0"/>
      <c r="CI891" s="0"/>
      <c r="CJ891" s="0"/>
      <c r="CK891" s="0"/>
      <c r="CL891" s="0"/>
      <c r="CM891" s="0"/>
      <c r="CN891" s="0"/>
      <c r="CO891" s="0"/>
      <c r="CP891" s="0"/>
      <c r="CQ891" s="0"/>
      <c r="CR891" s="0"/>
      <c r="CS891" s="0"/>
      <c r="CT891" s="0"/>
      <c r="CU891" s="0"/>
      <c r="CV891" s="0"/>
      <c r="CW891" s="0"/>
      <c r="CX891" s="0"/>
      <c r="CY891" s="0"/>
      <c r="CZ891" s="0"/>
      <c r="DA891" s="0"/>
      <c r="DB891" s="0"/>
      <c r="DC891" s="0"/>
      <c r="DD891" s="0"/>
      <c r="DE891" s="0"/>
      <c r="DF891" s="0"/>
      <c r="DG891" s="0"/>
      <c r="DH891" s="0"/>
      <c r="DI891" s="0"/>
      <c r="DJ891" s="0"/>
      <c r="DK891" s="0"/>
      <c r="DL891" s="0"/>
      <c r="DM891" s="0"/>
      <c r="DN891" s="0"/>
      <c r="DO891" s="0"/>
      <c r="DP891" s="0"/>
      <c r="DQ891" s="0"/>
      <c r="DR891" s="0"/>
      <c r="DS891" s="0"/>
      <c r="DT891" s="0"/>
      <c r="DU891" s="0"/>
      <c r="DV891" s="0"/>
      <c r="DW891" s="0"/>
      <c r="DX891" s="0"/>
      <c r="DY891" s="0"/>
      <c r="DZ891" s="0"/>
      <c r="EA891" s="0"/>
      <c r="EB891" s="0"/>
      <c r="EC891" s="0"/>
      <c r="ED891" s="0"/>
      <c r="EE891" s="0"/>
      <c r="EF891" s="0"/>
      <c r="EG891" s="0"/>
      <c r="EH891" s="0"/>
      <c r="EI891" s="0"/>
      <c r="EJ891" s="0"/>
      <c r="EK891" s="0"/>
      <c r="EL891" s="0"/>
      <c r="EM891" s="0"/>
      <c r="EN891" s="0"/>
      <c r="EO891" s="0"/>
      <c r="EP891" s="0"/>
      <c r="EQ891" s="0"/>
      <c r="ER891" s="0"/>
      <c r="ES891" s="0"/>
      <c r="ET891" s="0"/>
      <c r="EU891" s="0"/>
      <c r="EV891" s="0"/>
      <c r="EW891" s="0"/>
      <c r="EX891" s="0"/>
      <c r="EY891" s="0"/>
      <c r="EZ891" s="0"/>
      <c r="FA891" s="0"/>
      <c r="FB891" s="0"/>
      <c r="FC891" s="0"/>
      <c r="FD891" s="0"/>
      <c r="FE891" s="0"/>
      <c r="FF891" s="0"/>
      <c r="FG891" s="0"/>
      <c r="FH891" s="0"/>
      <c r="FI891" s="0"/>
      <c r="FJ891" s="0"/>
      <c r="FK891" s="0"/>
      <c r="FL891" s="0"/>
      <c r="FM891" s="0"/>
      <c r="FN891" s="0"/>
      <c r="FO891" s="0"/>
      <c r="FP891" s="0"/>
      <c r="FQ891" s="0"/>
      <c r="FR891" s="0"/>
      <c r="FS891" s="0"/>
      <c r="FT891" s="0"/>
      <c r="FU891" s="0"/>
      <c r="FV891" s="0"/>
      <c r="FW891" s="0"/>
      <c r="FX891" s="0"/>
      <c r="FY891" s="0"/>
      <c r="FZ891" s="0"/>
      <c r="GA891" s="0"/>
      <c r="GB891" s="0"/>
      <c r="GC891" s="0"/>
      <c r="GD891" s="0"/>
      <c r="GE891" s="0"/>
      <c r="GF891" s="0"/>
      <c r="GG891" s="0"/>
      <c r="GH891" s="0"/>
      <c r="GI891" s="0"/>
      <c r="GJ891" s="0"/>
      <c r="GK891" s="0"/>
      <c r="GL891" s="0"/>
      <c r="GM891" s="0"/>
      <c r="GN891" s="0"/>
      <c r="GO891" s="0"/>
      <c r="GP891" s="0"/>
      <c r="GQ891" s="0"/>
      <c r="GR891" s="0"/>
      <c r="GS891" s="0"/>
      <c r="GT891" s="0"/>
      <c r="GU891" s="0"/>
      <c r="GV891" s="0"/>
      <c r="GW891" s="0"/>
      <c r="GX891" s="0"/>
      <c r="GY891" s="0"/>
      <c r="GZ891" s="0"/>
      <c r="HA891" s="0"/>
      <c r="HB891" s="0"/>
      <c r="HC891" s="0"/>
      <c r="HD891" s="0"/>
      <c r="HE891" s="0"/>
      <c r="HF891" s="0"/>
      <c r="HG891" s="0"/>
      <c r="HH891" s="0"/>
      <c r="HI891" s="0"/>
      <c r="HJ891" s="0"/>
      <c r="HK891" s="0"/>
      <c r="HL891" s="0"/>
      <c r="HM891" s="0"/>
      <c r="HN891" s="0"/>
      <c r="HO891" s="0"/>
      <c r="HP891" s="0"/>
      <c r="HQ891" s="0"/>
      <c r="HR891" s="0"/>
      <c r="HS891" s="0"/>
      <c r="HT891" s="0"/>
      <c r="HU891" s="0"/>
      <c r="HV891" s="0"/>
      <c r="HW891" s="0"/>
      <c r="HX891" s="0"/>
      <c r="HY891" s="0"/>
      <c r="HZ891" s="0"/>
      <c r="IA891" s="0"/>
      <c r="IB891" s="0"/>
      <c r="IC891" s="0"/>
      <c r="ID891" s="0"/>
      <c r="IE891" s="0"/>
      <c r="IF891" s="0"/>
      <c r="IG891" s="0"/>
      <c r="IH891" s="0"/>
      <c r="II891" s="0"/>
      <c r="IJ891" s="0"/>
      <c r="IK891" s="0"/>
      <c r="IL891" s="0"/>
      <c r="IM891" s="0"/>
      <c r="IN891" s="0"/>
      <c r="IO891" s="0"/>
      <c r="IP891" s="0"/>
      <c r="IQ891" s="0"/>
      <c r="IR891" s="0"/>
      <c r="IS891" s="0"/>
      <c r="IT891" s="0"/>
      <c r="IU891" s="0"/>
      <c r="IV891" s="0"/>
    </row>
    <row r="892" customFormat="false" ht="20.1" hidden="false" customHeight="true" outlineLevel="0" collapsed="false">
      <c r="A892" s="1131"/>
      <c r="B892" s="1131"/>
      <c r="C892" s="1131"/>
      <c r="D892" s="1131"/>
      <c r="E892" s="1131"/>
      <c r="F892" s="1131"/>
      <c r="G892" s="1131"/>
      <c r="H892" s="1131"/>
      <c r="I892" s="1131"/>
      <c r="J892" s="1131"/>
      <c r="K892" s="903"/>
      <c r="L892" s="877"/>
    </row>
    <row r="893" customFormat="false" ht="15.75" hidden="false" customHeight="true" outlineLevel="0" collapsed="false">
      <c r="A893" s="433" t="s">
        <v>744</v>
      </c>
      <c r="B893" s="433"/>
      <c r="C893" s="433"/>
      <c r="D893" s="433"/>
      <c r="E893" s="1268" t="s">
        <v>254</v>
      </c>
      <c r="F893" s="927"/>
      <c r="G893" s="19"/>
      <c r="H893" s="0"/>
      <c r="I893" s="0"/>
      <c r="K893" s="903"/>
      <c r="L893" s="877"/>
      <c r="M893" s="0"/>
      <c r="T893" s="0"/>
      <c r="U893" s="0"/>
      <c r="V893" s="0"/>
      <c r="W893" s="0"/>
      <c r="X893" s="0"/>
      <c r="Y893" s="0"/>
      <c r="Z893" s="0"/>
      <c r="AA893" s="0"/>
      <c r="AB893" s="0"/>
      <c r="AC893" s="0"/>
      <c r="AD893" s="0"/>
      <c r="AE893" s="0"/>
      <c r="AF893" s="0"/>
      <c r="AG893" s="0"/>
      <c r="AH893" s="0"/>
      <c r="AI893" s="0"/>
      <c r="AJ893" s="0"/>
      <c r="AK893" s="0"/>
      <c r="AL893" s="0"/>
      <c r="AM893" s="0"/>
      <c r="AN893" s="0"/>
      <c r="AO893" s="0"/>
      <c r="AP893" s="0"/>
      <c r="AQ893" s="0"/>
      <c r="AR893" s="0"/>
      <c r="AS893" s="0"/>
      <c r="AT893" s="0"/>
      <c r="AU893" s="0"/>
      <c r="AV893" s="0"/>
      <c r="AW893" s="0"/>
      <c r="AX893" s="0"/>
      <c r="AY893" s="0"/>
      <c r="AZ893" s="0"/>
      <c r="BA893" s="0"/>
      <c r="BB893" s="0"/>
      <c r="BC893" s="0"/>
      <c r="BD893" s="0"/>
      <c r="BE893" s="0"/>
      <c r="BF893" s="0"/>
      <c r="BG893" s="0"/>
      <c r="BH893" s="0"/>
      <c r="BI893" s="0"/>
      <c r="BJ893" s="0"/>
      <c r="BK893" s="0"/>
      <c r="BL893" s="0"/>
      <c r="BM893" s="0"/>
      <c r="BN893" s="0"/>
      <c r="BO893" s="0"/>
      <c r="BP893" s="0"/>
      <c r="BQ893" s="0"/>
      <c r="BR893" s="0"/>
      <c r="BS893" s="0"/>
      <c r="BT893" s="0"/>
      <c r="BU893" s="0"/>
      <c r="BV893" s="0"/>
      <c r="BW893" s="0"/>
      <c r="BX893" s="0"/>
      <c r="BY893" s="0"/>
      <c r="BZ893" s="0"/>
      <c r="CA893" s="0"/>
      <c r="CB893" s="0"/>
      <c r="CC893" s="0"/>
      <c r="CD893" s="0"/>
      <c r="CE893" s="0"/>
      <c r="CF893" s="0"/>
      <c r="CG893" s="0"/>
      <c r="CH893" s="0"/>
      <c r="CI893" s="0"/>
      <c r="CJ893" s="0"/>
      <c r="CK893" s="0"/>
      <c r="CL893" s="0"/>
      <c r="CM893" s="0"/>
      <c r="CN893" s="0"/>
      <c r="CO893" s="0"/>
      <c r="CP893" s="0"/>
      <c r="CQ893" s="0"/>
      <c r="CR893" s="0"/>
      <c r="CS893" s="0"/>
      <c r="CT893" s="0"/>
      <c r="CU893" s="0"/>
      <c r="CV893" s="0"/>
      <c r="CW893" s="0"/>
      <c r="CX893" s="0"/>
      <c r="CY893" s="0"/>
      <c r="CZ893" s="0"/>
      <c r="DA893" s="0"/>
      <c r="DB893" s="0"/>
      <c r="DC893" s="0"/>
      <c r="DD893" s="0"/>
      <c r="DE893" s="0"/>
      <c r="DF893" s="0"/>
      <c r="DG893" s="0"/>
      <c r="DH893" s="0"/>
      <c r="DI893" s="0"/>
      <c r="DJ893" s="0"/>
      <c r="DK893" s="0"/>
      <c r="DL893" s="0"/>
      <c r="DM893" s="0"/>
      <c r="DN893" s="0"/>
      <c r="DO893" s="0"/>
      <c r="DP893" s="0"/>
      <c r="DQ893" s="0"/>
      <c r="DR893" s="0"/>
      <c r="DS893" s="0"/>
      <c r="DT893" s="0"/>
      <c r="DU893" s="0"/>
      <c r="DV893" s="0"/>
      <c r="DW893" s="0"/>
      <c r="DX893" s="0"/>
      <c r="DY893" s="0"/>
      <c r="DZ893" s="0"/>
      <c r="EA893" s="0"/>
      <c r="EB893" s="0"/>
      <c r="EC893" s="0"/>
      <c r="ED893" s="0"/>
      <c r="EE893" s="0"/>
      <c r="EF893" s="0"/>
      <c r="EG893" s="0"/>
      <c r="EH893" s="0"/>
      <c r="EI893" s="0"/>
      <c r="EJ893" s="0"/>
      <c r="EK893" s="0"/>
      <c r="EL893" s="0"/>
      <c r="EM893" s="0"/>
      <c r="EN893" s="0"/>
      <c r="EO893" s="0"/>
      <c r="EP893" s="0"/>
      <c r="EQ893" s="0"/>
      <c r="ER893" s="0"/>
      <c r="ES893" s="0"/>
      <c r="ET893" s="0"/>
      <c r="EU893" s="0"/>
      <c r="EV893" s="0"/>
      <c r="EW893" s="0"/>
      <c r="EX893" s="0"/>
      <c r="EY893" s="0"/>
      <c r="EZ893" s="0"/>
      <c r="FA893" s="0"/>
      <c r="FB893" s="0"/>
      <c r="FC893" s="0"/>
      <c r="FD893" s="0"/>
      <c r="FE893" s="0"/>
      <c r="FF893" s="0"/>
      <c r="FG893" s="0"/>
      <c r="FH893" s="0"/>
      <c r="FI893" s="0"/>
      <c r="FJ893" s="0"/>
      <c r="FK893" s="0"/>
      <c r="FL893" s="0"/>
      <c r="FM893" s="0"/>
      <c r="FN893" s="0"/>
      <c r="FO893" s="0"/>
      <c r="FP893" s="0"/>
      <c r="FQ893" s="0"/>
      <c r="FR893" s="0"/>
      <c r="FS893" s="0"/>
      <c r="FT893" s="0"/>
      <c r="FU893" s="0"/>
      <c r="FV893" s="0"/>
      <c r="FW893" s="0"/>
      <c r="FX893" s="0"/>
      <c r="FY893" s="0"/>
      <c r="FZ893" s="0"/>
      <c r="GA893" s="0"/>
      <c r="GB893" s="0"/>
      <c r="GC893" s="0"/>
      <c r="GD893" s="0"/>
      <c r="GE893" s="0"/>
      <c r="GF893" s="0"/>
      <c r="GG893" s="0"/>
      <c r="GH893" s="0"/>
      <c r="GI893" s="0"/>
      <c r="GJ893" s="0"/>
      <c r="GK893" s="0"/>
      <c r="GL893" s="0"/>
      <c r="GM893" s="0"/>
      <c r="GN893" s="0"/>
      <c r="GO893" s="0"/>
      <c r="GP893" s="0"/>
      <c r="GQ893" s="0"/>
      <c r="GR893" s="0"/>
      <c r="GS893" s="0"/>
      <c r="GT893" s="0"/>
      <c r="GU893" s="0"/>
      <c r="GV893" s="0"/>
      <c r="GW893" s="0"/>
      <c r="GX893" s="0"/>
      <c r="GY893" s="0"/>
      <c r="GZ893" s="0"/>
      <c r="HA893" s="0"/>
      <c r="HB893" s="0"/>
      <c r="HC893" s="0"/>
      <c r="HD893" s="0"/>
      <c r="HE893" s="0"/>
      <c r="HF893" s="0"/>
      <c r="HG893" s="0"/>
      <c r="HH893" s="0"/>
      <c r="HI893" s="0"/>
      <c r="HJ893" s="0"/>
      <c r="HK893" s="0"/>
      <c r="HL893" s="0"/>
      <c r="HM893" s="0"/>
      <c r="HN893" s="0"/>
      <c r="HO893" s="0"/>
      <c r="HP893" s="0"/>
      <c r="HQ893" s="0"/>
      <c r="HR893" s="0"/>
      <c r="HS893" s="0"/>
      <c r="HT893" s="0"/>
      <c r="HU893" s="0"/>
      <c r="HV893" s="0"/>
      <c r="HW893" s="0"/>
      <c r="HX893" s="0"/>
      <c r="HY893" s="0"/>
      <c r="HZ893" s="0"/>
      <c r="IA893" s="0"/>
      <c r="IB893" s="0"/>
      <c r="IC893" s="0"/>
      <c r="ID893" s="0"/>
      <c r="IE893" s="0"/>
      <c r="IF893" s="0"/>
      <c r="IG893" s="0"/>
      <c r="IH893" s="0"/>
      <c r="II893" s="0"/>
      <c r="IJ893" s="0"/>
      <c r="IK893" s="0"/>
      <c r="IL893" s="0"/>
      <c r="IM893" s="0"/>
      <c r="IN893" s="0"/>
      <c r="IO893" s="0"/>
      <c r="IP893" s="0"/>
      <c r="IQ893" s="0"/>
      <c r="IR893" s="0"/>
      <c r="IS893" s="0"/>
      <c r="IT893" s="0"/>
      <c r="IU893" s="0"/>
      <c r="IV893" s="0"/>
    </row>
    <row r="894" s="55" customFormat="true" ht="27" hidden="false" customHeight="true" outlineLevel="0" collapsed="false">
      <c r="A894" s="1269" t="s">
        <v>745</v>
      </c>
      <c r="B894" s="1269"/>
      <c r="C894" s="1269"/>
      <c r="D894" s="1269"/>
      <c r="E894" s="1269"/>
      <c r="F894" s="1269"/>
      <c r="G894" s="1060"/>
      <c r="H894" s="863"/>
      <c r="I894" s="863"/>
      <c r="J894" s="863"/>
      <c r="K894" s="903"/>
      <c r="L894" s="877"/>
      <c r="M894" s="51"/>
    </row>
    <row r="895" customFormat="false" ht="15.75" hidden="false" customHeight="true" outlineLevel="0" collapsed="false">
      <c r="A895" s="0"/>
      <c r="B895" s="0"/>
      <c r="C895" s="0"/>
      <c r="D895" s="0"/>
      <c r="E895" s="0"/>
      <c r="F895" s="0"/>
      <c r="G895" s="0"/>
      <c r="H895" s="935"/>
      <c r="I895" s="935"/>
      <c r="J895" s="0"/>
      <c r="K895" s="903"/>
      <c r="L895" s="877"/>
      <c r="M895" s="51"/>
      <c r="N895" s="0"/>
      <c r="O895" s="0"/>
      <c r="P895" s="0"/>
      <c r="Q895" s="0"/>
      <c r="R895" s="0"/>
      <c r="S895" s="0"/>
      <c r="T895" s="0"/>
      <c r="U895" s="0"/>
      <c r="V895" s="0"/>
      <c r="W895" s="0"/>
      <c r="X895" s="0"/>
      <c r="Y895" s="0"/>
      <c r="Z895" s="0"/>
      <c r="AA895" s="0"/>
      <c r="AB895" s="0"/>
      <c r="AC895" s="0"/>
      <c r="AD895" s="0"/>
      <c r="AE895" s="0"/>
      <c r="AF895" s="0"/>
      <c r="AG895" s="0"/>
      <c r="AH895" s="0"/>
      <c r="AI895" s="0"/>
      <c r="AJ895" s="0"/>
      <c r="AK895" s="0"/>
      <c r="AL895" s="0"/>
      <c r="AM895" s="0"/>
      <c r="AN895" s="0"/>
      <c r="AO895" s="0"/>
      <c r="AP895" s="0"/>
      <c r="AQ895" s="0"/>
      <c r="AR895" s="0"/>
      <c r="AS895" s="0"/>
      <c r="AT895" s="0"/>
      <c r="AU895" s="0"/>
      <c r="AV895" s="0"/>
      <c r="AW895" s="0"/>
      <c r="AX895" s="0"/>
      <c r="AY895" s="0"/>
      <c r="AZ895" s="0"/>
      <c r="BA895" s="0"/>
      <c r="BB895" s="0"/>
      <c r="BC895" s="0"/>
      <c r="BD895" s="0"/>
      <c r="BE895" s="0"/>
      <c r="BF895" s="0"/>
      <c r="BG895" s="0"/>
      <c r="BH895" s="0"/>
      <c r="BI895" s="0"/>
      <c r="BJ895" s="0"/>
      <c r="BK895" s="0"/>
      <c r="BL895" s="0"/>
      <c r="BM895" s="0"/>
      <c r="BN895" s="0"/>
      <c r="BO895" s="0"/>
      <c r="BP895" s="0"/>
      <c r="BQ895" s="0"/>
      <c r="BR895" s="0"/>
      <c r="BS895" s="0"/>
      <c r="BT895" s="0"/>
      <c r="BU895" s="0"/>
      <c r="BV895" s="0"/>
      <c r="BW895" s="0"/>
      <c r="BX895" s="0"/>
      <c r="BY895" s="0"/>
      <c r="BZ895" s="0"/>
      <c r="CA895" s="0"/>
      <c r="CB895" s="0"/>
      <c r="CC895" s="0"/>
      <c r="CD895" s="0"/>
      <c r="CE895" s="0"/>
      <c r="CF895" s="0"/>
      <c r="CG895" s="0"/>
      <c r="CH895" s="0"/>
      <c r="CI895" s="0"/>
      <c r="CJ895" s="0"/>
      <c r="CK895" s="0"/>
      <c r="CL895" s="0"/>
      <c r="CM895" s="0"/>
      <c r="CN895" s="0"/>
      <c r="CO895" s="0"/>
      <c r="CP895" s="0"/>
      <c r="CQ895" s="0"/>
      <c r="CR895" s="0"/>
      <c r="CS895" s="0"/>
      <c r="CT895" s="0"/>
      <c r="CU895" s="0"/>
      <c r="CV895" s="0"/>
      <c r="CW895" s="0"/>
      <c r="CX895" s="0"/>
      <c r="CY895" s="0"/>
      <c r="CZ895" s="0"/>
      <c r="DA895" s="0"/>
      <c r="DB895" s="0"/>
      <c r="DC895" s="0"/>
      <c r="DD895" s="0"/>
      <c r="DE895" s="0"/>
      <c r="DF895" s="0"/>
      <c r="DG895" s="0"/>
      <c r="DH895" s="0"/>
      <c r="DI895" s="0"/>
      <c r="DJ895" s="0"/>
      <c r="DK895" s="0"/>
      <c r="DL895" s="0"/>
      <c r="DM895" s="0"/>
      <c r="DN895" s="0"/>
      <c r="DO895" s="0"/>
      <c r="DP895" s="0"/>
      <c r="DQ895" s="0"/>
      <c r="DR895" s="0"/>
      <c r="DS895" s="0"/>
      <c r="DT895" s="0"/>
      <c r="DU895" s="0"/>
      <c r="DV895" s="0"/>
      <c r="DW895" s="0"/>
      <c r="DX895" s="0"/>
      <c r="DY895" s="0"/>
      <c r="DZ895" s="0"/>
      <c r="EA895" s="0"/>
      <c r="EB895" s="0"/>
      <c r="EC895" s="0"/>
      <c r="ED895" s="0"/>
      <c r="EE895" s="0"/>
      <c r="EF895" s="0"/>
      <c r="EG895" s="0"/>
      <c r="EH895" s="0"/>
      <c r="EI895" s="0"/>
      <c r="EJ895" s="0"/>
      <c r="EK895" s="0"/>
      <c r="EL895" s="0"/>
      <c r="EM895" s="0"/>
      <c r="EN895" s="0"/>
      <c r="EO895" s="0"/>
      <c r="EP895" s="0"/>
      <c r="EQ895" s="0"/>
      <c r="ER895" s="0"/>
      <c r="ES895" s="0"/>
      <c r="ET895" s="0"/>
      <c r="EU895" s="0"/>
      <c r="EV895" s="0"/>
      <c r="EW895" s="0"/>
      <c r="EX895" s="0"/>
      <c r="EY895" s="0"/>
      <c r="EZ895" s="0"/>
      <c r="FA895" s="0"/>
      <c r="FB895" s="0"/>
      <c r="FC895" s="0"/>
      <c r="FD895" s="0"/>
      <c r="FE895" s="0"/>
      <c r="FF895" s="0"/>
      <c r="FG895" s="0"/>
      <c r="FH895" s="0"/>
      <c r="FI895" s="0"/>
      <c r="FJ895" s="0"/>
      <c r="FK895" s="0"/>
      <c r="FL895" s="0"/>
      <c r="FM895" s="0"/>
      <c r="FN895" s="0"/>
      <c r="FO895" s="0"/>
      <c r="FP895" s="0"/>
      <c r="FQ895" s="0"/>
      <c r="FR895" s="0"/>
      <c r="FS895" s="0"/>
      <c r="FT895" s="0"/>
      <c r="FU895" s="0"/>
      <c r="FV895" s="0"/>
      <c r="FW895" s="0"/>
      <c r="FX895" s="0"/>
      <c r="FY895" s="0"/>
      <c r="FZ895" s="0"/>
      <c r="GA895" s="0"/>
      <c r="GB895" s="0"/>
      <c r="GC895" s="0"/>
      <c r="GD895" s="0"/>
      <c r="GE895" s="0"/>
      <c r="GF895" s="0"/>
      <c r="GG895" s="0"/>
      <c r="GH895" s="0"/>
      <c r="GI895" s="0"/>
      <c r="GJ895" s="0"/>
      <c r="GK895" s="0"/>
      <c r="GL895" s="0"/>
      <c r="GM895" s="0"/>
      <c r="GN895" s="0"/>
      <c r="GO895" s="0"/>
      <c r="GP895" s="0"/>
      <c r="GQ895" s="0"/>
      <c r="GR895" s="0"/>
      <c r="GS895" s="0"/>
      <c r="GT895" s="0"/>
      <c r="GU895" s="0"/>
      <c r="GV895" s="0"/>
      <c r="GW895" s="0"/>
      <c r="GX895" s="0"/>
      <c r="GY895" s="0"/>
      <c r="GZ895" s="0"/>
      <c r="HA895" s="0"/>
      <c r="HB895" s="0"/>
      <c r="HC895" s="0"/>
      <c r="HD895" s="0"/>
      <c r="HE895" s="0"/>
      <c r="HF895" s="0"/>
      <c r="HG895" s="0"/>
      <c r="HH895" s="0"/>
      <c r="HI895" s="0"/>
      <c r="HJ895" s="0"/>
      <c r="HK895" s="0"/>
      <c r="HL895" s="0"/>
      <c r="HM895" s="0"/>
      <c r="HN895" s="0"/>
      <c r="HO895" s="0"/>
      <c r="HP895" s="0"/>
      <c r="HQ895" s="0"/>
      <c r="HR895" s="0"/>
      <c r="HS895" s="0"/>
      <c r="HT895" s="0"/>
      <c r="HU895" s="0"/>
      <c r="HV895" s="0"/>
      <c r="HW895" s="0"/>
      <c r="HX895" s="0"/>
      <c r="HY895" s="0"/>
      <c r="HZ895" s="0"/>
      <c r="IA895" s="0"/>
      <c r="IB895" s="0"/>
      <c r="IC895" s="0"/>
      <c r="ID895" s="0"/>
      <c r="IE895" s="0"/>
      <c r="IF895" s="0"/>
      <c r="IG895" s="0"/>
      <c r="IH895" s="0"/>
      <c r="II895" s="0"/>
      <c r="IJ895" s="0"/>
      <c r="IK895" s="0"/>
      <c r="IL895" s="0"/>
      <c r="IM895" s="0"/>
      <c r="IN895" s="0"/>
      <c r="IO895" s="0"/>
      <c r="IP895" s="0"/>
      <c r="IQ895" s="0"/>
      <c r="IR895" s="0"/>
      <c r="IS895" s="0"/>
      <c r="IT895" s="0"/>
      <c r="IU895" s="0"/>
      <c r="IV895" s="0"/>
    </row>
    <row r="896" customFormat="false" ht="15.75" hidden="false" customHeight="true" outlineLevel="0" collapsed="false">
      <c r="A896" s="364" t="s">
        <v>1626</v>
      </c>
      <c r="B896" s="364"/>
      <c r="C896" s="364"/>
      <c r="D896" s="364"/>
      <c r="F896" s="927"/>
      <c r="G896" s="19"/>
      <c r="H896" s="935"/>
      <c r="I896" s="935"/>
      <c r="M896" s="51"/>
    </row>
    <row r="897" customFormat="false" ht="15" hidden="false" customHeight="true" outlineLevel="0" collapsed="false">
      <c r="A897" s="364"/>
      <c r="B897" s="364"/>
      <c r="C897" s="364"/>
      <c r="D897" s="364"/>
      <c r="E897" s="1268" t="s">
        <v>1627</v>
      </c>
      <c r="F897" s="0"/>
      <c r="G897" s="0"/>
      <c r="H897" s="935"/>
      <c r="I897" s="935"/>
      <c r="K897" s="903"/>
      <c r="L897" s="877"/>
      <c r="M897" s="51"/>
      <c r="N897" s="0"/>
      <c r="O897" s="0"/>
      <c r="P897" s="0"/>
      <c r="Q897" s="0"/>
      <c r="R897" s="0"/>
      <c r="S897" s="0"/>
      <c r="T897" s="0"/>
      <c r="U897" s="0"/>
      <c r="V897" s="0"/>
      <c r="W897" s="0"/>
      <c r="X897" s="0"/>
      <c r="Y897" s="0"/>
      <c r="Z897" s="0"/>
      <c r="AA897" s="0"/>
      <c r="AB897" s="0"/>
      <c r="AC897" s="0"/>
      <c r="AD897" s="0"/>
      <c r="AE897" s="0"/>
      <c r="AF897" s="0"/>
      <c r="AG897" s="0"/>
      <c r="AH897" s="0"/>
      <c r="AI897" s="0"/>
      <c r="AJ897" s="0"/>
      <c r="AK897" s="0"/>
      <c r="AL897" s="0"/>
      <c r="AM897" s="0"/>
      <c r="AN897" s="0"/>
      <c r="AO897" s="0"/>
      <c r="AP897" s="0"/>
      <c r="AQ897" s="0"/>
      <c r="AR897" s="0"/>
      <c r="AS897" s="0"/>
      <c r="AT897" s="0"/>
      <c r="AU897" s="0"/>
      <c r="AV897" s="0"/>
      <c r="AW897" s="0"/>
      <c r="AX897" s="0"/>
      <c r="AY897" s="0"/>
      <c r="AZ897" s="0"/>
      <c r="BA897" s="0"/>
      <c r="BB897" s="0"/>
      <c r="BC897" s="0"/>
      <c r="BD897" s="0"/>
      <c r="BE897" s="0"/>
      <c r="BF897" s="0"/>
      <c r="BG897" s="0"/>
      <c r="BH897" s="0"/>
      <c r="BI897" s="0"/>
      <c r="BJ897" s="0"/>
      <c r="BK897" s="0"/>
      <c r="BL897" s="0"/>
      <c r="BM897" s="0"/>
      <c r="BN897" s="0"/>
      <c r="BO897" s="0"/>
      <c r="BP897" s="0"/>
      <c r="BQ897" s="0"/>
      <c r="BR897" s="0"/>
      <c r="BS897" s="0"/>
      <c r="BT897" s="0"/>
      <c r="BU897" s="0"/>
      <c r="BV897" s="0"/>
      <c r="BW897" s="0"/>
      <c r="BX897" s="0"/>
      <c r="BY897" s="0"/>
      <c r="BZ897" s="0"/>
      <c r="CA897" s="0"/>
      <c r="CB897" s="0"/>
      <c r="CC897" s="0"/>
      <c r="CD897" s="0"/>
      <c r="CE897" s="0"/>
      <c r="CF897" s="0"/>
      <c r="CG897" s="0"/>
      <c r="CH897" s="0"/>
      <c r="CI897" s="0"/>
      <c r="CJ897" s="0"/>
      <c r="CK897" s="0"/>
      <c r="CL897" s="0"/>
      <c r="CM897" s="0"/>
      <c r="CN897" s="0"/>
      <c r="CO897" s="0"/>
      <c r="CP897" s="0"/>
      <c r="CQ897" s="0"/>
      <c r="CR897" s="0"/>
      <c r="CS897" s="0"/>
      <c r="CT897" s="0"/>
      <c r="CU897" s="0"/>
      <c r="CV897" s="0"/>
      <c r="CW897" s="0"/>
      <c r="CX897" s="0"/>
      <c r="CY897" s="0"/>
      <c r="CZ897" s="0"/>
      <c r="DA897" s="0"/>
      <c r="DB897" s="0"/>
      <c r="DC897" s="0"/>
      <c r="DD897" s="0"/>
      <c r="DE897" s="0"/>
      <c r="DF897" s="0"/>
      <c r="DG897" s="0"/>
      <c r="DH897" s="0"/>
      <c r="DI897" s="0"/>
      <c r="DJ897" s="0"/>
      <c r="DK897" s="0"/>
      <c r="DL897" s="0"/>
      <c r="DM897" s="0"/>
      <c r="DN897" s="0"/>
      <c r="DO897" s="0"/>
      <c r="DP897" s="0"/>
      <c r="DQ897" s="0"/>
      <c r="DR897" s="0"/>
      <c r="DS897" s="0"/>
      <c r="DT897" s="0"/>
      <c r="DU897" s="0"/>
      <c r="DV897" s="0"/>
      <c r="DW897" s="0"/>
      <c r="DX897" s="0"/>
      <c r="DY897" s="0"/>
      <c r="DZ897" s="0"/>
      <c r="EA897" s="0"/>
      <c r="EB897" s="0"/>
      <c r="EC897" s="0"/>
      <c r="ED897" s="0"/>
      <c r="EE897" s="0"/>
      <c r="EF897" s="0"/>
      <c r="EG897" s="0"/>
      <c r="EH897" s="0"/>
      <c r="EI897" s="0"/>
      <c r="EJ897" s="0"/>
      <c r="EK897" s="0"/>
      <c r="EL897" s="0"/>
      <c r="EM897" s="0"/>
      <c r="EN897" s="0"/>
      <c r="EO897" s="0"/>
      <c r="EP897" s="0"/>
      <c r="EQ897" s="0"/>
      <c r="ER897" s="0"/>
      <c r="ES897" s="0"/>
      <c r="ET897" s="0"/>
      <c r="EU897" s="0"/>
      <c r="EV897" s="0"/>
      <c r="EW897" s="0"/>
      <c r="EX897" s="0"/>
      <c r="EY897" s="0"/>
      <c r="EZ897" s="0"/>
      <c r="FA897" s="0"/>
      <c r="FB897" s="0"/>
      <c r="FC897" s="0"/>
      <c r="FD897" s="0"/>
      <c r="FE897" s="0"/>
      <c r="FF897" s="0"/>
      <c r="FG897" s="0"/>
      <c r="FH897" s="0"/>
      <c r="FI897" s="0"/>
      <c r="FJ897" s="0"/>
      <c r="FK897" s="0"/>
      <c r="FL897" s="0"/>
      <c r="FM897" s="0"/>
      <c r="FN897" s="0"/>
      <c r="FO897" s="0"/>
      <c r="FP897" s="0"/>
      <c r="FQ897" s="0"/>
      <c r="FR897" s="0"/>
      <c r="FS897" s="0"/>
      <c r="FT897" s="0"/>
      <c r="FU897" s="0"/>
      <c r="FV897" s="0"/>
      <c r="FW897" s="0"/>
      <c r="FX897" s="0"/>
      <c r="FY897" s="0"/>
      <c r="FZ897" s="0"/>
      <c r="GA897" s="0"/>
      <c r="GB897" s="0"/>
      <c r="GC897" s="0"/>
      <c r="GD897" s="0"/>
      <c r="GE897" s="0"/>
      <c r="GF897" s="0"/>
      <c r="GG897" s="0"/>
      <c r="GH897" s="0"/>
      <c r="GI897" s="0"/>
      <c r="GJ897" s="0"/>
      <c r="GK897" s="0"/>
      <c r="GL897" s="0"/>
      <c r="GM897" s="0"/>
      <c r="GN897" s="0"/>
      <c r="GO897" s="0"/>
      <c r="GP897" s="0"/>
      <c r="GQ897" s="0"/>
      <c r="GR897" s="0"/>
      <c r="GS897" s="0"/>
      <c r="GT897" s="0"/>
      <c r="GU897" s="0"/>
      <c r="GV897" s="0"/>
      <c r="GW897" s="0"/>
      <c r="GX897" s="0"/>
      <c r="GY897" s="0"/>
      <c r="GZ897" s="0"/>
      <c r="HA897" s="0"/>
      <c r="HB897" s="0"/>
      <c r="HC897" s="0"/>
      <c r="HD897" s="0"/>
      <c r="HE897" s="0"/>
      <c r="HF897" s="0"/>
      <c r="HG897" s="0"/>
      <c r="HH897" s="0"/>
      <c r="HI897" s="0"/>
      <c r="HJ897" s="0"/>
      <c r="HK897" s="0"/>
      <c r="HL897" s="0"/>
      <c r="HM897" s="0"/>
      <c r="HN897" s="0"/>
      <c r="HO897" s="0"/>
      <c r="HP897" s="0"/>
      <c r="HQ897" s="0"/>
      <c r="HR897" s="0"/>
      <c r="HS897" s="0"/>
      <c r="HT897" s="0"/>
      <c r="HU897" s="0"/>
      <c r="HV897" s="0"/>
      <c r="HW897" s="0"/>
      <c r="HX897" s="0"/>
      <c r="HY897" s="0"/>
      <c r="HZ897" s="0"/>
      <c r="IA897" s="0"/>
      <c r="IB897" s="0"/>
      <c r="IC897" s="0"/>
      <c r="ID897" s="0"/>
      <c r="IE897" s="0"/>
      <c r="IF897" s="0"/>
      <c r="IG897" s="0"/>
      <c r="IH897" s="0"/>
      <c r="II897" s="0"/>
      <c r="IJ897" s="0"/>
      <c r="IK897" s="0"/>
      <c r="IL897" s="0"/>
      <c r="IM897" s="0"/>
      <c r="IN897" s="0"/>
      <c r="IO897" s="0"/>
      <c r="IP897" s="0"/>
      <c r="IQ897" s="0"/>
      <c r="IR897" s="0"/>
      <c r="IS897" s="0"/>
      <c r="IT897" s="0"/>
      <c r="IU897" s="0"/>
      <c r="IV897" s="0"/>
    </row>
    <row r="898" customFormat="false" ht="15" hidden="false" customHeight="true" outlineLevel="0" collapsed="false">
      <c r="A898" s="0"/>
      <c r="B898" s="0"/>
      <c r="C898" s="0"/>
      <c r="D898" s="0"/>
      <c r="E898" s="0"/>
      <c r="F898" s="428"/>
      <c r="G898" s="0"/>
      <c r="H898" s="0"/>
      <c r="I898" s="0"/>
      <c r="J898" s="1270"/>
      <c r="K898" s="903"/>
      <c r="L898" s="877"/>
      <c r="M898" s="0"/>
      <c r="N898" s="0"/>
      <c r="O898" s="0"/>
      <c r="P898" s="0"/>
      <c r="Q898" s="0"/>
      <c r="R898" s="0"/>
      <c r="S898" s="0"/>
      <c r="T898" s="0"/>
      <c r="U898" s="0"/>
      <c r="V898" s="0"/>
      <c r="W898" s="0"/>
      <c r="X898" s="0"/>
      <c r="Y898" s="0"/>
      <c r="Z898" s="0"/>
      <c r="AA898" s="0"/>
      <c r="AB898" s="0"/>
      <c r="AC898" s="0"/>
      <c r="AD898" s="0"/>
      <c r="AE898" s="0"/>
      <c r="AF898" s="0"/>
      <c r="AG898" s="0"/>
      <c r="AH898" s="0"/>
      <c r="AI898" s="0"/>
      <c r="AJ898" s="0"/>
      <c r="AK898" s="0"/>
      <c r="AL898" s="0"/>
      <c r="AM898" s="0"/>
      <c r="AN898" s="0"/>
      <c r="AO898" s="0"/>
      <c r="AP898" s="0"/>
      <c r="AQ898" s="0"/>
      <c r="AR898" s="0"/>
      <c r="AS898" s="0"/>
      <c r="AT898" s="0"/>
      <c r="AU898" s="0"/>
      <c r="AV898" s="0"/>
      <c r="AW898" s="0"/>
      <c r="AX898" s="0"/>
      <c r="AY898" s="0"/>
      <c r="AZ898" s="0"/>
      <c r="BA898" s="0"/>
      <c r="BB898" s="0"/>
      <c r="BC898" s="0"/>
      <c r="BD898" s="0"/>
      <c r="BE898" s="0"/>
      <c r="BF898" s="0"/>
      <c r="BG898" s="0"/>
      <c r="BH898" s="0"/>
      <c r="BI898" s="0"/>
      <c r="BJ898" s="0"/>
      <c r="BK898" s="0"/>
      <c r="BL898" s="0"/>
      <c r="BM898" s="0"/>
      <c r="BN898" s="0"/>
      <c r="BO898" s="0"/>
      <c r="BP898" s="0"/>
      <c r="BQ898" s="0"/>
      <c r="BR898" s="0"/>
      <c r="BS898" s="0"/>
      <c r="BT898" s="0"/>
      <c r="BU898" s="0"/>
      <c r="BV898" s="0"/>
      <c r="BW898" s="0"/>
      <c r="BX898" s="0"/>
      <c r="BY898" s="0"/>
      <c r="BZ898" s="0"/>
      <c r="CA898" s="0"/>
      <c r="CB898" s="0"/>
      <c r="CC898" s="0"/>
      <c r="CD898" s="0"/>
      <c r="CE898" s="0"/>
      <c r="CF898" s="0"/>
      <c r="CG898" s="0"/>
      <c r="CH898" s="0"/>
      <c r="CI898" s="0"/>
      <c r="CJ898" s="0"/>
      <c r="CK898" s="0"/>
      <c r="CL898" s="0"/>
      <c r="CM898" s="0"/>
      <c r="CN898" s="0"/>
      <c r="CO898" s="0"/>
      <c r="CP898" s="0"/>
      <c r="CQ898" s="0"/>
      <c r="CR898" s="0"/>
      <c r="CS898" s="0"/>
      <c r="CT898" s="0"/>
      <c r="CU898" s="0"/>
      <c r="CV898" s="0"/>
      <c r="CW898" s="0"/>
      <c r="CX898" s="0"/>
      <c r="CY898" s="0"/>
      <c r="CZ898" s="0"/>
      <c r="DA898" s="0"/>
      <c r="DB898" s="0"/>
      <c r="DC898" s="0"/>
      <c r="DD898" s="0"/>
      <c r="DE898" s="0"/>
      <c r="DF898" s="0"/>
      <c r="DG898" s="0"/>
      <c r="DH898" s="0"/>
      <c r="DI898" s="0"/>
      <c r="DJ898" s="0"/>
      <c r="DK898" s="0"/>
      <c r="DL898" s="0"/>
      <c r="DM898" s="0"/>
      <c r="DN898" s="0"/>
      <c r="DO898" s="0"/>
      <c r="DP898" s="0"/>
      <c r="DQ898" s="0"/>
      <c r="DR898" s="0"/>
      <c r="DS898" s="0"/>
      <c r="DT898" s="0"/>
      <c r="DU898" s="0"/>
      <c r="DV898" s="0"/>
      <c r="DW898" s="0"/>
      <c r="DX898" s="0"/>
      <c r="DY898" s="0"/>
      <c r="DZ898" s="0"/>
      <c r="EA898" s="0"/>
      <c r="EB898" s="0"/>
      <c r="EC898" s="0"/>
      <c r="ED898" s="0"/>
      <c r="EE898" s="0"/>
      <c r="EF898" s="0"/>
      <c r="EG898" s="0"/>
      <c r="EH898" s="0"/>
      <c r="EI898" s="0"/>
      <c r="EJ898" s="0"/>
      <c r="EK898" s="0"/>
      <c r="EL898" s="0"/>
      <c r="EM898" s="0"/>
      <c r="EN898" s="0"/>
      <c r="EO898" s="0"/>
      <c r="EP898" s="0"/>
      <c r="EQ898" s="0"/>
      <c r="ER898" s="0"/>
      <c r="ES898" s="0"/>
      <c r="ET898" s="0"/>
      <c r="EU898" s="0"/>
      <c r="EV898" s="0"/>
      <c r="EW898" s="0"/>
      <c r="EX898" s="0"/>
      <c r="EY898" s="0"/>
      <c r="EZ898" s="0"/>
      <c r="FA898" s="0"/>
      <c r="FB898" s="0"/>
      <c r="FC898" s="0"/>
      <c r="FD898" s="0"/>
      <c r="FE898" s="0"/>
      <c r="FF898" s="0"/>
      <c r="FG898" s="0"/>
      <c r="FH898" s="0"/>
      <c r="FI898" s="0"/>
      <c r="FJ898" s="0"/>
      <c r="FK898" s="0"/>
      <c r="FL898" s="0"/>
      <c r="FM898" s="0"/>
      <c r="FN898" s="0"/>
      <c r="FO898" s="0"/>
      <c r="FP898" s="0"/>
      <c r="FQ898" s="0"/>
      <c r="FR898" s="0"/>
      <c r="FS898" s="0"/>
      <c r="FT898" s="0"/>
      <c r="FU898" s="0"/>
      <c r="FV898" s="0"/>
      <c r="FW898" s="0"/>
      <c r="FX898" s="0"/>
      <c r="FY898" s="0"/>
      <c r="FZ898" s="0"/>
      <c r="GA898" s="0"/>
      <c r="GB898" s="0"/>
      <c r="GC898" s="0"/>
      <c r="GD898" s="0"/>
      <c r="GE898" s="0"/>
      <c r="GF898" s="0"/>
      <c r="GG898" s="0"/>
      <c r="GH898" s="0"/>
      <c r="GI898" s="0"/>
      <c r="GJ898" s="0"/>
      <c r="GK898" s="0"/>
      <c r="GL898" s="0"/>
      <c r="GM898" s="0"/>
      <c r="GN898" s="0"/>
      <c r="GO898" s="0"/>
      <c r="GP898" s="0"/>
      <c r="GQ898" s="0"/>
      <c r="GR898" s="0"/>
      <c r="GS898" s="0"/>
      <c r="GT898" s="0"/>
      <c r="GU898" s="0"/>
      <c r="GV898" s="0"/>
      <c r="GW898" s="0"/>
      <c r="GX898" s="0"/>
      <c r="GY898" s="0"/>
      <c r="GZ898" s="0"/>
      <c r="HA898" s="0"/>
      <c r="HB898" s="0"/>
      <c r="HC898" s="0"/>
      <c r="HD898" s="0"/>
      <c r="HE898" s="0"/>
      <c r="HF898" s="0"/>
      <c r="HG898" s="0"/>
      <c r="HH898" s="0"/>
      <c r="HI898" s="0"/>
      <c r="HJ898" s="0"/>
      <c r="HK898" s="0"/>
      <c r="HL898" s="0"/>
      <c r="HM898" s="0"/>
      <c r="HN898" s="0"/>
      <c r="HO898" s="0"/>
      <c r="HP898" s="0"/>
      <c r="HQ898" s="0"/>
      <c r="HR898" s="0"/>
      <c r="HS898" s="0"/>
      <c r="HT898" s="0"/>
      <c r="HU898" s="0"/>
      <c r="HV898" s="0"/>
      <c r="HW898" s="0"/>
      <c r="HX898" s="0"/>
      <c r="HY898" s="0"/>
      <c r="HZ898" s="0"/>
      <c r="IA898" s="0"/>
      <c r="IB898" s="0"/>
      <c r="IC898" s="0"/>
      <c r="ID898" s="0"/>
      <c r="IE898" s="0"/>
      <c r="IF898" s="0"/>
      <c r="IG898" s="0"/>
      <c r="IH898" s="0"/>
      <c r="II898" s="0"/>
      <c r="IJ898" s="0"/>
      <c r="IK898" s="0"/>
      <c r="IL898" s="0"/>
      <c r="IM898" s="0"/>
      <c r="IN898" s="0"/>
      <c r="IO898" s="0"/>
      <c r="IP898" s="0"/>
      <c r="IQ898" s="0"/>
      <c r="IR898" s="0"/>
      <c r="IS898" s="0"/>
      <c r="IT898" s="0"/>
      <c r="IU898" s="0"/>
      <c r="IV898" s="0"/>
    </row>
    <row r="899" customFormat="false" ht="15.75" hidden="false" customHeight="true" outlineLevel="0" collapsed="false">
      <c r="A899" s="869" t="s">
        <v>1628</v>
      </c>
      <c r="B899" s="869"/>
      <c r="C899" s="869"/>
      <c r="D899" s="869"/>
      <c r="E899" s="869"/>
      <c r="F899" s="869"/>
      <c r="G899" s="869"/>
      <c r="H899" s="53"/>
      <c r="I899" s="53"/>
      <c r="J899" s="53"/>
      <c r="K899" s="870"/>
      <c r="L899" s="871" t="s">
        <v>1629</v>
      </c>
      <c r="M899" s="55"/>
      <c r="T899" s="0"/>
      <c r="U899" s="0"/>
      <c r="V899" s="0"/>
      <c r="W899" s="0"/>
      <c r="X899" s="0"/>
      <c r="Y899" s="0"/>
      <c r="Z899" s="0"/>
      <c r="AA899" s="0"/>
      <c r="AB899" s="0"/>
      <c r="AC899" s="0"/>
      <c r="AD899" s="0"/>
      <c r="AE899" s="0"/>
      <c r="AF899" s="0"/>
      <c r="AG899" s="0"/>
      <c r="AH899" s="0"/>
      <c r="AI899" s="0"/>
      <c r="AJ899" s="0"/>
      <c r="AK899" s="0"/>
      <c r="AL899" s="0"/>
      <c r="AM899" s="0"/>
      <c r="AN899" s="0"/>
      <c r="AO899" s="0"/>
      <c r="AP899" s="0"/>
      <c r="AQ899" s="0"/>
      <c r="AR899" s="0"/>
      <c r="AS899" s="0"/>
      <c r="AT899" s="0"/>
      <c r="AU899" s="0"/>
      <c r="AV899" s="0"/>
      <c r="AW899" s="0"/>
      <c r="AX899" s="0"/>
      <c r="AY899" s="0"/>
      <c r="AZ899" s="0"/>
      <c r="BA899" s="0"/>
      <c r="BB899" s="0"/>
      <c r="BC899" s="0"/>
      <c r="BD899" s="0"/>
      <c r="BE899" s="0"/>
      <c r="BF899" s="0"/>
      <c r="BG899" s="0"/>
      <c r="BH899" s="0"/>
      <c r="BI899" s="0"/>
      <c r="BJ899" s="0"/>
      <c r="BK899" s="0"/>
      <c r="BL899" s="0"/>
      <c r="BM899" s="0"/>
      <c r="BN899" s="0"/>
      <c r="BO899" s="0"/>
      <c r="BP899" s="0"/>
      <c r="BQ899" s="0"/>
      <c r="BR899" s="0"/>
      <c r="BS899" s="0"/>
      <c r="BT899" s="0"/>
      <c r="BU899" s="0"/>
      <c r="BV899" s="0"/>
      <c r="BW899" s="0"/>
      <c r="BX899" s="0"/>
      <c r="BY899" s="0"/>
      <c r="BZ899" s="0"/>
      <c r="CA899" s="0"/>
      <c r="CB899" s="0"/>
      <c r="CC899" s="0"/>
      <c r="CD899" s="0"/>
      <c r="CE899" s="0"/>
      <c r="CF899" s="0"/>
      <c r="CG899" s="0"/>
      <c r="CH899" s="0"/>
      <c r="CI899" s="0"/>
      <c r="CJ899" s="0"/>
      <c r="CK899" s="0"/>
      <c r="CL899" s="0"/>
      <c r="CM899" s="0"/>
      <c r="CN899" s="0"/>
      <c r="CO899" s="0"/>
      <c r="CP899" s="0"/>
      <c r="CQ899" s="0"/>
      <c r="CR899" s="0"/>
      <c r="CS899" s="0"/>
      <c r="CT899" s="0"/>
      <c r="CU899" s="0"/>
      <c r="CV899" s="0"/>
      <c r="CW899" s="0"/>
      <c r="CX899" s="0"/>
      <c r="CY899" s="0"/>
      <c r="CZ899" s="0"/>
      <c r="DA899" s="0"/>
      <c r="DB899" s="0"/>
      <c r="DC899" s="0"/>
      <c r="DD899" s="0"/>
      <c r="DE899" s="0"/>
      <c r="DF899" s="0"/>
      <c r="DG899" s="0"/>
      <c r="DH899" s="0"/>
      <c r="DI899" s="0"/>
      <c r="DJ899" s="0"/>
      <c r="DK899" s="0"/>
      <c r="DL899" s="0"/>
      <c r="DM899" s="0"/>
      <c r="DN899" s="0"/>
      <c r="DO899" s="0"/>
      <c r="DP899" s="0"/>
      <c r="DQ899" s="0"/>
      <c r="DR899" s="0"/>
      <c r="DS899" s="0"/>
      <c r="DT899" s="0"/>
      <c r="DU899" s="0"/>
      <c r="DV899" s="0"/>
      <c r="DW899" s="0"/>
      <c r="DX899" s="0"/>
      <c r="DY899" s="0"/>
      <c r="DZ899" s="0"/>
      <c r="EA899" s="0"/>
      <c r="EB899" s="0"/>
      <c r="EC899" s="0"/>
      <c r="ED899" s="0"/>
      <c r="EE899" s="0"/>
      <c r="EF899" s="0"/>
      <c r="EG899" s="0"/>
      <c r="EH899" s="0"/>
      <c r="EI899" s="0"/>
      <c r="EJ899" s="0"/>
      <c r="EK899" s="0"/>
      <c r="EL899" s="0"/>
      <c r="EM899" s="0"/>
      <c r="EN899" s="0"/>
      <c r="EO899" s="0"/>
      <c r="EP899" s="0"/>
      <c r="EQ899" s="0"/>
      <c r="ER899" s="0"/>
      <c r="ES899" s="0"/>
      <c r="ET899" s="0"/>
      <c r="EU899" s="0"/>
      <c r="EV899" s="0"/>
      <c r="EW899" s="0"/>
      <c r="EX899" s="0"/>
      <c r="EY899" s="0"/>
      <c r="EZ899" s="0"/>
      <c r="FA899" s="0"/>
      <c r="FB899" s="0"/>
      <c r="FC899" s="0"/>
      <c r="FD899" s="0"/>
      <c r="FE899" s="0"/>
      <c r="FF899" s="0"/>
      <c r="FG899" s="0"/>
      <c r="FH899" s="0"/>
      <c r="FI899" s="0"/>
      <c r="FJ899" s="0"/>
      <c r="FK899" s="0"/>
      <c r="FL899" s="0"/>
      <c r="FM899" s="0"/>
      <c r="FN899" s="0"/>
      <c r="FO899" s="0"/>
      <c r="FP899" s="0"/>
      <c r="FQ899" s="0"/>
      <c r="FR899" s="0"/>
      <c r="FS899" s="0"/>
      <c r="FT899" s="0"/>
      <c r="FU899" s="0"/>
      <c r="FV899" s="0"/>
      <c r="FW899" s="0"/>
      <c r="FX899" s="0"/>
      <c r="FY899" s="0"/>
      <c r="FZ899" s="0"/>
      <c r="GA899" s="0"/>
      <c r="GB899" s="0"/>
      <c r="GC899" s="0"/>
      <c r="GD899" s="0"/>
      <c r="GE899" s="0"/>
      <c r="GF899" s="0"/>
      <c r="GG899" s="0"/>
      <c r="GH899" s="0"/>
      <c r="GI899" s="0"/>
      <c r="GJ899" s="0"/>
      <c r="GK899" s="0"/>
      <c r="GL899" s="0"/>
      <c r="GM899" s="0"/>
      <c r="GN899" s="0"/>
      <c r="GO899" s="0"/>
      <c r="GP899" s="0"/>
      <c r="GQ899" s="0"/>
      <c r="GR899" s="0"/>
      <c r="GS899" s="0"/>
      <c r="GT899" s="0"/>
      <c r="GU899" s="0"/>
      <c r="GV899" s="0"/>
      <c r="GW899" s="0"/>
      <c r="GX899" s="0"/>
      <c r="GY899" s="0"/>
      <c r="GZ899" s="0"/>
      <c r="HA899" s="0"/>
      <c r="HB899" s="0"/>
      <c r="HC899" s="0"/>
      <c r="HD899" s="0"/>
      <c r="HE899" s="0"/>
      <c r="HF899" s="0"/>
      <c r="HG899" s="0"/>
      <c r="HH899" s="0"/>
      <c r="HI899" s="0"/>
      <c r="HJ899" s="0"/>
      <c r="HK899" s="0"/>
      <c r="HL899" s="0"/>
      <c r="HM899" s="0"/>
      <c r="HN899" s="0"/>
      <c r="HO899" s="0"/>
      <c r="HP899" s="0"/>
      <c r="HQ899" s="0"/>
      <c r="HR899" s="0"/>
      <c r="HS899" s="0"/>
      <c r="HT899" s="0"/>
      <c r="HU899" s="0"/>
      <c r="HV899" s="0"/>
      <c r="HW899" s="0"/>
      <c r="HX899" s="0"/>
      <c r="HY899" s="0"/>
      <c r="HZ899" s="0"/>
      <c r="IA899" s="0"/>
      <c r="IB899" s="0"/>
      <c r="IC899" s="0"/>
      <c r="ID899" s="0"/>
      <c r="IE899" s="0"/>
      <c r="IF899" s="0"/>
      <c r="IG899" s="0"/>
      <c r="IH899" s="0"/>
      <c r="II899" s="0"/>
      <c r="IJ899" s="0"/>
      <c r="IK899" s="0"/>
      <c r="IL899" s="0"/>
      <c r="IM899" s="0"/>
      <c r="IN899" s="0"/>
      <c r="IO899" s="0"/>
      <c r="IP899" s="0"/>
      <c r="IQ899" s="0"/>
      <c r="IR899" s="0"/>
      <c r="IS899" s="0"/>
      <c r="IT899" s="0"/>
      <c r="IU899" s="0"/>
      <c r="IV899" s="0"/>
    </row>
    <row r="900" customFormat="false" ht="15.75" hidden="false" customHeight="true" outlineLevel="0" collapsed="false">
      <c r="A900" s="1005"/>
      <c r="B900" s="1005"/>
      <c r="C900" s="19"/>
      <c r="D900" s="19"/>
      <c r="E900" s="935"/>
      <c r="F900" s="935"/>
      <c r="G900" s="935"/>
      <c r="J900" s="0"/>
      <c r="K900" s="903"/>
      <c r="L900" s="877"/>
      <c r="M900" s="55"/>
      <c r="T900" s="0"/>
      <c r="U900" s="0"/>
      <c r="V900" s="0"/>
      <c r="W900" s="0"/>
      <c r="X900" s="0"/>
      <c r="Y900" s="0"/>
      <c r="Z900" s="0"/>
      <c r="AA900" s="0"/>
      <c r="AB900" s="0"/>
      <c r="AC900" s="0"/>
      <c r="AD900" s="0"/>
      <c r="AE900" s="0"/>
      <c r="AF900" s="0"/>
      <c r="AG900" s="0"/>
      <c r="AH900" s="0"/>
      <c r="AI900" s="0"/>
      <c r="AJ900" s="0"/>
      <c r="AK900" s="0"/>
      <c r="AL900" s="0"/>
      <c r="AM900" s="0"/>
      <c r="AN900" s="0"/>
      <c r="AO900" s="0"/>
      <c r="AP900" s="0"/>
      <c r="AQ900" s="0"/>
      <c r="AR900" s="0"/>
      <c r="AS900" s="0"/>
      <c r="AT900" s="0"/>
      <c r="AU900" s="0"/>
      <c r="AV900" s="0"/>
      <c r="AW900" s="0"/>
      <c r="AX900" s="0"/>
      <c r="AY900" s="0"/>
      <c r="AZ900" s="0"/>
      <c r="BA900" s="0"/>
      <c r="BB900" s="0"/>
      <c r="BC900" s="0"/>
      <c r="BD900" s="0"/>
      <c r="BE900" s="0"/>
      <c r="BF900" s="0"/>
      <c r="BG900" s="0"/>
      <c r="BH900" s="0"/>
      <c r="BI900" s="0"/>
      <c r="BJ900" s="0"/>
      <c r="BK900" s="0"/>
      <c r="BL900" s="0"/>
      <c r="BM900" s="0"/>
      <c r="BN900" s="0"/>
      <c r="BO900" s="0"/>
      <c r="BP900" s="0"/>
      <c r="BQ900" s="0"/>
      <c r="BR900" s="0"/>
      <c r="BS900" s="0"/>
      <c r="BT900" s="0"/>
      <c r="BU900" s="0"/>
      <c r="BV900" s="0"/>
      <c r="BW900" s="0"/>
      <c r="BX900" s="0"/>
      <c r="BY900" s="0"/>
      <c r="BZ900" s="0"/>
      <c r="CA900" s="0"/>
      <c r="CB900" s="0"/>
      <c r="CC900" s="0"/>
      <c r="CD900" s="0"/>
      <c r="CE900" s="0"/>
      <c r="CF900" s="0"/>
      <c r="CG900" s="0"/>
      <c r="CH900" s="0"/>
      <c r="CI900" s="0"/>
      <c r="CJ900" s="0"/>
      <c r="CK900" s="0"/>
      <c r="CL900" s="0"/>
      <c r="CM900" s="0"/>
      <c r="CN900" s="0"/>
      <c r="CO900" s="0"/>
      <c r="CP900" s="0"/>
      <c r="CQ900" s="0"/>
      <c r="CR900" s="0"/>
      <c r="CS900" s="0"/>
      <c r="CT900" s="0"/>
      <c r="CU900" s="0"/>
      <c r="CV900" s="0"/>
      <c r="CW900" s="0"/>
      <c r="CX900" s="0"/>
      <c r="CY900" s="0"/>
      <c r="CZ900" s="0"/>
      <c r="DA900" s="0"/>
      <c r="DB900" s="0"/>
      <c r="DC900" s="0"/>
      <c r="DD900" s="0"/>
      <c r="DE900" s="0"/>
      <c r="DF900" s="0"/>
      <c r="DG900" s="0"/>
      <c r="DH900" s="0"/>
      <c r="DI900" s="0"/>
      <c r="DJ900" s="0"/>
      <c r="DK900" s="0"/>
      <c r="DL900" s="0"/>
      <c r="DM900" s="0"/>
      <c r="DN900" s="0"/>
      <c r="DO900" s="0"/>
      <c r="DP900" s="0"/>
      <c r="DQ900" s="0"/>
      <c r="DR900" s="0"/>
      <c r="DS900" s="0"/>
      <c r="DT900" s="0"/>
      <c r="DU900" s="0"/>
      <c r="DV900" s="0"/>
      <c r="DW900" s="0"/>
      <c r="DX900" s="0"/>
      <c r="DY900" s="0"/>
      <c r="DZ900" s="0"/>
      <c r="EA900" s="0"/>
      <c r="EB900" s="0"/>
      <c r="EC900" s="0"/>
      <c r="ED900" s="0"/>
      <c r="EE900" s="0"/>
      <c r="EF900" s="0"/>
      <c r="EG900" s="0"/>
      <c r="EH900" s="0"/>
      <c r="EI900" s="0"/>
      <c r="EJ900" s="0"/>
      <c r="EK900" s="0"/>
      <c r="EL900" s="0"/>
      <c r="EM900" s="0"/>
      <c r="EN900" s="0"/>
      <c r="EO900" s="0"/>
      <c r="EP900" s="0"/>
      <c r="EQ900" s="0"/>
      <c r="ER900" s="0"/>
      <c r="ES900" s="0"/>
      <c r="ET900" s="0"/>
      <c r="EU900" s="0"/>
      <c r="EV900" s="0"/>
      <c r="EW900" s="0"/>
      <c r="EX900" s="0"/>
      <c r="EY900" s="0"/>
      <c r="EZ900" s="0"/>
      <c r="FA900" s="0"/>
      <c r="FB900" s="0"/>
      <c r="FC900" s="0"/>
      <c r="FD900" s="0"/>
      <c r="FE900" s="0"/>
      <c r="FF900" s="0"/>
      <c r="FG900" s="0"/>
      <c r="FH900" s="0"/>
      <c r="FI900" s="0"/>
      <c r="FJ900" s="0"/>
      <c r="FK900" s="0"/>
      <c r="FL900" s="0"/>
      <c r="FM900" s="0"/>
      <c r="FN900" s="0"/>
      <c r="FO900" s="0"/>
      <c r="FP900" s="0"/>
      <c r="FQ900" s="0"/>
      <c r="FR900" s="0"/>
      <c r="FS900" s="0"/>
      <c r="FT900" s="0"/>
      <c r="FU900" s="0"/>
      <c r="FV900" s="0"/>
      <c r="FW900" s="0"/>
      <c r="FX900" s="0"/>
      <c r="FY900" s="0"/>
      <c r="FZ900" s="0"/>
      <c r="GA900" s="0"/>
      <c r="GB900" s="0"/>
      <c r="GC900" s="0"/>
      <c r="GD900" s="0"/>
      <c r="GE900" s="0"/>
      <c r="GF900" s="0"/>
      <c r="GG900" s="0"/>
      <c r="GH900" s="0"/>
      <c r="GI900" s="0"/>
      <c r="GJ900" s="0"/>
      <c r="GK900" s="0"/>
      <c r="GL900" s="0"/>
      <c r="GM900" s="0"/>
      <c r="GN900" s="0"/>
      <c r="GO900" s="0"/>
      <c r="GP900" s="0"/>
      <c r="GQ900" s="0"/>
      <c r="GR900" s="0"/>
      <c r="GS900" s="0"/>
      <c r="GT900" s="0"/>
      <c r="GU900" s="0"/>
      <c r="GV900" s="0"/>
      <c r="GW900" s="0"/>
      <c r="GX900" s="0"/>
      <c r="GY900" s="0"/>
      <c r="GZ900" s="0"/>
      <c r="HA900" s="0"/>
      <c r="HB900" s="0"/>
      <c r="HC900" s="0"/>
      <c r="HD900" s="0"/>
      <c r="HE900" s="0"/>
      <c r="HF900" s="0"/>
      <c r="HG900" s="0"/>
      <c r="HH900" s="0"/>
      <c r="HI900" s="0"/>
      <c r="HJ900" s="0"/>
      <c r="HK900" s="0"/>
      <c r="HL900" s="0"/>
      <c r="HM900" s="0"/>
      <c r="HN900" s="0"/>
      <c r="HO900" s="0"/>
      <c r="HP900" s="0"/>
      <c r="HQ900" s="0"/>
      <c r="HR900" s="0"/>
      <c r="HS900" s="0"/>
      <c r="HT900" s="0"/>
      <c r="HU900" s="0"/>
      <c r="HV900" s="0"/>
      <c r="HW900" s="0"/>
      <c r="HX900" s="0"/>
      <c r="HY900" s="0"/>
      <c r="HZ900" s="0"/>
      <c r="IA900" s="0"/>
      <c r="IB900" s="0"/>
      <c r="IC900" s="0"/>
      <c r="ID900" s="0"/>
      <c r="IE900" s="0"/>
      <c r="IF900" s="0"/>
      <c r="IG900" s="0"/>
      <c r="IH900" s="0"/>
      <c r="II900" s="0"/>
      <c r="IJ900" s="0"/>
      <c r="IK900" s="0"/>
      <c r="IL900" s="0"/>
      <c r="IM900" s="0"/>
      <c r="IN900" s="0"/>
      <c r="IO900" s="0"/>
      <c r="IP900" s="0"/>
      <c r="IQ900" s="0"/>
      <c r="IR900" s="0"/>
      <c r="IS900" s="0"/>
      <c r="IT900" s="0"/>
      <c r="IU900" s="0"/>
      <c r="IV900" s="0"/>
    </row>
    <row r="901" customFormat="false" ht="20.1" hidden="false" customHeight="true" outlineLevel="0" collapsed="false">
      <c r="A901" s="14" t="s">
        <v>683</v>
      </c>
      <c r="B901" s="0"/>
      <c r="C901" s="0"/>
      <c r="D901" s="0"/>
      <c r="E901" s="916" t="s">
        <v>1346</v>
      </c>
      <c r="O901" s="19"/>
    </row>
    <row r="902" customFormat="false" ht="110.25" hidden="false" customHeight="true" outlineLevel="0" collapsed="false">
      <c r="A902" s="1271" t="s">
        <v>1630</v>
      </c>
      <c r="B902" s="1271"/>
      <c r="C902" s="1271"/>
      <c r="D902" s="1271"/>
      <c r="E902" s="1271"/>
      <c r="F902" s="1271"/>
      <c r="H902" s="14"/>
      <c r="K902" s="903"/>
      <c r="L902" s="877"/>
    </row>
    <row r="903" customFormat="false" ht="15.75" hidden="false" customHeight="true" outlineLevel="0" collapsed="false">
      <c r="K903" s="903"/>
      <c r="L903" s="877"/>
    </row>
    <row r="904" customFormat="false" ht="15.75" hidden="false" customHeight="true" outlineLevel="0" collapsed="false">
      <c r="H904" s="14"/>
      <c r="K904" s="903"/>
      <c r="L904" s="877"/>
    </row>
    <row r="905" customFormat="false" ht="15.75" hidden="false" customHeight="true" outlineLevel="0" collapsed="false">
      <c r="A905" s="1272" t="s">
        <v>681</v>
      </c>
      <c r="B905" s="1272"/>
      <c r="C905" s="1272"/>
      <c r="D905" s="1272"/>
      <c r="E905" s="916" t="s">
        <v>254</v>
      </c>
      <c r="H905" s="1273"/>
      <c r="I905" s="1273"/>
      <c r="K905" s="903"/>
      <c r="L905" s="877"/>
    </row>
    <row r="906" customFormat="false" ht="15.75" hidden="false" customHeight="true" outlineLevel="0" collapsed="false">
      <c r="A906" s="1274" t="s">
        <v>682</v>
      </c>
      <c r="B906" s="1274"/>
      <c r="C906" s="1274"/>
      <c r="D906" s="1274"/>
      <c r="E906" s="1274"/>
      <c r="F906" s="1274"/>
      <c r="H906" s="1273"/>
      <c r="I906" s="1275"/>
      <c r="K906" s="55"/>
      <c r="L906" s="55"/>
    </row>
    <row r="907" customFormat="false" ht="15.75" hidden="false" customHeight="true" outlineLevel="0" collapsed="false">
      <c r="A907" s="14"/>
      <c r="B907" s="0"/>
      <c r="C907" s="0"/>
      <c r="D907" s="0"/>
      <c r="E907" s="414"/>
      <c r="F907" s="19"/>
      <c r="G907" s="0"/>
      <c r="H907" s="1273"/>
      <c r="I907" s="1275"/>
      <c r="K907" s="903"/>
      <c r="L907" s="877"/>
    </row>
    <row r="908" customFormat="false" ht="15.75" hidden="false" customHeight="true" outlineLevel="0" collapsed="false">
      <c r="H908" s="0"/>
      <c r="I908" s="1275"/>
      <c r="K908" s="903"/>
      <c r="L908" s="877"/>
    </row>
    <row r="909" customFormat="false" ht="15.75" hidden="false" customHeight="true" outlineLevel="0" collapsed="false">
      <c r="A909" s="869" t="s">
        <v>1631</v>
      </c>
      <c r="B909" s="869"/>
      <c r="C909" s="869"/>
      <c r="D909" s="869"/>
      <c r="E909" s="869"/>
      <c r="F909" s="869"/>
      <c r="G909" s="869"/>
      <c r="H909" s="53"/>
      <c r="I909" s="53"/>
      <c r="J909" s="53"/>
      <c r="K909" s="870"/>
      <c r="L909" s="871" t="s">
        <v>1613</v>
      </c>
    </row>
    <row r="910" customFormat="false" ht="15.75" hidden="false" customHeight="true" outlineLevel="0" collapsed="false">
      <c r="H910" s="0"/>
      <c r="I910" s="414"/>
      <c r="J910" s="11"/>
      <c r="K910" s="903"/>
      <c r="L910" s="877"/>
    </row>
    <row r="911" customFormat="false" ht="15.75" hidden="false" customHeight="true" outlineLevel="0" collapsed="false">
      <c r="A911" s="18" t="s">
        <v>1632</v>
      </c>
      <c r="K911" s="903"/>
      <c r="L911" s="877"/>
      <c r="M911" s="0"/>
      <c r="N911" s="0"/>
      <c r="O911" s="0"/>
      <c r="P911" s="0"/>
      <c r="Q911" s="0"/>
      <c r="R911" s="0"/>
      <c r="S911" s="0"/>
      <c r="T911" s="0"/>
      <c r="U911" s="0"/>
      <c r="V911" s="0"/>
      <c r="W911" s="0"/>
      <c r="X911" s="0"/>
      <c r="Y911" s="0"/>
      <c r="Z911" s="0"/>
      <c r="AA911" s="0"/>
      <c r="AB911" s="0"/>
      <c r="AC911" s="0"/>
      <c r="AD911" s="0"/>
      <c r="AE911" s="0"/>
      <c r="AF911" s="0"/>
      <c r="AG911" s="0"/>
      <c r="AH911" s="0"/>
      <c r="AI911" s="0"/>
      <c r="AJ911" s="0"/>
      <c r="AK911" s="0"/>
      <c r="AL911" s="0"/>
      <c r="AM911" s="0"/>
      <c r="AN911" s="0"/>
      <c r="AO911" s="0"/>
      <c r="AP911" s="0"/>
      <c r="AQ911" s="0"/>
      <c r="AR911" s="0"/>
      <c r="AS911" s="0"/>
      <c r="AT911" s="0"/>
      <c r="AU911" s="0"/>
      <c r="AV911" s="0"/>
      <c r="AW911" s="0"/>
      <c r="AX911" s="0"/>
      <c r="AY911" s="0"/>
      <c r="AZ911" s="0"/>
      <c r="BA911" s="0"/>
      <c r="BB911" s="0"/>
      <c r="BC911" s="0"/>
      <c r="BD911" s="0"/>
      <c r="BE911" s="0"/>
      <c r="BF911" s="0"/>
      <c r="BG911" s="0"/>
      <c r="BH911" s="0"/>
      <c r="BI911" s="0"/>
      <c r="BJ911" s="0"/>
      <c r="BK911" s="0"/>
      <c r="BL911" s="0"/>
      <c r="BM911" s="0"/>
      <c r="BN911" s="0"/>
      <c r="BO911" s="0"/>
      <c r="BP911" s="0"/>
      <c r="BQ911" s="0"/>
      <c r="BR911" s="0"/>
      <c r="BS911" s="0"/>
      <c r="BT911" s="0"/>
      <c r="BU911" s="0"/>
      <c r="BV911" s="0"/>
      <c r="BW911" s="0"/>
      <c r="BX911" s="0"/>
      <c r="BY911" s="0"/>
      <c r="BZ911" s="0"/>
      <c r="CA911" s="0"/>
      <c r="CB911" s="0"/>
      <c r="CC911" s="0"/>
      <c r="CD911" s="0"/>
      <c r="CE911" s="0"/>
      <c r="CF911" s="0"/>
      <c r="CG911" s="0"/>
      <c r="CH911" s="0"/>
      <c r="CI911" s="0"/>
      <c r="CJ911" s="0"/>
      <c r="CK911" s="0"/>
      <c r="CL911" s="0"/>
      <c r="CM911" s="0"/>
      <c r="CN911" s="0"/>
      <c r="CO911" s="0"/>
      <c r="CP911" s="0"/>
      <c r="CQ911" s="0"/>
      <c r="CR911" s="0"/>
      <c r="CS911" s="0"/>
      <c r="CT911" s="0"/>
      <c r="CU911" s="0"/>
      <c r="CV911" s="0"/>
      <c r="CW911" s="0"/>
      <c r="CX911" s="0"/>
      <c r="CY911" s="0"/>
      <c r="CZ911" s="0"/>
      <c r="DA911" s="0"/>
      <c r="DB911" s="0"/>
      <c r="DC911" s="0"/>
      <c r="DD911" s="0"/>
      <c r="DE911" s="0"/>
      <c r="DF911" s="0"/>
      <c r="DG911" s="0"/>
      <c r="DH911" s="0"/>
      <c r="DI911" s="0"/>
      <c r="DJ911" s="0"/>
      <c r="DK911" s="0"/>
      <c r="DL911" s="0"/>
      <c r="DM911" s="0"/>
      <c r="DN911" s="0"/>
      <c r="DO911" s="0"/>
      <c r="DP911" s="0"/>
      <c r="DQ911" s="0"/>
      <c r="DR911" s="0"/>
      <c r="DS911" s="0"/>
      <c r="DT911" s="0"/>
      <c r="DU911" s="0"/>
      <c r="DV911" s="0"/>
      <c r="DW911" s="0"/>
      <c r="DX911" s="0"/>
      <c r="DY911" s="0"/>
      <c r="DZ911" s="0"/>
      <c r="EA911" s="0"/>
      <c r="EB911" s="0"/>
      <c r="EC911" s="0"/>
      <c r="ED911" s="0"/>
      <c r="EE911" s="0"/>
      <c r="EF911" s="0"/>
      <c r="EG911" s="0"/>
      <c r="EH911" s="0"/>
      <c r="EI911" s="0"/>
      <c r="EJ911" s="0"/>
      <c r="EK911" s="0"/>
      <c r="EL911" s="0"/>
      <c r="EM911" s="0"/>
      <c r="EN911" s="0"/>
      <c r="EO911" s="0"/>
      <c r="EP911" s="0"/>
      <c r="EQ911" s="0"/>
      <c r="ER911" s="0"/>
      <c r="ES911" s="0"/>
      <c r="ET911" s="0"/>
      <c r="EU911" s="0"/>
      <c r="EV911" s="0"/>
      <c r="EW911" s="0"/>
      <c r="EX911" s="0"/>
      <c r="EY911" s="0"/>
      <c r="EZ911" s="0"/>
      <c r="FA911" s="0"/>
      <c r="FB911" s="0"/>
      <c r="FC911" s="0"/>
      <c r="FD911" s="0"/>
      <c r="FE911" s="0"/>
      <c r="FF911" s="0"/>
      <c r="FG911" s="0"/>
      <c r="FH911" s="0"/>
      <c r="FI911" s="0"/>
      <c r="FJ911" s="0"/>
      <c r="FK911" s="0"/>
      <c r="FL911" s="0"/>
      <c r="FM911" s="0"/>
      <c r="FN911" s="0"/>
      <c r="FO911" s="0"/>
      <c r="FP911" s="0"/>
      <c r="FQ911" s="0"/>
      <c r="FR911" s="0"/>
      <c r="FS911" s="0"/>
      <c r="FT911" s="0"/>
      <c r="FU911" s="0"/>
      <c r="FV911" s="0"/>
      <c r="FW911" s="0"/>
      <c r="FX911" s="0"/>
      <c r="FY911" s="0"/>
      <c r="FZ911" s="0"/>
      <c r="GA911" s="0"/>
      <c r="GB911" s="0"/>
      <c r="GC911" s="0"/>
      <c r="GD911" s="0"/>
      <c r="GE911" s="0"/>
      <c r="GF911" s="0"/>
      <c r="GG911" s="0"/>
      <c r="GH911" s="0"/>
      <c r="GI911" s="0"/>
      <c r="GJ911" s="0"/>
      <c r="GK911" s="0"/>
      <c r="GL911" s="0"/>
      <c r="GM911" s="0"/>
      <c r="GN911" s="0"/>
      <c r="GO911" s="0"/>
      <c r="GP911" s="0"/>
      <c r="GQ911" s="0"/>
      <c r="GR911" s="0"/>
      <c r="GS911" s="0"/>
      <c r="GT911" s="0"/>
      <c r="GU911" s="0"/>
      <c r="GV911" s="0"/>
      <c r="GW911" s="0"/>
      <c r="GX911" s="0"/>
      <c r="GY911" s="0"/>
      <c r="GZ911" s="0"/>
      <c r="HA911" s="0"/>
      <c r="HB911" s="0"/>
      <c r="HC911" s="0"/>
      <c r="HD911" s="0"/>
      <c r="HE911" s="0"/>
      <c r="HF911" s="0"/>
      <c r="HG911" s="0"/>
      <c r="HH911" s="0"/>
      <c r="HI911" s="0"/>
      <c r="HJ911" s="0"/>
      <c r="HK911" s="0"/>
      <c r="HL911" s="0"/>
      <c r="HM911" s="0"/>
      <c r="HN911" s="0"/>
      <c r="HO911" s="0"/>
      <c r="HP911" s="0"/>
      <c r="HQ911" s="0"/>
      <c r="HR911" s="0"/>
      <c r="HS911" s="0"/>
      <c r="HT911" s="0"/>
      <c r="HU911" s="0"/>
      <c r="HV911" s="0"/>
      <c r="HW911" s="0"/>
      <c r="HX911" s="0"/>
      <c r="HY911" s="0"/>
      <c r="HZ911" s="0"/>
      <c r="IA911" s="0"/>
      <c r="IB911" s="0"/>
      <c r="IC911" s="0"/>
      <c r="ID911" s="0"/>
      <c r="IE911" s="0"/>
      <c r="IF911" s="0"/>
      <c r="IG911" s="0"/>
      <c r="IH911" s="0"/>
      <c r="II911" s="0"/>
      <c r="IJ911" s="0"/>
      <c r="IK911" s="0"/>
      <c r="IL911" s="0"/>
      <c r="IM911" s="0"/>
      <c r="IN911" s="0"/>
      <c r="IO911" s="0"/>
      <c r="IP911" s="0"/>
      <c r="IQ911" s="0"/>
      <c r="IR911" s="0"/>
      <c r="IS911" s="0"/>
      <c r="IT911" s="0"/>
      <c r="IU911" s="0"/>
      <c r="IV911" s="0"/>
    </row>
    <row r="912" customFormat="false" ht="15.75" hidden="false" customHeight="true" outlineLevel="0" collapsed="false">
      <c r="A912" s="1140" t="s">
        <v>720</v>
      </c>
      <c r="B912" s="1140"/>
      <c r="C912" s="950" t="s">
        <v>254</v>
      </c>
      <c r="D912" s="15" t="s">
        <v>1633</v>
      </c>
      <c r="E912" s="1258"/>
      <c r="F912" s="1258"/>
      <c r="G912" s="0"/>
      <c r="H912" s="0"/>
      <c r="I912" s="0"/>
      <c r="K912" s="903"/>
      <c r="L912" s="877"/>
      <c r="M912" s="0"/>
      <c r="N912" s="0"/>
      <c r="O912" s="0"/>
      <c r="P912" s="0"/>
      <c r="Q912" s="0"/>
      <c r="R912" s="0"/>
      <c r="S912" s="0"/>
      <c r="T912" s="0"/>
      <c r="U912" s="0"/>
      <c r="V912" s="0"/>
      <c r="W912" s="0"/>
      <c r="X912" s="0"/>
      <c r="Y912" s="0"/>
      <c r="Z912" s="0"/>
      <c r="AA912" s="0"/>
      <c r="AB912" s="0"/>
      <c r="AC912" s="0"/>
      <c r="AD912" s="0"/>
      <c r="AE912" s="0"/>
      <c r="AF912" s="0"/>
      <c r="AG912" s="0"/>
      <c r="AH912" s="0"/>
      <c r="AI912" s="0"/>
      <c r="AJ912" s="0"/>
      <c r="AK912" s="0"/>
      <c r="AL912" s="0"/>
      <c r="AM912" s="0"/>
      <c r="AN912" s="0"/>
      <c r="AO912" s="0"/>
      <c r="AP912" s="0"/>
      <c r="AQ912" s="0"/>
      <c r="AR912" s="0"/>
      <c r="AS912" s="0"/>
      <c r="AT912" s="0"/>
      <c r="AU912" s="0"/>
      <c r="AV912" s="0"/>
      <c r="AW912" s="0"/>
      <c r="AX912" s="0"/>
      <c r="AY912" s="0"/>
      <c r="AZ912" s="0"/>
      <c r="BA912" s="0"/>
      <c r="BB912" s="0"/>
      <c r="BC912" s="0"/>
      <c r="BD912" s="0"/>
      <c r="BE912" s="0"/>
      <c r="BF912" s="0"/>
      <c r="BG912" s="0"/>
      <c r="BH912" s="0"/>
      <c r="BI912" s="0"/>
      <c r="BJ912" s="0"/>
      <c r="BK912" s="0"/>
      <c r="BL912" s="0"/>
      <c r="BM912" s="0"/>
      <c r="BN912" s="0"/>
      <c r="BO912" s="0"/>
      <c r="BP912" s="0"/>
      <c r="BQ912" s="0"/>
      <c r="BR912" s="0"/>
      <c r="BS912" s="0"/>
      <c r="BT912" s="0"/>
      <c r="BU912" s="0"/>
      <c r="BV912" s="0"/>
      <c r="BW912" s="0"/>
      <c r="BX912" s="0"/>
      <c r="BY912" s="0"/>
      <c r="BZ912" s="0"/>
      <c r="CA912" s="0"/>
      <c r="CB912" s="0"/>
      <c r="CC912" s="0"/>
      <c r="CD912" s="0"/>
      <c r="CE912" s="0"/>
      <c r="CF912" s="0"/>
      <c r="CG912" s="0"/>
      <c r="CH912" s="0"/>
      <c r="CI912" s="0"/>
      <c r="CJ912" s="0"/>
      <c r="CK912" s="0"/>
      <c r="CL912" s="0"/>
      <c r="CM912" s="0"/>
      <c r="CN912" s="0"/>
      <c r="CO912" s="0"/>
      <c r="CP912" s="0"/>
      <c r="CQ912" s="0"/>
      <c r="CR912" s="0"/>
      <c r="CS912" s="0"/>
      <c r="CT912" s="0"/>
      <c r="CU912" s="0"/>
      <c r="CV912" s="0"/>
      <c r="CW912" s="0"/>
      <c r="CX912" s="0"/>
      <c r="CY912" s="0"/>
      <c r="CZ912" s="0"/>
      <c r="DA912" s="0"/>
      <c r="DB912" s="0"/>
      <c r="DC912" s="0"/>
      <c r="DD912" s="0"/>
      <c r="DE912" s="0"/>
      <c r="DF912" s="0"/>
      <c r="DG912" s="0"/>
      <c r="DH912" s="0"/>
      <c r="DI912" s="0"/>
      <c r="DJ912" s="0"/>
      <c r="DK912" s="0"/>
      <c r="DL912" s="0"/>
      <c r="DM912" s="0"/>
      <c r="DN912" s="0"/>
      <c r="DO912" s="0"/>
      <c r="DP912" s="0"/>
      <c r="DQ912" s="0"/>
      <c r="DR912" s="0"/>
      <c r="DS912" s="0"/>
      <c r="DT912" s="0"/>
      <c r="DU912" s="0"/>
      <c r="DV912" s="0"/>
      <c r="DW912" s="0"/>
      <c r="DX912" s="0"/>
      <c r="DY912" s="0"/>
      <c r="DZ912" s="0"/>
      <c r="EA912" s="0"/>
      <c r="EB912" s="0"/>
      <c r="EC912" s="0"/>
      <c r="ED912" s="0"/>
      <c r="EE912" s="0"/>
      <c r="EF912" s="0"/>
      <c r="EG912" s="0"/>
      <c r="EH912" s="0"/>
      <c r="EI912" s="0"/>
      <c r="EJ912" s="0"/>
      <c r="EK912" s="0"/>
      <c r="EL912" s="0"/>
      <c r="EM912" s="0"/>
      <c r="EN912" s="0"/>
      <c r="EO912" s="0"/>
      <c r="EP912" s="0"/>
      <c r="EQ912" s="0"/>
      <c r="ER912" s="0"/>
      <c r="ES912" s="0"/>
      <c r="ET912" s="0"/>
      <c r="EU912" s="0"/>
      <c r="EV912" s="0"/>
      <c r="EW912" s="0"/>
      <c r="EX912" s="0"/>
      <c r="EY912" s="0"/>
      <c r="EZ912" s="0"/>
      <c r="FA912" s="0"/>
      <c r="FB912" s="0"/>
      <c r="FC912" s="0"/>
      <c r="FD912" s="0"/>
      <c r="FE912" s="0"/>
      <c r="FF912" s="0"/>
      <c r="FG912" s="0"/>
      <c r="FH912" s="0"/>
      <c r="FI912" s="0"/>
      <c r="FJ912" s="0"/>
      <c r="FK912" s="0"/>
      <c r="FL912" s="0"/>
      <c r="FM912" s="0"/>
      <c r="FN912" s="0"/>
      <c r="FO912" s="0"/>
      <c r="FP912" s="0"/>
      <c r="FQ912" s="0"/>
      <c r="FR912" s="0"/>
      <c r="FS912" s="0"/>
      <c r="FT912" s="0"/>
      <c r="FU912" s="0"/>
      <c r="FV912" s="0"/>
      <c r="FW912" s="0"/>
      <c r="FX912" s="0"/>
      <c r="FY912" s="0"/>
      <c r="FZ912" s="0"/>
      <c r="GA912" s="0"/>
      <c r="GB912" s="0"/>
      <c r="GC912" s="0"/>
      <c r="GD912" s="0"/>
      <c r="GE912" s="0"/>
      <c r="GF912" s="0"/>
      <c r="GG912" s="0"/>
      <c r="GH912" s="0"/>
      <c r="GI912" s="0"/>
      <c r="GJ912" s="0"/>
      <c r="GK912" s="0"/>
      <c r="GL912" s="0"/>
      <c r="GM912" s="0"/>
      <c r="GN912" s="0"/>
      <c r="GO912" s="0"/>
      <c r="GP912" s="0"/>
      <c r="GQ912" s="0"/>
      <c r="GR912" s="0"/>
      <c r="GS912" s="0"/>
      <c r="GT912" s="0"/>
      <c r="GU912" s="0"/>
      <c r="GV912" s="0"/>
      <c r="GW912" s="0"/>
      <c r="GX912" s="0"/>
      <c r="GY912" s="0"/>
      <c r="GZ912" s="0"/>
      <c r="HA912" s="0"/>
      <c r="HB912" s="0"/>
      <c r="HC912" s="0"/>
      <c r="HD912" s="0"/>
      <c r="HE912" s="0"/>
      <c r="HF912" s="0"/>
      <c r="HG912" s="0"/>
      <c r="HH912" s="0"/>
      <c r="HI912" s="0"/>
      <c r="HJ912" s="0"/>
      <c r="HK912" s="0"/>
      <c r="HL912" s="0"/>
      <c r="HM912" s="0"/>
      <c r="HN912" s="0"/>
      <c r="HO912" s="0"/>
      <c r="HP912" s="0"/>
      <c r="HQ912" s="0"/>
      <c r="HR912" s="0"/>
      <c r="HS912" s="0"/>
      <c r="HT912" s="0"/>
      <c r="HU912" s="0"/>
      <c r="HV912" s="0"/>
      <c r="HW912" s="0"/>
      <c r="HX912" s="0"/>
      <c r="HY912" s="0"/>
      <c r="HZ912" s="0"/>
      <c r="IA912" s="0"/>
      <c r="IB912" s="0"/>
      <c r="IC912" s="0"/>
      <c r="ID912" s="0"/>
      <c r="IE912" s="0"/>
      <c r="IF912" s="0"/>
      <c r="IG912" s="0"/>
      <c r="IH912" s="0"/>
      <c r="II912" s="0"/>
      <c r="IJ912" s="0"/>
      <c r="IK912" s="0"/>
      <c r="IL912" s="0"/>
      <c r="IM912" s="0"/>
      <c r="IN912" s="0"/>
      <c r="IO912" s="0"/>
      <c r="IP912" s="0"/>
      <c r="IQ912" s="0"/>
      <c r="IR912" s="0"/>
      <c r="IS912" s="0"/>
      <c r="IT912" s="0"/>
      <c r="IU912" s="0"/>
      <c r="IV912" s="0"/>
    </row>
    <row r="913" customFormat="false" ht="15.75" hidden="false" customHeight="true" outlineLevel="0" collapsed="false">
      <c r="A913" s="1276" t="s">
        <v>1634</v>
      </c>
      <c r="B913" s="1276"/>
      <c r="D913" s="0"/>
      <c r="E913" s="0"/>
      <c r="F913" s="0"/>
      <c r="G913" s="0"/>
      <c r="H913" s="0"/>
      <c r="I913" s="0"/>
      <c r="K913" s="903"/>
      <c r="L913" s="877"/>
      <c r="M913" s="0"/>
      <c r="N913" s="0"/>
      <c r="O913" s="0"/>
      <c r="P913" s="0"/>
      <c r="Q913" s="0"/>
      <c r="R913" s="0"/>
      <c r="S913" s="0"/>
      <c r="T913" s="0"/>
      <c r="U913" s="0"/>
      <c r="V913" s="0"/>
      <c r="W913" s="0"/>
      <c r="X913" s="0"/>
      <c r="Y913" s="0"/>
      <c r="Z913" s="0"/>
      <c r="AA913" s="0"/>
      <c r="AB913" s="0"/>
      <c r="AC913" s="0"/>
      <c r="AD913" s="0"/>
      <c r="AE913" s="0"/>
      <c r="AF913" s="0"/>
      <c r="AG913" s="0"/>
      <c r="AH913" s="0"/>
      <c r="AI913" s="0"/>
      <c r="AJ913" s="0"/>
      <c r="AK913" s="0"/>
      <c r="AL913" s="0"/>
      <c r="AM913" s="0"/>
      <c r="AN913" s="0"/>
      <c r="AO913" s="0"/>
      <c r="AP913" s="0"/>
      <c r="AQ913" s="0"/>
      <c r="AR913" s="0"/>
      <c r="AS913" s="0"/>
      <c r="AT913" s="0"/>
      <c r="AU913" s="0"/>
      <c r="AV913" s="0"/>
      <c r="AW913" s="0"/>
      <c r="AX913" s="0"/>
      <c r="AY913" s="0"/>
      <c r="AZ913" s="0"/>
      <c r="BA913" s="0"/>
      <c r="BB913" s="0"/>
      <c r="BC913" s="0"/>
      <c r="BD913" s="0"/>
      <c r="BE913" s="0"/>
      <c r="BF913" s="0"/>
      <c r="BG913" s="0"/>
      <c r="BH913" s="0"/>
      <c r="BI913" s="0"/>
      <c r="BJ913" s="0"/>
      <c r="BK913" s="0"/>
      <c r="BL913" s="0"/>
      <c r="BM913" s="0"/>
      <c r="BN913" s="0"/>
      <c r="BO913" s="0"/>
      <c r="BP913" s="0"/>
      <c r="BQ913" s="0"/>
      <c r="BR913" s="0"/>
      <c r="BS913" s="0"/>
      <c r="BT913" s="0"/>
      <c r="BU913" s="0"/>
      <c r="BV913" s="0"/>
      <c r="BW913" s="0"/>
      <c r="BX913" s="0"/>
      <c r="BY913" s="0"/>
      <c r="BZ913" s="0"/>
      <c r="CA913" s="0"/>
      <c r="CB913" s="0"/>
      <c r="CC913" s="0"/>
      <c r="CD913" s="0"/>
      <c r="CE913" s="0"/>
      <c r="CF913" s="0"/>
      <c r="CG913" s="0"/>
      <c r="CH913" s="0"/>
      <c r="CI913" s="0"/>
      <c r="CJ913" s="0"/>
      <c r="CK913" s="0"/>
      <c r="CL913" s="0"/>
      <c r="CM913" s="0"/>
      <c r="CN913" s="0"/>
      <c r="CO913" s="0"/>
      <c r="CP913" s="0"/>
      <c r="CQ913" s="0"/>
      <c r="CR913" s="0"/>
      <c r="CS913" s="0"/>
      <c r="CT913" s="0"/>
      <c r="CU913" s="0"/>
      <c r="CV913" s="0"/>
      <c r="CW913" s="0"/>
      <c r="CX913" s="0"/>
      <c r="CY913" s="0"/>
      <c r="CZ913" s="0"/>
      <c r="DA913" s="0"/>
      <c r="DB913" s="0"/>
      <c r="DC913" s="0"/>
      <c r="DD913" s="0"/>
      <c r="DE913" s="0"/>
      <c r="DF913" s="0"/>
      <c r="DG913" s="0"/>
      <c r="DH913" s="0"/>
      <c r="DI913" s="0"/>
      <c r="DJ913" s="0"/>
      <c r="DK913" s="0"/>
      <c r="DL913" s="0"/>
      <c r="DM913" s="0"/>
      <c r="DN913" s="0"/>
      <c r="DO913" s="0"/>
      <c r="DP913" s="0"/>
      <c r="DQ913" s="0"/>
      <c r="DR913" s="0"/>
      <c r="DS913" s="0"/>
      <c r="DT913" s="0"/>
      <c r="DU913" s="0"/>
      <c r="DV913" s="0"/>
      <c r="DW913" s="0"/>
      <c r="DX913" s="0"/>
      <c r="DY913" s="0"/>
      <c r="DZ913" s="0"/>
      <c r="EA913" s="0"/>
      <c r="EB913" s="0"/>
      <c r="EC913" s="0"/>
      <c r="ED913" s="0"/>
      <c r="EE913" s="0"/>
      <c r="EF913" s="0"/>
      <c r="EG913" s="0"/>
      <c r="EH913" s="0"/>
      <c r="EI913" s="0"/>
      <c r="EJ913" s="0"/>
      <c r="EK913" s="0"/>
      <c r="EL913" s="0"/>
      <c r="EM913" s="0"/>
      <c r="EN913" s="0"/>
      <c r="EO913" s="0"/>
      <c r="EP913" s="0"/>
      <c r="EQ913" s="0"/>
      <c r="ER913" s="0"/>
      <c r="ES913" s="0"/>
      <c r="ET913" s="0"/>
      <c r="EU913" s="0"/>
      <c r="EV913" s="0"/>
      <c r="EW913" s="0"/>
      <c r="EX913" s="0"/>
      <c r="EY913" s="0"/>
      <c r="EZ913" s="0"/>
      <c r="FA913" s="0"/>
      <c r="FB913" s="0"/>
      <c r="FC913" s="0"/>
      <c r="FD913" s="0"/>
      <c r="FE913" s="0"/>
      <c r="FF913" s="0"/>
      <c r="FG913" s="0"/>
      <c r="FH913" s="0"/>
      <c r="FI913" s="0"/>
      <c r="FJ913" s="0"/>
      <c r="FK913" s="0"/>
      <c r="FL913" s="0"/>
      <c r="FM913" s="0"/>
      <c r="FN913" s="0"/>
      <c r="FO913" s="0"/>
      <c r="FP913" s="0"/>
      <c r="FQ913" s="0"/>
      <c r="FR913" s="0"/>
      <c r="FS913" s="0"/>
      <c r="FT913" s="0"/>
      <c r="FU913" s="0"/>
      <c r="FV913" s="0"/>
      <c r="FW913" s="0"/>
      <c r="FX913" s="0"/>
      <c r="FY913" s="0"/>
      <c r="FZ913" s="0"/>
      <c r="GA913" s="0"/>
      <c r="GB913" s="0"/>
      <c r="GC913" s="0"/>
      <c r="GD913" s="0"/>
      <c r="GE913" s="0"/>
      <c r="GF913" s="0"/>
      <c r="GG913" s="0"/>
      <c r="GH913" s="0"/>
      <c r="GI913" s="0"/>
      <c r="GJ913" s="0"/>
      <c r="GK913" s="0"/>
      <c r="GL913" s="0"/>
      <c r="GM913" s="0"/>
      <c r="GN913" s="0"/>
      <c r="GO913" s="0"/>
      <c r="GP913" s="0"/>
      <c r="GQ913" s="0"/>
      <c r="GR913" s="0"/>
      <c r="GS913" s="0"/>
      <c r="GT913" s="0"/>
      <c r="GU913" s="0"/>
      <c r="GV913" s="0"/>
      <c r="GW913" s="0"/>
      <c r="GX913" s="0"/>
      <c r="GY913" s="0"/>
      <c r="GZ913" s="0"/>
      <c r="HA913" s="0"/>
      <c r="HB913" s="0"/>
      <c r="HC913" s="0"/>
      <c r="HD913" s="0"/>
      <c r="HE913" s="0"/>
      <c r="HF913" s="0"/>
      <c r="HG913" s="0"/>
      <c r="HH913" s="0"/>
      <c r="HI913" s="0"/>
      <c r="HJ913" s="0"/>
      <c r="HK913" s="0"/>
      <c r="HL913" s="0"/>
      <c r="HM913" s="0"/>
      <c r="HN913" s="0"/>
      <c r="HO913" s="0"/>
      <c r="HP913" s="0"/>
      <c r="HQ913" s="0"/>
      <c r="HR913" s="0"/>
      <c r="HS913" s="0"/>
      <c r="HT913" s="0"/>
      <c r="HU913" s="0"/>
      <c r="HV913" s="0"/>
      <c r="HW913" s="0"/>
      <c r="HX913" s="0"/>
      <c r="HY913" s="0"/>
      <c r="HZ913" s="0"/>
      <c r="IA913" s="0"/>
      <c r="IB913" s="0"/>
      <c r="IC913" s="0"/>
      <c r="ID913" s="0"/>
      <c r="IE913" s="0"/>
      <c r="IF913" s="0"/>
      <c r="IG913" s="0"/>
      <c r="IH913" s="0"/>
      <c r="II913" s="0"/>
      <c r="IJ913" s="0"/>
      <c r="IK913" s="0"/>
      <c r="IL913" s="0"/>
      <c r="IM913" s="0"/>
      <c r="IN913" s="0"/>
      <c r="IO913" s="0"/>
      <c r="IP913" s="0"/>
      <c r="IQ913" s="0"/>
      <c r="IR913" s="0"/>
      <c r="IS913" s="0"/>
      <c r="IT913" s="0"/>
      <c r="IU913" s="0"/>
      <c r="IV913" s="0"/>
    </row>
    <row r="914" customFormat="false" ht="15.75" hidden="false" customHeight="true" outlineLevel="0" collapsed="false">
      <c r="A914" s="1140" t="s">
        <v>718</v>
      </c>
      <c r="B914" s="1140"/>
      <c r="C914" s="950" t="s">
        <v>254</v>
      </c>
      <c r="D914" s="0"/>
      <c r="E914" s="0"/>
      <c r="F914" s="0"/>
      <c r="G914" s="0"/>
      <c r="H914" s="0"/>
      <c r="I914" s="0"/>
      <c r="K914" s="903"/>
      <c r="L914" s="877"/>
      <c r="M914" s="0"/>
      <c r="N914" s="0"/>
      <c r="O914" s="0"/>
      <c r="P914" s="0"/>
      <c r="Q914" s="0"/>
      <c r="R914" s="0"/>
      <c r="S914" s="0"/>
      <c r="T914" s="0"/>
      <c r="U914" s="0"/>
      <c r="V914" s="0"/>
      <c r="W914" s="0"/>
      <c r="X914" s="0"/>
      <c r="Y914" s="0"/>
      <c r="Z914" s="0"/>
      <c r="AA914" s="0"/>
      <c r="AB914" s="0"/>
      <c r="AC914" s="0"/>
      <c r="AD914" s="0"/>
      <c r="AE914" s="0"/>
      <c r="AF914" s="0"/>
      <c r="AG914" s="0"/>
      <c r="AH914" s="0"/>
      <c r="AI914" s="0"/>
      <c r="AJ914" s="0"/>
      <c r="AK914" s="0"/>
      <c r="AL914" s="0"/>
      <c r="AM914" s="0"/>
      <c r="AN914" s="0"/>
      <c r="AO914" s="0"/>
      <c r="AP914" s="0"/>
      <c r="AQ914" s="0"/>
      <c r="AR914" s="0"/>
      <c r="AS914" s="0"/>
      <c r="AT914" s="0"/>
      <c r="AU914" s="0"/>
      <c r="AV914" s="0"/>
      <c r="AW914" s="0"/>
      <c r="AX914" s="0"/>
      <c r="AY914" s="0"/>
      <c r="AZ914" s="0"/>
      <c r="BA914" s="0"/>
      <c r="BB914" s="0"/>
      <c r="BC914" s="0"/>
      <c r="BD914" s="0"/>
      <c r="BE914" s="0"/>
      <c r="BF914" s="0"/>
      <c r="BG914" s="0"/>
      <c r="BH914" s="0"/>
      <c r="BI914" s="0"/>
      <c r="BJ914" s="0"/>
      <c r="BK914" s="0"/>
      <c r="BL914" s="0"/>
      <c r="BM914" s="0"/>
      <c r="BN914" s="0"/>
      <c r="BO914" s="0"/>
      <c r="BP914" s="0"/>
      <c r="BQ914" s="0"/>
      <c r="BR914" s="0"/>
      <c r="BS914" s="0"/>
      <c r="BT914" s="0"/>
      <c r="BU914" s="0"/>
      <c r="BV914" s="0"/>
      <c r="BW914" s="0"/>
      <c r="BX914" s="0"/>
      <c r="BY914" s="0"/>
      <c r="BZ914" s="0"/>
      <c r="CA914" s="0"/>
      <c r="CB914" s="0"/>
      <c r="CC914" s="0"/>
      <c r="CD914" s="0"/>
      <c r="CE914" s="0"/>
      <c r="CF914" s="0"/>
      <c r="CG914" s="0"/>
      <c r="CH914" s="0"/>
      <c r="CI914" s="0"/>
      <c r="CJ914" s="0"/>
      <c r="CK914" s="0"/>
      <c r="CL914" s="0"/>
      <c r="CM914" s="0"/>
      <c r="CN914" s="0"/>
      <c r="CO914" s="0"/>
      <c r="CP914" s="0"/>
      <c r="CQ914" s="0"/>
      <c r="CR914" s="0"/>
      <c r="CS914" s="0"/>
      <c r="CT914" s="0"/>
      <c r="CU914" s="0"/>
      <c r="CV914" s="0"/>
      <c r="CW914" s="0"/>
      <c r="CX914" s="0"/>
      <c r="CY914" s="0"/>
      <c r="CZ914" s="0"/>
      <c r="DA914" s="0"/>
      <c r="DB914" s="0"/>
      <c r="DC914" s="0"/>
      <c r="DD914" s="0"/>
      <c r="DE914" s="0"/>
      <c r="DF914" s="0"/>
      <c r="DG914" s="0"/>
      <c r="DH914" s="0"/>
      <c r="DI914" s="0"/>
      <c r="DJ914" s="0"/>
      <c r="DK914" s="0"/>
      <c r="DL914" s="0"/>
      <c r="DM914" s="0"/>
      <c r="DN914" s="0"/>
      <c r="DO914" s="0"/>
      <c r="DP914" s="0"/>
      <c r="DQ914" s="0"/>
      <c r="DR914" s="0"/>
      <c r="DS914" s="0"/>
      <c r="DT914" s="0"/>
      <c r="DU914" s="0"/>
      <c r="DV914" s="0"/>
      <c r="DW914" s="0"/>
      <c r="DX914" s="0"/>
      <c r="DY914" s="0"/>
      <c r="DZ914" s="0"/>
      <c r="EA914" s="0"/>
      <c r="EB914" s="0"/>
      <c r="EC914" s="0"/>
      <c r="ED914" s="0"/>
      <c r="EE914" s="0"/>
      <c r="EF914" s="0"/>
      <c r="EG914" s="0"/>
      <c r="EH914" s="0"/>
      <c r="EI914" s="0"/>
      <c r="EJ914" s="0"/>
      <c r="EK914" s="0"/>
      <c r="EL914" s="0"/>
      <c r="EM914" s="0"/>
      <c r="EN914" s="0"/>
      <c r="EO914" s="0"/>
      <c r="EP914" s="0"/>
      <c r="EQ914" s="0"/>
      <c r="ER914" s="0"/>
      <c r="ES914" s="0"/>
      <c r="ET914" s="0"/>
      <c r="EU914" s="0"/>
      <c r="EV914" s="0"/>
      <c r="EW914" s="0"/>
      <c r="EX914" s="0"/>
      <c r="EY914" s="0"/>
      <c r="EZ914" s="0"/>
      <c r="FA914" s="0"/>
      <c r="FB914" s="0"/>
      <c r="FC914" s="0"/>
      <c r="FD914" s="0"/>
      <c r="FE914" s="0"/>
      <c r="FF914" s="0"/>
      <c r="FG914" s="0"/>
      <c r="FH914" s="0"/>
      <c r="FI914" s="0"/>
      <c r="FJ914" s="0"/>
      <c r="FK914" s="0"/>
      <c r="FL914" s="0"/>
      <c r="FM914" s="0"/>
      <c r="FN914" s="0"/>
      <c r="FO914" s="0"/>
      <c r="FP914" s="0"/>
      <c r="FQ914" s="0"/>
      <c r="FR914" s="0"/>
      <c r="FS914" s="0"/>
      <c r="FT914" s="0"/>
      <c r="FU914" s="0"/>
      <c r="FV914" s="0"/>
      <c r="FW914" s="0"/>
      <c r="FX914" s="0"/>
      <c r="FY914" s="0"/>
      <c r="FZ914" s="0"/>
      <c r="GA914" s="0"/>
      <c r="GB914" s="0"/>
      <c r="GC914" s="0"/>
      <c r="GD914" s="0"/>
      <c r="GE914" s="0"/>
      <c r="GF914" s="0"/>
      <c r="GG914" s="0"/>
      <c r="GH914" s="0"/>
      <c r="GI914" s="0"/>
      <c r="GJ914" s="0"/>
      <c r="GK914" s="0"/>
      <c r="GL914" s="0"/>
      <c r="GM914" s="0"/>
      <c r="GN914" s="0"/>
      <c r="GO914" s="0"/>
      <c r="GP914" s="0"/>
      <c r="GQ914" s="0"/>
      <c r="GR914" s="0"/>
      <c r="GS914" s="0"/>
      <c r="GT914" s="0"/>
      <c r="GU914" s="0"/>
      <c r="GV914" s="0"/>
      <c r="GW914" s="0"/>
      <c r="GX914" s="0"/>
      <c r="GY914" s="0"/>
      <c r="GZ914" s="0"/>
      <c r="HA914" s="0"/>
      <c r="HB914" s="0"/>
      <c r="HC914" s="0"/>
      <c r="HD914" s="0"/>
      <c r="HE914" s="0"/>
      <c r="HF914" s="0"/>
      <c r="HG914" s="0"/>
      <c r="HH914" s="0"/>
      <c r="HI914" s="0"/>
      <c r="HJ914" s="0"/>
      <c r="HK914" s="0"/>
      <c r="HL914" s="0"/>
      <c r="HM914" s="0"/>
      <c r="HN914" s="0"/>
      <c r="HO914" s="0"/>
      <c r="HP914" s="0"/>
      <c r="HQ914" s="0"/>
      <c r="HR914" s="0"/>
      <c r="HS914" s="0"/>
      <c r="HT914" s="0"/>
      <c r="HU914" s="0"/>
      <c r="HV914" s="0"/>
      <c r="HW914" s="0"/>
      <c r="HX914" s="0"/>
      <c r="HY914" s="0"/>
      <c r="HZ914" s="0"/>
      <c r="IA914" s="0"/>
      <c r="IB914" s="0"/>
      <c r="IC914" s="0"/>
      <c r="ID914" s="0"/>
      <c r="IE914" s="0"/>
      <c r="IF914" s="0"/>
      <c r="IG914" s="0"/>
      <c r="IH914" s="0"/>
      <c r="II914" s="0"/>
      <c r="IJ914" s="0"/>
      <c r="IK914" s="0"/>
      <c r="IL914" s="0"/>
      <c r="IM914" s="0"/>
      <c r="IN914" s="0"/>
      <c r="IO914" s="0"/>
      <c r="IP914" s="0"/>
      <c r="IQ914" s="0"/>
      <c r="IR914" s="0"/>
      <c r="IS914" s="0"/>
      <c r="IT914" s="0"/>
      <c r="IU914" s="0"/>
      <c r="IV914" s="0"/>
    </row>
    <row r="915" customFormat="false" ht="15.75" hidden="false" customHeight="true" outlineLevel="0" collapsed="false">
      <c r="A915" s="1140" t="s">
        <v>719</v>
      </c>
      <c r="B915" s="1140"/>
      <c r="C915" s="950" t="s">
        <v>254</v>
      </c>
      <c r="D915" s="0"/>
      <c r="E915" s="414"/>
      <c r="F915" s="414"/>
      <c r="G915" s="414"/>
      <c r="H915" s="414"/>
      <c r="I915" s="414"/>
      <c r="J915" s="1253"/>
      <c r="K915" s="903"/>
      <c r="L915" s="877"/>
      <c r="M915" s="0"/>
      <c r="N915" s="0"/>
      <c r="O915" s="0"/>
      <c r="P915" s="0"/>
      <c r="Q915" s="0"/>
      <c r="R915" s="0"/>
      <c r="S915" s="0"/>
      <c r="T915" s="0"/>
      <c r="U915" s="0"/>
      <c r="V915" s="0"/>
      <c r="W915" s="0"/>
      <c r="X915" s="0"/>
      <c r="Y915" s="0"/>
      <c r="Z915" s="0"/>
      <c r="AA915" s="0"/>
      <c r="AB915" s="0"/>
      <c r="AC915" s="0"/>
      <c r="AD915" s="0"/>
      <c r="AE915" s="0"/>
      <c r="AF915" s="0"/>
      <c r="AG915" s="0"/>
      <c r="AH915" s="0"/>
      <c r="AI915" s="0"/>
      <c r="AJ915" s="0"/>
      <c r="AK915" s="0"/>
      <c r="AL915" s="0"/>
      <c r="AM915" s="0"/>
      <c r="AN915" s="0"/>
      <c r="AO915" s="0"/>
      <c r="AP915" s="0"/>
      <c r="AQ915" s="0"/>
      <c r="AR915" s="0"/>
      <c r="AS915" s="0"/>
      <c r="AT915" s="0"/>
      <c r="AU915" s="0"/>
      <c r="AV915" s="0"/>
      <c r="AW915" s="0"/>
      <c r="AX915" s="0"/>
      <c r="AY915" s="0"/>
      <c r="AZ915" s="0"/>
      <c r="BA915" s="0"/>
      <c r="BB915" s="0"/>
      <c r="BC915" s="0"/>
      <c r="BD915" s="0"/>
      <c r="BE915" s="0"/>
      <c r="BF915" s="0"/>
      <c r="BG915" s="0"/>
      <c r="BH915" s="0"/>
      <c r="BI915" s="0"/>
      <c r="BJ915" s="0"/>
      <c r="BK915" s="0"/>
      <c r="BL915" s="0"/>
      <c r="BM915" s="0"/>
      <c r="BN915" s="0"/>
      <c r="BO915" s="0"/>
      <c r="BP915" s="0"/>
      <c r="BQ915" s="0"/>
      <c r="BR915" s="0"/>
      <c r="BS915" s="0"/>
      <c r="BT915" s="0"/>
      <c r="BU915" s="0"/>
      <c r="BV915" s="0"/>
      <c r="BW915" s="0"/>
      <c r="BX915" s="0"/>
      <c r="BY915" s="0"/>
      <c r="BZ915" s="0"/>
      <c r="CA915" s="0"/>
      <c r="CB915" s="0"/>
      <c r="CC915" s="0"/>
      <c r="CD915" s="0"/>
      <c r="CE915" s="0"/>
      <c r="CF915" s="0"/>
      <c r="CG915" s="0"/>
      <c r="CH915" s="0"/>
      <c r="CI915" s="0"/>
      <c r="CJ915" s="0"/>
      <c r="CK915" s="0"/>
      <c r="CL915" s="0"/>
      <c r="CM915" s="0"/>
      <c r="CN915" s="0"/>
      <c r="CO915" s="0"/>
      <c r="CP915" s="0"/>
      <c r="CQ915" s="0"/>
      <c r="CR915" s="0"/>
      <c r="CS915" s="0"/>
      <c r="CT915" s="0"/>
      <c r="CU915" s="0"/>
      <c r="CV915" s="0"/>
      <c r="CW915" s="0"/>
      <c r="CX915" s="0"/>
      <c r="CY915" s="0"/>
      <c r="CZ915" s="0"/>
      <c r="DA915" s="0"/>
      <c r="DB915" s="0"/>
      <c r="DC915" s="0"/>
      <c r="DD915" s="0"/>
      <c r="DE915" s="0"/>
      <c r="DF915" s="0"/>
      <c r="DG915" s="0"/>
      <c r="DH915" s="0"/>
      <c r="DI915" s="0"/>
      <c r="DJ915" s="0"/>
      <c r="DK915" s="0"/>
      <c r="DL915" s="0"/>
      <c r="DM915" s="0"/>
      <c r="DN915" s="0"/>
      <c r="DO915" s="0"/>
      <c r="DP915" s="0"/>
      <c r="DQ915" s="0"/>
      <c r="DR915" s="0"/>
      <c r="DS915" s="0"/>
      <c r="DT915" s="0"/>
      <c r="DU915" s="0"/>
      <c r="DV915" s="0"/>
      <c r="DW915" s="0"/>
      <c r="DX915" s="0"/>
      <c r="DY915" s="0"/>
      <c r="DZ915" s="0"/>
      <c r="EA915" s="0"/>
      <c r="EB915" s="0"/>
      <c r="EC915" s="0"/>
      <c r="ED915" s="0"/>
      <c r="EE915" s="0"/>
      <c r="EF915" s="0"/>
      <c r="EG915" s="0"/>
      <c r="EH915" s="0"/>
      <c r="EI915" s="0"/>
      <c r="EJ915" s="0"/>
      <c r="EK915" s="0"/>
      <c r="EL915" s="0"/>
      <c r="EM915" s="0"/>
      <c r="EN915" s="0"/>
      <c r="EO915" s="0"/>
      <c r="EP915" s="0"/>
      <c r="EQ915" s="0"/>
      <c r="ER915" s="0"/>
      <c r="ES915" s="0"/>
      <c r="ET915" s="0"/>
      <c r="EU915" s="0"/>
      <c r="EV915" s="0"/>
      <c r="EW915" s="0"/>
      <c r="EX915" s="0"/>
      <c r="EY915" s="0"/>
      <c r="EZ915" s="0"/>
      <c r="FA915" s="0"/>
      <c r="FB915" s="0"/>
      <c r="FC915" s="0"/>
      <c r="FD915" s="0"/>
      <c r="FE915" s="0"/>
      <c r="FF915" s="0"/>
      <c r="FG915" s="0"/>
      <c r="FH915" s="0"/>
      <c r="FI915" s="0"/>
      <c r="FJ915" s="0"/>
      <c r="FK915" s="0"/>
      <c r="FL915" s="0"/>
      <c r="FM915" s="0"/>
      <c r="FN915" s="0"/>
      <c r="FO915" s="0"/>
      <c r="FP915" s="0"/>
      <c r="FQ915" s="0"/>
      <c r="FR915" s="0"/>
      <c r="FS915" s="0"/>
      <c r="FT915" s="0"/>
      <c r="FU915" s="0"/>
      <c r="FV915" s="0"/>
      <c r="FW915" s="0"/>
      <c r="FX915" s="0"/>
      <c r="FY915" s="0"/>
      <c r="FZ915" s="0"/>
      <c r="GA915" s="0"/>
      <c r="GB915" s="0"/>
      <c r="GC915" s="0"/>
      <c r="GD915" s="0"/>
      <c r="GE915" s="0"/>
      <c r="GF915" s="0"/>
      <c r="GG915" s="0"/>
      <c r="GH915" s="0"/>
      <c r="GI915" s="0"/>
      <c r="GJ915" s="0"/>
      <c r="GK915" s="0"/>
      <c r="GL915" s="0"/>
      <c r="GM915" s="0"/>
      <c r="GN915" s="0"/>
      <c r="GO915" s="0"/>
      <c r="GP915" s="0"/>
      <c r="GQ915" s="0"/>
      <c r="GR915" s="0"/>
      <c r="GS915" s="0"/>
      <c r="GT915" s="0"/>
      <c r="GU915" s="0"/>
      <c r="GV915" s="0"/>
      <c r="GW915" s="0"/>
      <c r="GX915" s="0"/>
      <c r="GY915" s="0"/>
      <c r="GZ915" s="0"/>
      <c r="HA915" s="0"/>
      <c r="HB915" s="0"/>
      <c r="HC915" s="0"/>
      <c r="HD915" s="0"/>
      <c r="HE915" s="0"/>
      <c r="HF915" s="0"/>
      <c r="HG915" s="0"/>
      <c r="HH915" s="0"/>
      <c r="HI915" s="0"/>
      <c r="HJ915" s="0"/>
      <c r="HK915" s="0"/>
      <c r="HL915" s="0"/>
      <c r="HM915" s="0"/>
      <c r="HN915" s="0"/>
      <c r="HO915" s="0"/>
      <c r="HP915" s="0"/>
      <c r="HQ915" s="0"/>
      <c r="HR915" s="0"/>
      <c r="HS915" s="0"/>
      <c r="HT915" s="0"/>
      <c r="HU915" s="0"/>
      <c r="HV915" s="0"/>
      <c r="HW915" s="0"/>
      <c r="HX915" s="0"/>
      <c r="HY915" s="0"/>
      <c r="HZ915" s="0"/>
      <c r="IA915" s="0"/>
      <c r="IB915" s="0"/>
      <c r="IC915" s="0"/>
      <c r="ID915" s="0"/>
      <c r="IE915" s="0"/>
      <c r="IF915" s="0"/>
      <c r="IG915" s="0"/>
      <c r="IH915" s="0"/>
      <c r="II915" s="0"/>
      <c r="IJ915" s="0"/>
      <c r="IK915" s="0"/>
      <c r="IL915" s="0"/>
      <c r="IM915" s="0"/>
      <c r="IN915" s="0"/>
      <c r="IO915" s="0"/>
      <c r="IP915" s="0"/>
      <c r="IQ915" s="0"/>
      <c r="IR915" s="0"/>
      <c r="IS915" s="0"/>
      <c r="IT915" s="0"/>
      <c r="IU915" s="0"/>
      <c r="IV915" s="0"/>
    </row>
    <row r="916" customFormat="false" ht="20.1" hidden="false" customHeight="true" outlineLevel="0" collapsed="false">
      <c r="A916" s="0"/>
      <c r="B916" s="0"/>
      <c r="C916" s="0"/>
      <c r="D916" s="0"/>
      <c r="E916" s="414"/>
      <c r="F916" s="414"/>
      <c r="G916" s="414"/>
      <c r="H916" s="414"/>
      <c r="I916" s="414"/>
      <c r="J916" s="1253"/>
      <c r="K916" s="903"/>
      <c r="L916" s="877"/>
      <c r="M916" s="0"/>
      <c r="N916" s="0"/>
      <c r="O916" s="0"/>
      <c r="P916" s="0"/>
      <c r="Q916" s="0"/>
      <c r="R916" s="0"/>
      <c r="S916" s="0"/>
      <c r="T916" s="0"/>
      <c r="U916" s="0"/>
      <c r="V916" s="0"/>
      <c r="W916" s="0"/>
      <c r="X916" s="0"/>
      <c r="Y916" s="0"/>
      <c r="Z916" s="0"/>
      <c r="AA916" s="0"/>
      <c r="AB916" s="0"/>
      <c r="AC916" s="0"/>
      <c r="AD916" s="0"/>
      <c r="AE916" s="0"/>
      <c r="AF916" s="0"/>
      <c r="AG916" s="0"/>
      <c r="AH916" s="0"/>
      <c r="AI916" s="0"/>
      <c r="AJ916" s="0"/>
      <c r="AK916" s="0"/>
      <c r="AL916" s="0"/>
      <c r="AM916" s="0"/>
      <c r="AN916" s="0"/>
      <c r="AO916" s="0"/>
      <c r="AP916" s="0"/>
      <c r="AQ916" s="0"/>
      <c r="AR916" s="0"/>
      <c r="AS916" s="0"/>
      <c r="AT916" s="0"/>
      <c r="AU916" s="0"/>
      <c r="AV916" s="0"/>
      <c r="AW916" s="0"/>
      <c r="AX916" s="0"/>
      <c r="AY916" s="0"/>
      <c r="AZ916" s="0"/>
      <c r="BA916" s="0"/>
      <c r="BB916" s="0"/>
      <c r="BC916" s="0"/>
      <c r="BD916" s="0"/>
      <c r="BE916" s="0"/>
      <c r="BF916" s="0"/>
      <c r="BG916" s="0"/>
      <c r="BH916" s="0"/>
      <c r="BI916" s="0"/>
      <c r="BJ916" s="0"/>
      <c r="BK916" s="0"/>
      <c r="BL916" s="0"/>
      <c r="BM916" s="0"/>
      <c r="BN916" s="0"/>
      <c r="BO916" s="0"/>
      <c r="BP916" s="0"/>
      <c r="BQ916" s="0"/>
      <c r="BR916" s="0"/>
      <c r="BS916" s="0"/>
      <c r="BT916" s="0"/>
      <c r="BU916" s="0"/>
      <c r="BV916" s="0"/>
      <c r="BW916" s="0"/>
      <c r="BX916" s="0"/>
      <c r="BY916" s="0"/>
      <c r="BZ916" s="0"/>
      <c r="CA916" s="0"/>
      <c r="CB916" s="0"/>
      <c r="CC916" s="0"/>
      <c r="CD916" s="0"/>
      <c r="CE916" s="0"/>
      <c r="CF916" s="0"/>
      <c r="CG916" s="0"/>
      <c r="CH916" s="0"/>
      <c r="CI916" s="0"/>
      <c r="CJ916" s="0"/>
      <c r="CK916" s="0"/>
      <c r="CL916" s="0"/>
      <c r="CM916" s="0"/>
      <c r="CN916" s="0"/>
      <c r="CO916" s="0"/>
      <c r="CP916" s="0"/>
      <c r="CQ916" s="0"/>
      <c r="CR916" s="0"/>
      <c r="CS916" s="0"/>
      <c r="CT916" s="0"/>
      <c r="CU916" s="0"/>
      <c r="CV916" s="0"/>
      <c r="CW916" s="0"/>
      <c r="CX916" s="0"/>
      <c r="CY916" s="0"/>
      <c r="CZ916" s="0"/>
      <c r="DA916" s="0"/>
      <c r="DB916" s="0"/>
      <c r="DC916" s="0"/>
      <c r="DD916" s="0"/>
      <c r="DE916" s="0"/>
      <c r="DF916" s="0"/>
      <c r="DG916" s="0"/>
      <c r="DH916" s="0"/>
      <c r="DI916" s="0"/>
      <c r="DJ916" s="0"/>
      <c r="DK916" s="0"/>
      <c r="DL916" s="0"/>
      <c r="DM916" s="0"/>
      <c r="DN916" s="0"/>
      <c r="DO916" s="0"/>
      <c r="DP916" s="0"/>
      <c r="DQ916" s="0"/>
      <c r="DR916" s="0"/>
      <c r="DS916" s="0"/>
      <c r="DT916" s="0"/>
      <c r="DU916" s="0"/>
      <c r="DV916" s="0"/>
      <c r="DW916" s="0"/>
      <c r="DX916" s="0"/>
      <c r="DY916" s="0"/>
      <c r="DZ916" s="0"/>
      <c r="EA916" s="0"/>
      <c r="EB916" s="0"/>
      <c r="EC916" s="0"/>
      <c r="ED916" s="0"/>
      <c r="EE916" s="0"/>
      <c r="EF916" s="0"/>
      <c r="EG916" s="0"/>
      <c r="EH916" s="0"/>
      <c r="EI916" s="0"/>
      <c r="EJ916" s="0"/>
      <c r="EK916" s="0"/>
      <c r="EL916" s="0"/>
      <c r="EM916" s="0"/>
      <c r="EN916" s="0"/>
      <c r="EO916" s="0"/>
      <c r="EP916" s="0"/>
      <c r="EQ916" s="0"/>
      <c r="ER916" s="0"/>
      <c r="ES916" s="0"/>
      <c r="ET916" s="0"/>
      <c r="EU916" s="0"/>
      <c r="EV916" s="0"/>
      <c r="EW916" s="0"/>
      <c r="EX916" s="0"/>
      <c r="EY916" s="0"/>
      <c r="EZ916" s="0"/>
      <c r="FA916" s="0"/>
      <c r="FB916" s="0"/>
      <c r="FC916" s="0"/>
      <c r="FD916" s="0"/>
      <c r="FE916" s="0"/>
      <c r="FF916" s="0"/>
      <c r="FG916" s="0"/>
      <c r="FH916" s="0"/>
      <c r="FI916" s="0"/>
      <c r="FJ916" s="0"/>
      <c r="FK916" s="0"/>
      <c r="FL916" s="0"/>
      <c r="FM916" s="0"/>
      <c r="FN916" s="0"/>
      <c r="FO916" s="0"/>
      <c r="FP916" s="0"/>
      <c r="FQ916" s="0"/>
      <c r="FR916" s="0"/>
      <c r="FS916" s="0"/>
      <c r="FT916" s="0"/>
      <c r="FU916" s="0"/>
      <c r="FV916" s="0"/>
      <c r="FW916" s="0"/>
      <c r="FX916" s="0"/>
      <c r="FY916" s="0"/>
      <c r="FZ916" s="0"/>
      <c r="GA916" s="0"/>
      <c r="GB916" s="0"/>
      <c r="GC916" s="0"/>
      <c r="GD916" s="0"/>
      <c r="GE916" s="0"/>
      <c r="GF916" s="0"/>
      <c r="GG916" s="0"/>
      <c r="GH916" s="0"/>
      <c r="GI916" s="0"/>
      <c r="GJ916" s="0"/>
      <c r="GK916" s="0"/>
      <c r="GL916" s="0"/>
      <c r="GM916" s="0"/>
      <c r="GN916" s="0"/>
      <c r="GO916" s="0"/>
      <c r="GP916" s="0"/>
      <c r="GQ916" s="0"/>
      <c r="GR916" s="0"/>
      <c r="GS916" s="0"/>
      <c r="GT916" s="0"/>
      <c r="GU916" s="0"/>
      <c r="GV916" s="0"/>
      <c r="GW916" s="0"/>
      <c r="GX916" s="0"/>
      <c r="GY916" s="0"/>
      <c r="GZ916" s="0"/>
      <c r="HA916" s="0"/>
      <c r="HB916" s="0"/>
      <c r="HC916" s="0"/>
      <c r="HD916" s="0"/>
      <c r="HE916" s="0"/>
      <c r="HF916" s="0"/>
      <c r="HG916" s="0"/>
      <c r="HH916" s="0"/>
      <c r="HI916" s="0"/>
      <c r="HJ916" s="0"/>
      <c r="HK916" s="0"/>
      <c r="HL916" s="0"/>
      <c r="HM916" s="0"/>
      <c r="HN916" s="0"/>
      <c r="HO916" s="0"/>
      <c r="HP916" s="0"/>
      <c r="HQ916" s="0"/>
      <c r="HR916" s="0"/>
      <c r="HS916" s="0"/>
      <c r="HT916" s="0"/>
      <c r="HU916" s="0"/>
      <c r="HV916" s="0"/>
      <c r="HW916" s="0"/>
      <c r="HX916" s="0"/>
      <c r="HY916" s="0"/>
      <c r="HZ916" s="0"/>
      <c r="IA916" s="0"/>
      <c r="IB916" s="0"/>
      <c r="IC916" s="0"/>
      <c r="ID916" s="0"/>
      <c r="IE916" s="0"/>
      <c r="IF916" s="0"/>
      <c r="IG916" s="0"/>
      <c r="IH916" s="0"/>
      <c r="II916" s="0"/>
      <c r="IJ916" s="0"/>
      <c r="IK916" s="0"/>
      <c r="IL916" s="0"/>
      <c r="IM916" s="0"/>
      <c r="IN916" s="0"/>
      <c r="IO916" s="0"/>
      <c r="IP916" s="0"/>
      <c r="IQ916" s="0"/>
      <c r="IR916" s="0"/>
      <c r="IS916" s="0"/>
      <c r="IT916" s="0"/>
      <c r="IU916" s="0"/>
      <c r="IV916" s="0"/>
    </row>
    <row r="917" customFormat="false" ht="16.5" hidden="false" customHeight="true" outlineLevel="0" collapsed="false">
      <c r="A917" s="869" t="s">
        <v>1635</v>
      </c>
      <c r="B917" s="869"/>
      <c r="C917" s="869"/>
      <c r="D917" s="869"/>
      <c r="E917" s="869"/>
      <c r="F917" s="869"/>
      <c r="G917" s="869"/>
      <c r="H917" s="53"/>
      <c r="I917" s="53"/>
      <c r="J917" s="53"/>
      <c r="K917" s="870"/>
      <c r="L917" s="871" t="s">
        <v>1636</v>
      </c>
      <c r="M917" s="0"/>
      <c r="N917" s="0"/>
      <c r="O917" s="0"/>
      <c r="P917" s="0"/>
      <c r="Q917" s="0"/>
      <c r="R917" s="0"/>
      <c r="S917" s="0"/>
      <c r="T917" s="0"/>
      <c r="U917" s="0"/>
      <c r="V917" s="0"/>
      <c r="W917" s="0"/>
      <c r="X917" s="0"/>
      <c r="Y917" s="0"/>
      <c r="Z917" s="0"/>
      <c r="AA917" s="0"/>
      <c r="AB917" s="0"/>
      <c r="AC917" s="0"/>
      <c r="AD917" s="0"/>
      <c r="AE917" s="0"/>
      <c r="AF917" s="0"/>
      <c r="AG917" s="0"/>
      <c r="AH917" s="0"/>
      <c r="AI917" s="0"/>
      <c r="AJ917" s="0"/>
      <c r="AK917" s="0"/>
      <c r="AL917" s="0"/>
      <c r="AM917" s="0"/>
      <c r="AN917" s="0"/>
      <c r="AO917" s="0"/>
      <c r="AP917" s="0"/>
      <c r="AQ917" s="0"/>
      <c r="AR917" s="0"/>
      <c r="AS917" s="0"/>
      <c r="AT917" s="0"/>
      <c r="AU917" s="0"/>
      <c r="AV917" s="0"/>
      <c r="AW917" s="0"/>
      <c r="AX917" s="0"/>
      <c r="AY917" s="0"/>
      <c r="AZ917" s="0"/>
      <c r="BA917" s="0"/>
      <c r="BB917" s="0"/>
      <c r="BC917" s="0"/>
      <c r="BD917" s="0"/>
      <c r="BE917" s="0"/>
      <c r="BF917" s="0"/>
      <c r="BG917" s="0"/>
      <c r="BH917" s="0"/>
      <c r="BI917" s="0"/>
      <c r="BJ917" s="0"/>
      <c r="BK917" s="0"/>
      <c r="BL917" s="0"/>
      <c r="BM917" s="0"/>
      <c r="BN917" s="0"/>
      <c r="BO917" s="0"/>
      <c r="BP917" s="0"/>
      <c r="BQ917" s="0"/>
      <c r="BR917" s="0"/>
      <c r="BS917" s="0"/>
      <c r="BT917" s="0"/>
      <c r="BU917" s="0"/>
      <c r="BV917" s="0"/>
      <c r="BW917" s="0"/>
      <c r="BX917" s="0"/>
      <c r="BY917" s="0"/>
      <c r="BZ917" s="0"/>
      <c r="CA917" s="0"/>
      <c r="CB917" s="0"/>
      <c r="CC917" s="0"/>
      <c r="CD917" s="0"/>
      <c r="CE917" s="0"/>
      <c r="CF917" s="0"/>
      <c r="CG917" s="0"/>
      <c r="CH917" s="0"/>
      <c r="CI917" s="0"/>
      <c r="CJ917" s="0"/>
      <c r="CK917" s="0"/>
      <c r="CL917" s="0"/>
      <c r="CM917" s="0"/>
      <c r="CN917" s="0"/>
      <c r="CO917" s="0"/>
      <c r="CP917" s="0"/>
      <c r="CQ917" s="0"/>
      <c r="CR917" s="0"/>
      <c r="CS917" s="0"/>
      <c r="CT917" s="0"/>
      <c r="CU917" s="0"/>
      <c r="CV917" s="0"/>
      <c r="CW917" s="0"/>
      <c r="CX917" s="0"/>
      <c r="CY917" s="0"/>
      <c r="CZ917" s="0"/>
      <c r="DA917" s="0"/>
      <c r="DB917" s="0"/>
      <c r="DC917" s="0"/>
      <c r="DD917" s="0"/>
      <c r="DE917" s="0"/>
      <c r="DF917" s="0"/>
      <c r="DG917" s="0"/>
      <c r="DH917" s="0"/>
      <c r="DI917" s="0"/>
      <c r="DJ917" s="0"/>
      <c r="DK917" s="0"/>
      <c r="DL917" s="0"/>
      <c r="DM917" s="0"/>
      <c r="DN917" s="0"/>
      <c r="DO917" s="0"/>
      <c r="DP917" s="0"/>
      <c r="DQ917" s="0"/>
      <c r="DR917" s="0"/>
      <c r="DS917" s="0"/>
      <c r="DT917" s="0"/>
      <c r="DU917" s="0"/>
      <c r="DV917" s="0"/>
      <c r="DW917" s="0"/>
      <c r="DX917" s="0"/>
      <c r="DY917" s="0"/>
      <c r="DZ917" s="0"/>
      <c r="EA917" s="0"/>
      <c r="EB917" s="0"/>
      <c r="EC917" s="0"/>
      <c r="ED917" s="0"/>
      <c r="EE917" s="0"/>
      <c r="EF917" s="0"/>
      <c r="EG917" s="0"/>
      <c r="EH917" s="0"/>
      <c r="EI917" s="0"/>
      <c r="EJ917" s="0"/>
      <c r="EK917" s="0"/>
      <c r="EL917" s="0"/>
      <c r="EM917" s="0"/>
      <c r="EN917" s="0"/>
      <c r="EO917" s="0"/>
      <c r="EP917" s="0"/>
      <c r="EQ917" s="0"/>
      <c r="ER917" s="0"/>
      <c r="ES917" s="0"/>
      <c r="ET917" s="0"/>
      <c r="EU917" s="0"/>
      <c r="EV917" s="0"/>
      <c r="EW917" s="0"/>
      <c r="EX917" s="0"/>
      <c r="EY917" s="0"/>
      <c r="EZ917" s="0"/>
      <c r="FA917" s="0"/>
      <c r="FB917" s="0"/>
      <c r="FC917" s="0"/>
      <c r="FD917" s="0"/>
      <c r="FE917" s="0"/>
      <c r="FF917" s="0"/>
      <c r="FG917" s="0"/>
      <c r="FH917" s="0"/>
      <c r="FI917" s="0"/>
      <c r="FJ917" s="0"/>
      <c r="FK917" s="0"/>
      <c r="FL917" s="0"/>
      <c r="FM917" s="0"/>
      <c r="FN917" s="0"/>
      <c r="FO917" s="0"/>
      <c r="FP917" s="0"/>
      <c r="FQ917" s="0"/>
      <c r="FR917" s="0"/>
      <c r="FS917" s="0"/>
      <c r="FT917" s="0"/>
      <c r="FU917" s="0"/>
      <c r="FV917" s="0"/>
      <c r="FW917" s="0"/>
      <c r="FX917" s="0"/>
      <c r="FY917" s="0"/>
      <c r="FZ917" s="0"/>
      <c r="GA917" s="0"/>
      <c r="GB917" s="0"/>
      <c r="GC917" s="0"/>
      <c r="GD917" s="0"/>
      <c r="GE917" s="0"/>
      <c r="GF917" s="0"/>
      <c r="GG917" s="0"/>
      <c r="GH917" s="0"/>
      <c r="GI917" s="0"/>
      <c r="GJ917" s="0"/>
      <c r="GK917" s="0"/>
      <c r="GL917" s="0"/>
      <c r="GM917" s="0"/>
      <c r="GN917" s="0"/>
      <c r="GO917" s="0"/>
      <c r="GP917" s="0"/>
      <c r="GQ917" s="0"/>
      <c r="GR917" s="0"/>
      <c r="GS917" s="0"/>
      <c r="GT917" s="0"/>
      <c r="GU917" s="0"/>
      <c r="GV917" s="0"/>
      <c r="GW917" s="0"/>
      <c r="GX917" s="0"/>
      <c r="GY917" s="0"/>
      <c r="GZ917" s="0"/>
      <c r="HA917" s="0"/>
      <c r="HB917" s="0"/>
      <c r="HC917" s="0"/>
      <c r="HD917" s="0"/>
      <c r="HE917" s="0"/>
      <c r="HF917" s="0"/>
      <c r="HG917" s="0"/>
      <c r="HH917" s="0"/>
      <c r="HI917" s="0"/>
      <c r="HJ917" s="0"/>
      <c r="HK917" s="0"/>
      <c r="HL917" s="0"/>
      <c r="HM917" s="0"/>
      <c r="HN917" s="0"/>
      <c r="HO917" s="0"/>
      <c r="HP917" s="0"/>
      <c r="HQ917" s="0"/>
      <c r="HR917" s="0"/>
      <c r="HS917" s="0"/>
      <c r="HT917" s="0"/>
      <c r="HU917" s="0"/>
      <c r="HV917" s="0"/>
      <c r="HW917" s="0"/>
      <c r="HX917" s="0"/>
      <c r="HY917" s="0"/>
      <c r="HZ917" s="0"/>
      <c r="IA917" s="0"/>
      <c r="IB917" s="0"/>
      <c r="IC917" s="0"/>
      <c r="ID917" s="0"/>
      <c r="IE917" s="0"/>
      <c r="IF917" s="0"/>
      <c r="IG917" s="0"/>
      <c r="IH917" s="0"/>
      <c r="II917" s="0"/>
      <c r="IJ917" s="0"/>
      <c r="IK917" s="0"/>
      <c r="IL917" s="0"/>
      <c r="IM917" s="0"/>
      <c r="IN917" s="0"/>
      <c r="IO917" s="0"/>
      <c r="IP917" s="0"/>
      <c r="IQ917" s="0"/>
      <c r="IR917" s="0"/>
      <c r="IS917" s="0"/>
      <c r="IT917" s="0"/>
      <c r="IU917" s="0"/>
      <c r="IV917" s="0"/>
    </row>
    <row r="918" s="11" customFormat="true" ht="16.5" hidden="false" customHeight="true" outlineLevel="0" collapsed="false">
      <c r="A918" s="1005"/>
      <c r="B918" s="1005"/>
      <c r="C918" s="1005"/>
      <c r="D918" s="1005"/>
      <c r="E918" s="1005"/>
      <c r="F918" s="1005"/>
      <c r="G918" s="1005"/>
      <c r="H918" s="0"/>
      <c r="I918" s="0"/>
      <c r="J918" s="0"/>
      <c r="K918" s="903"/>
      <c r="L918" s="877"/>
      <c r="M918" s="0"/>
      <c r="N918" s="0"/>
      <c r="O918" s="0"/>
      <c r="P918" s="0"/>
      <c r="Q918" s="0"/>
      <c r="R918" s="0"/>
      <c r="S918" s="0"/>
      <c r="T918" s="0"/>
      <c r="U918" s="0"/>
      <c r="V918" s="0"/>
      <c r="W918" s="0"/>
      <c r="X918" s="0"/>
      <c r="Y918" s="0"/>
      <c r="Z918" s="0"/>
      <c r="AA918" s="0"/>
      <c r="AB918" s="0"/>
      <c r="AC918" s="0"/>
      <c r="AD918" s="0"/>
      <c r="AE918" s="0"/>
      <c r="AF918" s="0"/>
      <c r="AG918" s="0"/>
      <c r="AH918" s="0"/>
      <c r="AI918" s="0"/>
      <c r="AJ918" s="0"/>
      <c r="AK918" s="0"/>
      <c r="AL918" s="0"/>
      <c r="AM918" s="0"/>
      <c r="AN918" s="0"/>
      <c r="AO918" s="0"/>
      <c r="AP918" s="0"/>
      <c r="AQ918" s="0"/>
      <c r="AR918" s="0"/>
      <c r="AS918" s="0"/>
      <c r="AT918" s="0"/>
      <c r="AU918" s="0"/>
      <c r="AV918" s="0"/>
      <c r="AW918" s="0"/>
      <c r="AX918" s="0"/>
      <c r="AY918" s="0"/>
      <c r="AZ918" s="0"/>
      <c r="BA918" s="0"/>
      <c r="BB918" s="0"/>
      <c r="BC918" s="0"/>
      <c r="BD918" s="0"/>
      <c r="BE918" s="0"/>
      <c r="BF918" s="0"/>
      <c r="BG918" s="0"/>
      <c r="BH918" s="0"/>
      <c r="BI918" s="0"/>
      <c r="BJ918" s="0"/>
      <c r="BK918" s="0"/>
      <c r="BL918" s="0"/>
      <c r="BM918" s="0"/>
      <c r="BN918" s="0"/>
      <c r="BO918" s="0"/>
      <c r="BP918" s="0"/>
      <c r="BQ918" s="0"/>
      <c r="BR918" s="0"/>
      <c r="BS918" s="0"/>
      <c r="BT918" s="0"/>
      <c r="BU918" s="0"/>
      <c r="BV918" s="0"/>
      <c r="BW918" s="0"/>
      <c r="BX918" s="0"/>
      <c r="BY918" s="0"/>
      <c r="BZ918" s="0"/>
      <c r="CA918" s="0"/>
      <c r="CB918" s="0"/>
      <c r="CC918" s="0"/>
      <c r="CD918" s="0"/>
      <c r="CE918" s="0"/>
      <c r="CF918" s="0"/>
      <c r="CG918" s="0"/>
      <c r="CH918" s="0"/>
      <c r="CI918" s="0"/>
      <c r="CJ918" s="0"/>
      <c r="CK918" s="0"/>
      <c r="CL918" s="0"/>
      <c r="CM918" s="0"/>
      <c r="CN918" s="0"/>
      <c r="CO918" s="0"/>
      <c r="CP918" s="0"/>
      <c r="CQ918" s="0"/>
      <c r="CR918" s="0"/>
      <c r="CS918" s="0"/>
      <c r="CT918" s="0"/>
      <c r="CU918" s="0"/>
      <c r="CV918" s="0"/>
      <c r="CW918" s="0"/>
      <c r="CX918" s="0"/>
      <c r="CY918" s="0"/>
      <c r="CZ918" s="0"/>
      <c r="DA918" s="0"/>
      <c r="DB918" s="0"/>
      <c r="DC918" s="0"/>
      <c r="DD918" s="0"/>
      <c r="DE918" s="0"/>
      <c r="DF918" s="0"/>
      <c r="DG918" s="0"/>
      <c r="DH918" s="0"/>
      <c r="DI918" s="0"/>
      <c r="DJ918" s="0"/>
      <c r="DK918" s="0"/>
      <c r="DL918" s="0"/>
      <c r="DM918" s="0"/>
      <c r="DN918" s="0"/>
      <c r="DO918" s="0"/>
      <c r="DP918" s="0"/>
      <c r="DQ918" s="0"/>
      <c r="DR918" s="0"/>
      <c r="DS918" s="0"/>
      <c r="DT918" s="0"/>
      <c r="DU918" s="0"/>
      <c r="DV918" s="0"/>
      <c r="DW918" s="0"/>
      <c r="DX918" s="0"/>
      <c r="DY918" s="0"/>
      <c r="DZ918" s="0"/>
      <c r="EA918" s="0"/>
      <c r="EB918" s="0"/>
      <c r="EC918" s="0"/>
      <c r="ED918" s="0"/>
      <c r="EE918" s="0"/>
      <c r="EF918" s="0"/>
      <c r="EG918" s="0"/>
      <c r="EH918" s="0"/>
      <c r="EI918" s="0"/>
      <c r="EJ918" s="0"/>
      <c r="EK918" s="0"/>
      <c r="EL918" s="0"/>
      <c r="EM918" s="0"/>
      <c r="EN918" s="0"/>
      <c r="EO918" s="0"/>
      <c r="EP918" s="0"/>
      <c r="EQ918" s="0"/>
      <c r="ER918" s="0"/>
      <c r="ES918" s="0"/>
      <c r="ET918" s="0"/>
      <c r="EU918" s="0"/>
      <c r="EV918" s="0"/>
      <c r="EW918" s="0"/>
      <c r="EX918" s="0"/>
      <c r="EY918" s="0"/>
      <c r="EZ918" s="0"/>
      <c r="FA918" s="0"/>
      <c r="FB918" s="0"/>
      <c r="FC918" s="0"/>
      <c r="FD918" s="0"/>
      <c r="FE918" s="0"/>
      <c r="FF918" s="0"/>
      <c r="FG918" s="0"/>
      <c r="FH918" s="0"/>
      <c r="FI918" s="0"/>
      <c r="FJ918" s="0"/>
      <c r="FK918" s="0"/>
      <c r="FL918" s="0"/>
      <c r="FM918" s="0"/>
      <c r="FN918" s="0"/>
      <c r="FO918" s="0"/>
      <c r="FP918" s="0"/>
      <c r="FQ918" s="0"/>
      <c r="FR918" s="0"/>
      <c r="FS918" s="0"/>
      <c r="FT918" s="0"/>
      <c r="FU918" s="0"/>
      <c r="FV918" s="0"/>
      <c r="FW918" s="0"/>
      <c r="FX918" s="0"/>
      <c r="FY918" s="0"/>
      <c r="FZ918" s="0"/>
      <c r="GA918" s="0"/>
      <c r="GB918" s="0"/>
      <c r="GC918" s="0"/>
      <c r="GD918" s="0"/>
      <c r="GE918" s="0"/>
      <c r="GF918" s="0"/>
      <c r="GG918" s="0"/>
      <c r="GH918" s="0"/>
      <c r="GI918" s="0"/>
      <c r="GJ918" s="0"/>
      <c r="GK918" s="0"/>
      <c r="GL918" s="0"/>
      <c r="GM918" s="0"/>
      <c r="GN918" s="0"/>
      <c r="GO918" s="0"/>
      <c r="GP918" s="0"/>
      <c r="GQ918" s="0"/>
      <c r="GR918" s="0"/>
      <c r="GS918" s="0"/>
      <c r="GT918" s="0"/>
      <c r="GU918" s="0"/>
      <c r="GV918" s="0"/>
      <c r="GW918" s="0"/>
      <c r="GX918" s="0"/>
      <c r="GY918" s="0"/>
      <c r="GZ918" s="0"/>
      <c r="HA918" s="0"/>
      <c r="HB918" s="0"/>
      <c r="HC918" s="0"/>
      <c r="HD918" s="0"/>
      <c r="HE918" s="0"/>
      <c r="HF918" s="0"/>
      <c r="HG918" s="0"/>
      <c r="HH918" s="0"/>
      <c r="HI918" s="0"/>
      <c r="HJ918" s="0"/>
      <c r="HK918" s="0"/>
      <c r="HL918" s="0"/>
      <c r="HM918" s="0"/>
      <c r="HN918" s="0"/>
      <c r="HO918" s="0"/>
      <c r="HP918" s="0"/>
      <c r="HQ918" s="0"/>
      <c r="HR918" s="0"/>
      <c r="HS918" s="0"/>
      <c r="HT918" s="0"/>
      <c r="HU918" s="0"/>
      <c r="HV918" s="0"/>
      <c r="HW918" s="0"/>
      <c r="HX918" s="0"/>
      <c r="HY918" s="0"/>
      <c r="HZ918" s="0"/>
      <c r="IA918" s="0"/>
      <c r="IB918" s="0"/>
      <c r="IC918" s="0"/>
      <c r="ID918" s="0"/>
      <c r="IE918" s="0"/>
      <c r="IF918" s="0"/>
      <c r="IG918" s="0"/>
      <c r="IH918" s="0"/>
      <c r="II918" s="0"/>
      <c r="IJ918" s="0"/>
      <c r="IK918" s="0"/>
      <c r="IL918" s="0"/>
      <c r="IM918" s="0"/>
      <c r="IN918" s="0"/>
      <c r="IO918" s="0"/>
      <c r="IP918" s="0"/>
      <c r="IQ918" s="0"/>
      <c r="IR918" s="0"/>
      <c r="IS918" s="0"/>
      <c r="IT918" s="0"/>
      <c r="IU918" s="0"/>
      <c r="IV918" s="0"/>
    </row>
    <row r="919" customFormat="false" ht="15.75" hidden="false" customHeight="true" outlineLevel="0" collapsed="false">
      <c r="A919" s="14" t="s">
        <v>956</v>
      </c>
      <c r="B919" s="0"/>
      <c r="C919" s="0"/>
      <c r="D919" s="1277" t="n">
        <v>0</v>
      </c>
      <c r="E919" s="419" t="s">
        <v>1637</v>
      </c>
      <c r="F919" s="0"/>
      <c r="G919" s="1278" t="s">
        <v>1638</v>
      </c>
      <c r="H919" s="1278"/>
      <c r="I919" s="1278"/>
      <c r="J919" s="910" t="n">
        <f aca="false">IF(D919=0,0,D919/E1304)</f>
        <v>0</v>
      </c>
      <c r="K919" s="903"/>
      <c r="L919" s="877"/>
      <c r="M919" s="0"/>
      <c r="T919" s="0"/>
      <c r="U919" s="0"/>
      <c r="V919" s="0"/>
      <c r="W919" s="0"/>
      <c r="X919" s="0"/>
      <c r="Y919" s="0"/>
      <c r="Z919" s="0"/>
      <c r="AA919" s="0"/>
      <c r="AB919" s="0"/>
      <c r="AC919" s="0"/>
      <c r="AD919" s="0"/>
      <c r="AE919" s="0"/>
      <c r="AF919" s="0"/>
      <c r="AG919" s="0"/>
      <c r="AH919" s="0"/>
      <c r="AI919" s="0"/>
      <c r="AJ919" s="0"/>
      <c r="AK919" s="0"/>
      <c r="AL919" s="0"/>
      <c r="AM919" s="0"/>
      <c r="AN919" s="0"/>
      <c r="AO919" s="0"/>
      <c r="AP919" s="0"/>
      <c r="AQ919" s="0"/>
      <c r="AR919" s="0"/>
      <c r="AS919" s="0"/>
      <c r="AT919" s="0"/>
      <c r="AU919" s="0"/>
      <c r="AV919" s="0"/>
      <c r="AW919" s="0"/>
      <c r="AX919" s="0"/>
      <c r="AY919" s="0"/>
      <c r="AZ919" s="0"/>
      <c r="BA919" s="0"/>
      <c r="BB919" s="0"/>
      <c r="BC919" s="0"/>
      <c r="BD919" s="0"/>
      <c r="BE919" s="0"/>
      <c r="BF919" s="0"/>
      <c r="BG919" s="0"/>
      <c r="BH919" s="0"/>
      <c r="BI919" s="0"/>
      <c r="BJ919" s="0"/>
      <c r="BK919" s="0"/>
      <c r="BL919" s="0"/>
      <c r="BM919" s="0"/>
      <c r="BN919" s="0"/>
      <c r="BO919" s="0"/>
      <c r="BP919" s="0"/>
      <c r="BQ919" s="0"/>
      <c r="BR919" s="0"/>
      <c r="BS919" s="0"/>
      <c r="BT919" s="0"/>
      <c r="BU919" s="0"/>
      <c r="BV919" s="0"/>
      <c r="BW919" s="0"/>
      <c r="BX919" s="0"/>
      <c r="BY919" s="0"/>
      <c r="BZ919" s="0"/>
      <c r="CA919" s="0"/>
      <c r="CB919" s="0"/>
      <c r="CC919" s="0"/>
      <c r="CD919" s="0"/>
      <c r="CE919" s="0"/>
      <c r="CF919" s="0"/>
      <c r="CG919" s="0"/>
      <c r="CH919" s="0"/>
      <c r="CI919" s="0"/>
      <c r="CJ919" s="0"/>
      <c r="CK919" s="0"/>
      <c r="CL919" s="0"/>
      <c r="CM919" s="0"/>
      <c r="CN919" s="0"/>
      <c r="CO919" s="0"/>
      <c r="CP919" s="0"/>
      <c r="CQ919" s="0"/>
      <c r="CR919" s="0"/>
      <c r="CS919" s="0"/>
      <c r="CT919" s="0"/>
      <c r="CU919" s="0"/>
      <c r="CV919" s="0"/>
      <c r="CW919" s="0"/>
      <c r="CX919" s="0"/>
      <c r="CY919" s="0"/>
      <c r="CZ919" s="0"/>
      <c r="DA919" s="0"/>
      <c r="DB919" s="0"/>
      <c r="DC919" s="0"/>
      <c r="DD919" s="0"/>
      <c r="DE919" s="0"/>
      <c r="DF919" s="0"/>
      <c r="DG919" s="0"/>
      <c r="DH919" s="0"/>
      <c r="DI919" s="0"/>
      <c r="DJ919" s="0"/>
      <c r="DK919" s="0"/>
      <c r="DL919" s="0"/>
      <c r="DM919" s="0"/>
      <c r="DN919" s="0"/>
      <c r="DO919" s="0"/>
      <c r="DP919" s="0"/>
      <c r="DQ919" s="0"/>
      <c r="DR919" s="0"/>
      <c r="DS919" s="0"/>
      <c r="DT919" s="0"/>
      <c r="DU919" s="0"/>
      <c r="DV919" s="0"/>
      <c r="DW919" s="0"/>
      <c r="DX919" s="0"/>
      <c r="DY919" s="0"/>
      <c r="DZ919" s="0"/>
      <c r="EA919" s="0"/>
      <c r="EB919" s="0"/>
      <c r="EC919" s="0"/>
      <c r="ED919" s="0"/>
      <c r="EE919" s="0"/>
      <c r="EF919" s="0"/>
      <c r="EG919" s="0"/>
      <c r="EH919" s="0"/>
      <c r="EI919" s="0"/>
      <c r="EJ919" s="0"/>
      <c r="EK919" s="0"/>
      <c r="EL919" s="0"/>
      <c r="EM919" s="0"/>
      <c r="EN919" s="0"/>
      <c r="EO919" s="0"/>
      <c r="EP919" s="0"/>
      <c r="EQ919" s="0"/>
      <c r="ER919" s="0"/>
      <c r="ES919" s="0"/>
      <c r="ET919" s="0"/>
      <c r="EU919" s="0"/>
      <c r="EV919" s="0"/>
      <c r="EW919" s="0"/>
      <c r="EX919" s="0"/>
      <c r="EY919" s="0"/>
      <c r="EZ919" s="0"/>
      <c r="FA919" s="0"/>
      <c r="FB919" s="0"/>
      <c r="FC919" s="0"/>
      <c r="FD919" s="0"/>
      <c r="FE919" s="0"/>
      <c r="FF919" s="0"/>
      <c r="FG919" s="0"/>
      <c r="FH919" s="0"/>
      <c r="FI919" s="0"/>
      <c r="FJ919" s="0"/>
      <c r="FK919" s="0"/>
      <c r="FL919" s="0"/>
      <c r="FM919" s="0"/>
      <c r="FN919" s="0"/>
      <c r="FO919" s="0"/>
      <c r="FP919" s="0"/>
      <c r="FQ919" s="0"/>
      <c r="FR919" s="0"/>
      <c r="FS919" s="0"/>
      <c r="FT919" s="0"/>
      <c r="FU919" s="0"/>
      <c r="FV919" s="0"/>
      <c r="FW919" s="0"/>
      <c r="FX919" s="0"/>
      <c r="FY919" s="0"/>
      <c r="FZ919" s="0"/>
      <c r="GA919" s="0"/>
      <c r="GB919" s="0"/>
      <c r="GC919" s="0"/>
      <c r="GD919" s="0"/>
      <c r="GE919" s="0"/>
      <c r="GF919" s="0"/>
      <c r="GG919" s="0"/>
      <c r="GH919" s="0"/>
      <c r="GI919" s="0"/>
      <c r="GJ919" s="0"/>
      <c r="GK919" s="0"/>
      <c r="GL919" s="0"/>
      <c r="GM919" s="0"/>
      <c r="GN919" s="0"/>
      <c r="GO919" s="0"/>
      <c r="GP919" s="0"/>
      <c r="GQ919" s="0"/>
      <c r="GR919" s="0"/>
      <c r="GS919" s="0"/>
      <c r="GT919" s="0"/>
      <c r="GU919" s="0"/>
      <c r="GV919" s="0"/>
      <c r="GW919" s="0"/>
      <c r="GX919" s="0"/>
      <c r="GY919" s="0"/>
      <c r="GZ919" s="0"/>
      <c r="HA919" s="0"/>
      <c r="HB919" s="0"/>
      <c r="HC919" s="0"/>
      <c r="HD919" s="0"/>
      <c r="HE919" s="0"/>
      <c r="HF919" s="0"/>
      <c r="HG919" s="0"/>
      <c r="HH919" s="0"/>
      <c r="HI919" s="0"/>
      <c r="HJ919" s="0"/>
      <c r="HK919" s="0"/>
      <c r="HL919" s="0"/>
      <c r="HM919" s="0"/>
      <c r="HN919" s="0"/>
      <c r="HO919" s="0"/>
      <c r="HP919" s="0"/>
      <c r="HQ919" s="0"/>
      <c r="HR919" s="0"/>
      <c r="HS919" s="0"/>
      <c r="HT919" s="0"/>
      <c r="HU919" s="0"/>
      <c r="HV919" s="0"/>
      <c r="HW919" s="0"/>
      <c r="HX919" s="0"/>
      <c r="HY919" s="0"/>
      <c r="HZ919" s="0"/>
      <c r="IA919" s="0"/>
      <c r="IB919" s="0"/>
      <c r="IC919" s="0"/>
      <c r="ID919" s="0"/>
      <c r="IE919" s="0"/>
      <c r="IF919" s="0"/>
      <c r="IG919" s="0"/>
      <c r="IH919" s="0"/>
      <c r="II919" s="0"/>
      <c r="IJ919" s="0"/>
      <c r="IK919" s="0"/>
      <c r="IL919" s="0"/>
      <c r="IM919" s="0"/>
      <c r="IN919" s="0"/>
      <c r="IO919" s="0"/>
      <c r="IP919" s="0"/>
      <c r="IQ919" s="0"/>
      <c r="IR919" s="0"/>
      <c r="IS919" s="0"/>
      <c r="IT919" s="0"/>
      <c r="IU919" s="0"/>
      <c r="IV919" s="0"/>
    </row>
    <row r="920" customFormat="false" ht="15" hidden="false" customHeight="true" outlineLevel="0" collapsed="false">
      <c r="A920" s="14"/>
      <c r="D920" s="414"/>
      <c r="F920" s="414"/>
      <c r="G920" s="414"/>
      <c r="H920" s="414"/>
      <c r="I920" s="414"/>
      <c r="J920" s="1253"/>
      <c r="K920" s="903"/>
      <c r="L920" s="877"/>
    </row>
    <row r="921" customFormat="false" ht="15.75" hidden="false" customHeight="true" outlineLevel="0" collapsed="false">
      <c r="B921" s="0"/>
      <c r="C921" s="0"/>
      <c r="D921" s="14"/>
      <c r="E921" s="0"/>
      <c r="F921" s="0"/>
      <c r="G921" s="0"/>
      <c r="H921" s="0"/>
      <c r="I921" s="0"/>
      <c r="J921" s="11"/>
      <c r="K921" s="903"/>
      <c r="L921" s="877"/>
      <c r="M921" s="0"/>
      <c r="N921" s="0"/>
      <c r="O921" s="0"/>
      <c r="P921" s="0"/>
      <c r="Q921" s="0"/>
      <c r="R921" s="0"/>
      <c r="S921" s="0"/>
      <c r="T921" s="0"/>
      <c r="U921" s="0"/>
      <c r="V921" s="0"/>
      <c r="W921" s="0"/>
      <c r="X921" s="0"/>
      <c r="Y921" s="0"/>
      <c r="Z921" s="0"/>
      <c r="AA921" s="0"/>
      <c r="AB921" s="0"/>
      <c r="AC921" s="0"/>
      <c r="AD921" s="0"/>
      <c r="AE921" s="0"/>
      <c r="AF921" s="0"/>
      <c r="AG921" s="0"/>
      <c r="AH921" s="0"/>
      <c r="AI921" s="0"/>
      <c r="AJ921" s="0"/>
      <c r="AK921" s="0"/>
      <c r="AL921" s="0"/>
      <c r="AM921" s="0"/>
      <c r="AN921" s="0"/>
      <c r="AO921" s="0"/>
      <c r="AP921" s="0"/>
      <c r="AQ921" s="0"/>
      <c r="AR921" s="0"/>
      <c r="AS921" s="0"/>
      <c r="AT921" s="0"/>
      <c r="AU921" s="0"/>
      <c r="AV921" s="0"/>
      <c r="AW921" s="0"/>
      <c r="AX921" s="0"/>
      <c r="AY921" s="0"/>
      <c r="AZ921" s="0"/>
      <c r="BA921" s="0"/>
      <c r="BB921" s="0"/>
      <c r="BC921" s="0"/>
      <c r="BD921" s="0"/>
      <c r="BE921" s="0"/>
      <c r="BF921" s="0"/>
      <c r="BG921" s="0"/>
      <c r="BH921" s="0"/>
      <c r="BI921" s="0"/>
      <c r="BJ921" s="0"/>
      <c r="BK921" s="0"/>
      <c r="BL921" s="0"/>
      <c r="BM921" s="0"/>
      <c r="BN921" s="0"/>
      <c r="BO921" s="0"/>
      <c r="BP921" s="0"/>
      <c r="BQ921" s="0"/>
      <c r="BR921" s="0"/>
      <c r="BS921" s="0"/>
      <c r="BT921" s="0"/>
      <c r="BU921" s="0"/>
      <c r="BV921" s="0"/>
      <c r="BW921" s="0"/>
      <c r="BX921" s="0"/>
      <c r="BY921" s="0"/>
      <c r="BZ921" s="0"/>
      <c r="CA921" s="0"/>
      <c r="CB921" s="0"/>
      <c r="CC921" s="0"/>
      <c r="CD921" s="0"/>
      <c r="CE921" s="0"/>
      <c r="CF921" s="0"/>
      <c r="CG921" s="0"/>
      <c r="CH921" s="0"/>
      <c r="CI921" s="0"/>
      <c r="CJ921" s="0"/>
      <c r="CK921" s="0"/>
      <c r="CL921" s="0"/>
      <c r="CM921" s="0"/>
      <c r="CN921" s="0"/>
      <c r="CO921" s="0"/>
      <c r="CP921" s="0"/>
      <c r="CQ921" s="0"/>
      <c r="CR921" s="0"/>
      <c r="CS921" s="0"/>
      <c r="CT921" s="0"/>
      <c r="CU921" s="0"/>
      <c r="CV921" s="0"/>
      <c r="CW921" s="0"/>
      <c r="CX921" s="0"/>
      <c r="CY921" s="0"/>
      <c r="CZ921" s="0"/>
      <c r="DA921" s="0"/>
      <c r="DB921" s="0"/>
      <c r="DC921" s="0"/>
      <c r="DD921" s="0"/>
      <c r="DE921" s="0"/>
      <c r="DF921" s="0"/>
      <c r="DG921" s="0"/>
      <c r="DH921" s="0"/>
      <c r="DI921" s="0"/>
      <c r="DJ921" s="0"/>
      <c r="DK921" s="0"/>
      <c r="DL921" s="0"/>
      <c r="DM921" s="0"/>
      <c r="DN921" s="0"/>
      <c r="DO921" s="0"/>
      <c r="DP921" s="0"/>
      <c r="DQ921" s="0"/>
      <c r="DR921" s="0"/>
      <c r="DS921" s="0"/>
      <c r="DT921" s="0"/>
      <c r="DU921" s="0"/>
      <c r="DV921" s="0"/>
      <c r="DW921" s="0"/>
      <c r="DX921" s="0"/>
      <c r="DY921" s="0"/>
      <c r="DZ921" s="0"/>
      <c r="EA921" s="0"/>
      <c r="EB921" s="0"/>
      <c r="EC921" s="0"/>
      <c r="ED921" s="0"/>
      <c r="EE921" s="0"/>
      <c r="EF921" s="0"/>
      <c r="EG921" s="0"/>
      <c r="EH921" s="0"/>
      <c r="EI921" s="0"/>
      <c r="EJ921" s="0"/>
      <c r="EK921" s="0"/>
      <c r="EL921" s="0"/>
      <c r="EM921" s="0"/>
      <c r="EN921" s="0"/>
      <c r="EO921" s="0"/>
      <c r="EP921" s="0"/>
      <c r="EQ921" s="0"/>
      <c r="ER921" s="0"/>
      <c r="ES921" s="0"/>
      <c r="ET921" s="0"/>
      <c r="EU921" s="0"/>
      <c r="EV921" s="0"/>
      <c r="EW921" s="0"/>
      <c r="EX921" s="0"/>
      <c r="EY921" s="0"/>
      <c r="EZ921" s="0"/>
      <c r="FA921" s="0"/>
      <c r="FB921" s="0"/>
      <c r="FC921" s="0"/>
      <c r="FD921" s="0"/>
      <c r="FE921" s="0"/>
      <c r="FF921" s="0"/>
      <c r="FG921" s="0"/>
      <c r="FH921" s="0"/>
      <c r="FI921" s="0"/>
      <c r="FJ921" s="0"/>
      <c r="FK921" s="0"/>
      <c r="FL921" s="0"/>
      <c r="FM921" s="0"/>
      <c r="FN921" s="0"/>
      <c r="FO921" s="0"/>
      <c r="FP921" s="0"/>
      <c r="FQ921" s="0"/>
      <c r="FR921" s="0"/>
      <c r="FS921" s="0"/>
      <c r="FT921" s="0"/>
      <c r="FU921" s="0"/>
      <c r="FV921" s="0"/>
      <c r="FW921" s="0"/>
      <c r="FX921" s="0"/>
      <c r="FY921" s="0"/>
      <c r="FZ921" s="0"/>
      <c r="GA921" s="0"/>
      <c r="GB921" s="0"/>
      <c r="GC921" s="0"/>
      <c r="GD921" s="0"/>
      <c r="GE921" s="0"/>
      <c r="GF921" s="0"/>
      <c r="GG921" s="0"/>
      <c r="GH921" s="0"/>
      <c r="GI921" s="0"/>
      <c r="GJ921" s="0"/>
      <c r="GK921" s="0"/>
      <c r="GL921" s="0"/>
      <c r="GM921" s="0"/>
      <c r="GN921" s="0"/>
      <c r="GO921" s="0"/>
      <c r="GP921" s="0"/>
      <c r="GQ921" s="0"/>
      <c r="GR921" s="0"/>
      <c r="GS921" s="0"/>
      <c r="GT921" s="0"/>
      <c r="GU921" s="0"/>
      <c r="GV921" s="0"/>
      <c r="GW921" s="0"/>
      <c r="GX921" s="0"/>
      <c r="GY921" s="0"/>
      <c r="GZ921" s="0"/>
      <c r="HA921" s="0"/>
      <c r="HB921" s="0"/>
      <c r="HC921" s="0"/>
      <c r="HD921" s="0"/>
      <c r="HE921" s="0"/>
      <c r="HF921" s="0"/>
      <c r="HG921" s="0"/>
      <c r="HH921" s="0"/>
      <c r="HI921" s="0"/>
      <c r="HJ921" s="0"/>
      <c r="HK921" s="0"/>
      <c r="HL921" s="0"/>
      <c r="HM921" s="0"/>
      <c r="HN921" s="0"/>
      <c r="HO921" s="0"/>
      <c r="HP921" s="0"/>
      <c r="HQ921" s="0"/>
      <c r="HR921" s="0"/>
      <c r="HS921" s="0"/>
      <c r="HT921" s="0"/>
      <c r="HU921" s="0"/>
      <c r="HV921" s="0"/>
      <c r="HW921" s="0"/>
      <c r="HX921" s="0"/>
      <c r="HY921" s="0"/>
      <c r="HZ921" s="0"/>
      <c r="IA921" s="0"/>
      <c r="IB921" s="0"/>
      <c r="IC921" s="0"/>
      <c r="ID921" s="0"/>
      <c r="IE921" s="0"/>
      <c r="IF921" s="0"/>
      <c r="IG921" s="0"/>
      <c r="IH921" s="0"/>
      <c r="II921" s="0"/>
      <c r="IJ921" s="0"/>
      <c r="IK921" s="0"/>
      <c r="IL921" s="0"/>
      <c r="IM921" s="0"/>
      <c r="IN921" s="0"/>
      <c r="IO921" s="0"/>
      <c r="IP921" s="0"/>
      <c r="IQ921" s="0"/>
      <c r="IR921" s="0"/>
      <c r="IS921" s="0"/>
      <c r="IT921" s="0"/>
      <c r="IU921" s="0"/>
      <c r="IV921" s="0"/>
    </row>
    <row r="922" customFormat="false" ht="15.75" hidden="false" customHeight="true" outlineLevel="0" collapsed="false">
      <c r="A922" s="14" t="s">
        <v>957</v>
      </c>
      <c r="C922" s="537" t="s">
        <v>958</v>
      </c>
      <c r="D922" s="1277" t="s">
        <v>254</v>
      </c>
      <c r="E922" s="15" t="s">
        <v>1639</v>
      </c>
      <c r="F922" s="1258"/>
      <c r="G922" s="1258"/>
      <c r="J922" s="11"/>
    </row>
    <row r="923" customFormat="false" ht="15.75" hidden="false" customHeight="true" outlineLevel="0" collapsed="false">
      <c r="C923" s="537" t="s">
        <v>959</v>
      </c>
      <c r="D923" s="1277" t="s">
        <v>254</v>
      </c>
      <c r="F923" s="1258"/>
      <c r="G923" s="1258"/>
      <c r="J923" s="11"/>
    </row>
    <row r="924" customFormat="false" ht="15.75" hidden="false" customHeight="true" outlineLevel="0" collapsed="false">
      <c r="D924" s="0"/>
      <c r="G924" s="19"/>
      <c r="H924" s="19"/>
      <c r="J924" s="11"/>
    </row>
    <row r="925" customFormat="false" ht="30.75" hidden="false" customHeight="true" outlineLevel="0" collapsed="false">
      <c r="A925" s="1272" t="s">
        <v>960</v>
      </c>
      <c r="B925" s="1272"/>
      <c r="C925" s="1272"/>
      <c r="D925" s="1272"/>
      <c r="E925" s="1279" t="s">
        <v>254</v>
      </c>
      <c r="F925" s="15" t="s">
        <v>1639</v>
      </c>
      <c r="G925" s="1258"/>
      <c r="H925" s="1258"/>
      <c r="J925" s="11"/>
    </row>
    <row r="926" customFormat="false" ht="15" hidden="false" customHeight="true" outlineLevel="0" collapsed="false">
      <c r="A926" s="0"/>
      <c r="B926" s="0"/>
      <c r="C926" s="0"/>
      <c r="D926" s="0"/>
      <c r="E926" s="0"/>
      <c r="F926" s="0"/>
      <c r="G926" s="0"/>
      <c r="H926" s="0"/>
      <c r="J926" s="11"/>
    </row>
    <row r="927" customFormat="false" ht="15" hidden="false" customHeight="true" outlineLevel="0" collapsed="false">
      <c r="A927" s="0"/>
      <c r="B927" s="0"/>
      <c r="C927" s="0"/>
      <c r="D927" s="0"/>
      <c r="E927" s="0"/>
      <c r="F927" s="0"/>
      <c r="G927" s="0"/>
      <c r="H927" s="0"/>
      <c r="I927" s="0"/>
      <c r="J927" s="11"/>
      <c r="K927" s="0"/>
      <c r="L927" s="0"/>
      <c r="M927" s="0"/>
      <c r="T927" s="0"/>
      <c r="U927" s="0"/>
      <c r="V927" s="0"/>
      <c r="W927" s="0"/>
      <c r="X927" s="0"/>
      <c r="Y927" s="0"/>
      <c r="Z927" s="0"/>
      <c r="AA927" s="0"/>
      <c r="AB927" s="0"/>
      <c r="AC927" s="0"/>
      <c r="AD927" s="0"/>
      <c r="AE927" s="0"/>
      <c r="AF927" s="0"/>
      <c r="AG927" s="0"/>
      <c r="AH927" s="0"/>
      <c r="AI927" s="0"/>
      <c r="AJ927" s="0"/>
      <c r="AK927" s="0"/>
      <c r="AL927" s="0"/>
      <c r="AM927" s="0"/>
      <c r="AN927" s="0"/>
      <c r="AO927" s="0"/>
      <c r="AP927" s="0"/>
      <c r="AQ927" s="0"/>
      <c r="AR927" s="0"/>
      <c r="AS927" s="0"/>
      <c r="AT927" s="0"/>
      <c r="AU927" s="0"/>
      <c r="AV927" s="0"/>
      <c r="AW927" s="0"/>
      <c r="AX927" s="0"/>
      <c r="AY927" s="0"/>
      <c r="AZ927" s="0"/>
      <c r="BA927" s="0"/>
      <c r="BB927" s="0"/>
      <c r="BC927" s="0"/>
      <c r="BD927" s="0"/>
      <c r="BE927" s="0"/>
      <c r="BF927" s="0"/>
      <c r="BG927" s="0"/>
      <c r="BH927" s="0"/>
      <c r="BI927" s="0"/>
      <c r="BJ927" s="0"/>
      <c r="BK927" s="0"/>
      <c r="BL927" s="0"/>
      <c r="BM927" s="0"/>
      <c r="BN927" s="0"/>
      <c r="BO927" s="0"/>
      <c r="BP927" s="0"/>
      <c r="BQ927" s="0"/>
      <c r="BR927" s="0"/>
      <c r="BS927" s="0"/>
      <c r="BT927" s="0"/>
      <c r="BU927" s="0"/>
      <c r="BV927" s="0"/>
      <c r="BW927" s="0"/>
      <c r="BX927" s="0"/>
      <c r="BY927" s="0"/>
      <c r="BZ927" s="0"/>
      <c r="CA927" s="0"/>
      <c r="CB927" s="0"/>
      <c r="CC927" s="0"/>
      <c r="CD927" s="0"/>
      <c r="CE927" s="0"/>
      <c r="CF927" s="0"/>
      <c r="CG927" s="0"/>
      <c r="CH927" s="0"/>
      <c r="CI927" s="0"/>
      <c r="CJ927" s="0"/>
      <c r="CK927" s="0"/>
      <c r="CL927" s="0"/>
      <c r="CM927" s="0"/>
      <c r="CN927" s="0"/>
      <c r="CO927" s="0"/>
      <c r="CP927" s="0"/>
      <c r="CQ927" s="0"/>
      <c r="CR927" s="0"/>
      <c r="CS927" s="0"/>
      <c r="CT927" s="0"/>
      <c r="CU927" s="0"/>
      <c r="CV927" s="0"/>
      <c r="CW927" s="0"/>
      <c r="CX927" s="0"/>
      <c r="CY927" s="0"/>
      <c r="CZ927" s="0"/>
      <c r="DA927" s="0"/>
      <c r="DB927" s="0"/>
      <c r="DC927" s="0"/>
      <c r="DD927" s="0"/>
      <c r="DE927" s="0"/>
      <c r="DF927" s="0"/>
      <c r="DG927" s="0"/>
      <c r="DH927" s="0"/>
      <c r="DI927" s="0"/>
      <c r="DJ927" s="0"/>
      <c r="DK927" s="0"/>
      <c r="DL927" s="0"/>
      <c r="DM927" s="0"/>
      <c r="DN927" s="0"/>
      <c r="DO927" s="0"/>
      <c r="DP927" s="0"/>
      <c r="DQ927" s="0"/>
      <c r="DR927" s="0"/>
      <c r="DS927" s="0"/>
      <c r="DT927" s="0"/>
      <c r="DU927" s="0"/>
      <c r="DV927" s="0"/>
      <c r="DW927" s="0"/>
      <c r="DX927" s="0"/>
      <c r="DY927" s="0"/>
      <c r="DZ927" s="0"/>
      <c r="EA927" s="0"/>
      <c r="EB927" s="0"/>
      <c r="EC927" s="0"/>
      <c r="ED927" s="0"/>
      <c r="EE927" s="0"/>
      <c r="EF927" s="0"/>
      <c r="EG927" s="0"/>
      <c r="EH927" s="0"/>
      <c r="EI927" s="0"/>
      <c r="EJ927" s="0"/>
      <c r="EK927" s="0"/>
      <c r="EL927" s="0"/>
      <c r="EM927" s="0"/>
      <c r="EN927" s="0"/>
      <c r="EO927" s="0"/>
      <c r="EP927" s="0"/>
      <c r="EQ927" s="0"/>
      <c r="ER927" s="0"/>
      <c r="ES927" s="0"/>
      <c r="ET927" s="0"/>
      <c r="EU927" s="0"/>
      <c r="EV927" s="0"/>
      <c r="EW927" s="0"/>
      <c r="EX927" s="0"/>
      <c r="EY927" s="0"/>
      <c r="EZ927" s="0"/>
      <c r="FA927" s="0"/>
      <c r="FB927" s="0"/>
      <c r="FC927" s="0"/>
      <c r="FD927" s="0"/>
      <c r="FE927" s="0"/>
      <c r="FF927" s="0"/>
      <c r="FG927" s="0"/>
      <c r="FH927" s="0"/>
      <c r="FI927" s="0"/>
      <c r="FJ927" s="0"/>
      <c r="FK927" s="0"/>
      <c r="FL927" s="0"/>
      <c r="FM927" s="0"/>
      <c r="FN927" s="0"/>
      <c r="FO927" s="0"/>
      <c r="FP927" s="0"/>
      <c r="FQ927" s="0"/>
      <c r="FR927" s="0"/>
      <c r="FS927" s="0"/>
      <c r="FT927" s="0"/>
      <c r="FU927" s="0"/>
      <c r="FV927" s="0"/>
      <c r="FW927" s="0"/>
      <c r="FX927" s="0"/>
      <c r="FY927" s="0"/>
      <c r="FZ927" s="0"/>
      <c r="GA927" s="0"/>
      <c r="GB927" s="0"/>
      <c r="GC927" s="0"/>
      <c r="GD927" s="0"/>
      <c r="GE927" s="0"/>
      <c r="GF927" s="0"/>
      <c r="GG927" s="0"/>
      <c r="GH927" s="0"/>
      <c r="GI927" s="0"/>
      <c r="GJ927" s="0"/>
      <c r="GK927" s="0"/>
      <c r="GL927" s="0"/>
      <c r="GM927" s="0"/>
      <c r="GN927" s="0"/>
      <c r="GO927" s="0"/>
      <c r="GP927" s="0"/>
      <c r="GQ927" s="0"/>
      <c r="GR927" s="0"/>
      <c r="GS927" s="0"/>
      <c r="GT927" s="0"/>
      <c r="GU927" s="0"/>
      <c r="GV927" s="0"/>
      <c r="GW927" s="0"/>
      <c r="GX927" s="0"/>
      <c r="GY927" s="0"/>
      <c r="GZ927" s="0"/>
      <c r="HA927" s="0"/>
      <c r="HB927" s="0"/>
      <c r="HC927" s="0"/>
      <c r="HD927" s="0"/>
      <c r="HE927" s="0"/>
      <c r="HF927" s="0"/>
      <c r="HG927" s="0"/>
      <c r="HH927" s="0"/>
      <c r="HI927" s="0"/>
      <c r="HJ927" s="0"/>
      <c r="HK927" s="0"/>
      <c r="HL927" s="0"/>
      <c r="HM927" s="0"/>
      <c r="HN927" s="0"/>
      <c r="HO927" s="0"/>
      <c r="HP927" s="0"/>
      <c r="HQ927" s="0"/>
      <c r="HR927" s="0"/>
      <c r="HS927" s="0"/>
      <c r="HT927" s="0"/>
      <c r="HU927" s="0"/>
      <c r="HV927" s="0"/>
      <c r="HW927" s="0"/>
      <c r="HX927" s="0"/>
      <c r="HY927" s="0"/>
      <c r="HZ927" s="0"/>
      <c r="IA927" s="0"/>
      <c r="IB927" s="0"/>
      <c r="IC927" s="0"/>
      <c r="ID927" s="0"/>
      <c r="IE927" s="0"/>
      <c r="IF927" s="0"/>
      <c r="IG927" s="0"/>
      <c r="IH927" s="0"/>
      <c r="II927" s="0"/>
      <c r="IJ927" s="0"/>
      <c r="IK927" s="0"/>
      <c r="IL927" s="0"/>
      <c r="IM927" s="0"/>
      <c r="IN927" s="0"/>
      <c r="IO927" s="0"/>
      <c r="IP927" s="0"/>
      <c r="IQ927" s="0"/>
      <c r="IR927" s="0"/>
      <c r="IS927" s="0"/>
      <c r="IT927" s="0"/>
      <c r="IU927" s="0"/>
      <c r="IV927" s="0"/>
    </row>
    <row r="928" customFormat="false" ht="16.5" hidden="false" customHeight="true" outlineLevel="0" collapsed="false">
      <c r="A928" s="869" t="s">
        <v>1640</v>
      </c>
      <c r="B928" s="869"/>
      <c r="C928" s="869"/>
      <c r="D928" s="869"/>
      <c r="E928" s="869"/>
      <c r="F928" s="869"/>
      <c r="G928" s="869"/>
      <c r="H928" s="53"/>
      <c r="I928" s="53"/>
      <c r="J928" s="53"/>
      <c r="K928" s="870"/>
      <c r="L928" s="871" t="s">
        <v>1641</v>
      </c>
      <c r="M928" s="55"/>
    </row>
    <row r="929" customFormat="false" ht="16.5" hidden="false" customHeight="true" outlineLevel="0" collapsed="false">
      <c r="A929" s="1005"/>
      <c r="B929" s="1005"/>
      <c r="C929" s="1005"/>
      <c r="D929" s="1005"/>
      <c r="E929" s="1005"/>
      <c r="F929" s="1005"/>
      <c r="G929" s="1005"/>
      <c r="J929" s="11"/>
      <c r="K929" s="903"/>
      <c r="L929" s="877"/>
      <c r="M929" s="55"/>
    </row>
    <row r="930" customFormat="false" ht="16.5" hidden="false" customHeight="true" outlineLevel="0" collapsed="false">
      <c r="A930" s="1005" t="s">
        <v>1642</v>
      </c>
      <c r="B930" s="1005"/>
      <c r="C930" s="1005"/>
      <c r="D930" s="1005"/>
      <c r="E930" s="1005"/>
      <c r="F930" s="1005"/>
      <c r="G930" s="1005"/>
      <c r="J930" s="11"/>
      <c r="K930" s="903"/>
      <c r="L930" s="877"/>
      <c r="M930" s="55"/>
    </row>
    <row r="931" customFormat="false" ht="15.75" hidden="false" customHeight="true" outlineLevel="0" collapsed="false">
      <c r="A931" s="14" t="s">
        <v>1643</v>
      </c>
      <c r="D931" s="1280" t="n">
        <f aca="false">IF(G257=-1,"erreur",IF(B19="0 - pas d'élevage","NC",((G257+I315-C200-I314-I175+I177+E202)/(G257+I315))))</f>
        <v>0</v>
      </c>
      <c r="J931" s="0"/>
      <c r="K931" s="0"/>
      <c r="L931" s="0" t="s">
        <v>1087</v>
      </c>
      <c r="M931" s="0"/>
      <c r="T931" s="0"/>
      <c r="U931" s="0"/>
      <c r="V931" s="0"/>
      <c r="W931" s="0"/>
      <c r="X931" s="0"/>
      <c r="Y931" s="0"/>
      <c r="Z931" s="0"/>
      <c r="AA931" s="0"/>
      <c r="AB931" s="0"/>
      <c r="AC931" s="0"/>
      <c r="AD931" s="0"/>
      <c r="AE931" s="0"/>
      <c r="AF931" s="0"/>
      <c r="AG931" s="0"/>
      <c r="AH931" s="0"/>
      <c r="AI931" s="0"/>
      <c r="AJ931" s="0"/>
      <c r="AK931" s="0"/>
      <c r="AL931" s="0"/>
      <c r="AM931" s="0"/>
      <c r="AN931" s="0"/>
      <c r="AO931" s="0"/>
      <c r="AP931" s="0"/>
      <c r="AQ931" s="0"/>
      <c r="AR931" s="0"/>
      <c r="AS931" s="0"/>
      <c r="AT931" s="0"/>
      <c r="AU931" s="0"/>
      <c r="AV931" s="0"/>
      <c r="AW931" s="0"/>
      <c r="AX931" s="0"/>
      <c r="AY931" s="0"/>
      <c r="AZ931" s="0"/>
      <c r="BA931" s="0"/>
      <c r="BB931" s="0"/>
      <c r="BC931" s="0"/>
      <c r="BD931" s="0"/>
      <c r="BE931" s="0"/>
      <c r="BF931" s="0"/>
      <c r="BG931" s="0"/>
      <c r="BH931" s="0"/>
      <c r="BI931" s="0"/>
      <c r="BJ931" s="0"/>
      <c r="BK931" s="0"/>
      <c r="BL931" s="0"/>
      <c r="BM931" s="0"/>
      <c r="BN931" s="0"/>
      <c r="BO931" s="0"/>
      <c r="BP931" s="0"/>
      <c r="BQ931" s="0"/>
      <c r="BR931" s="0"/>
      <c r="BS931" s="0"/>
      <c r="BT931" s="0"/>
      <c r="BU931" s="0"/>
      <c r="BV931" s="0"/>
      <c r="BW931" s="0"/>
      <c r="BX931" s="0"/>
      <c r="BY931" s="0"/>
      <c r="BZ931" s="0"/>
      <c r="CA931" s="0"/>
      <c r="CB931" s="0"/>
      <c r="CC931" s="0"/>
      <c r="CD931" s="0"/>
      <c r="CE931" s="0"/>
      <c r="CF931" s="0"/>
      <c r="CG931" s="0"/>
      <c r="CH931" s="0"/>
      <c r="CI931" s="0"/>
      <c r="CJ931" s="0"/>
      <c r="CK931" s="0"/>
      <c r="CL931" s="0"/>
      <c r="CM931" s="0"/>
      <c r="CN931" s="0"/>
      <c r="CO931" s="0"/>
      <c r="CP931" s="0"/>
      <c r="CQ931" s="0"/>
      <c r="CR931" s="0"/>
      <c r="CS931" s="0"/>
      <c r="CT931" s="0"/>
      <c r="CU931" s="0"/>
      <c r="CV931" s="0"/>
      <c r="CW931" s="0"/>
      <c r="CX931" s="0"/>
      <c r="CY931" s="0"/>
      <c r="CZ931" s="0"/>
      <c r="DA931" s="0"/>
      <c r="DB931" s="0"/>
      <c r="DC931" s="0"/>
      <c r="DD931" s="0"/>
      <c r="DE931" s="0"/>
      <c r="DF931" s="0"/>
      <c r="DG931" s="0"/>
      <c r="DH931" s="0"/>
      <c r="DI931" s="0"/>
      <c r="DJ931" s="0"/>
      <c r="DK931" s="0"/>
      <c r="DL931" s="0"/>
      <c r="DM931" s="0"/>
      <c r="DN931" s="0"/>
      <c r="DO931" s="0"/>
      <c r="DP931" s="0"/>
      <c r="DQ931" s="0"/>
      <c r="DR931" s="0"/>
      <c r="DS931" s="0"/>
      <c r="DT931" s="0"/>
      <c r="DU931" s="0"/>
      <c r="DV931" s="0"/>
      <c r="DW931" s="0"/>
      <c r="DX931" s="0"/>
      <c r="DY931" s="0"/>
      <c r="DZ931" s="0"/>
      <c r="EA931" s="0"/>
      <c r="EB931" s="0"/>
      <c r="EC931" s="0"/>
      <c r="ED931" s="0"/>
      <c r="EE931" s="0"/>
      <c r="EF931" s="0"/>
      <c r="EG931" s="0"/>
      <c r="EH931" s="0"/>
      <c r="EI931" s="0"/>
      <c r="EJ931" s="0"/>
      <c r="EK931" s="0"/>
      <c r="EL931" s="0"/>
      <c r="EM931" s="0"/>
      <c r="EN931" s="0"/>
      <c r="EO931" s="0"/>
      <c r="EP931" s="0"/>
      <c r="EQ931" s="0"/>
      <c r="ER931" s="0"/>
      <c r="ES931" s="0"/>
      <c r="ET931" s="0"/>
      <c r="EU931" s="0"/>
      <c r="EV931" s="0"/>
      <c r="EW931" s="0"/>
      <c r="EX931" s="0"/>
      <c r="EY931" s="0"/>
      <c r="EZ931" s="0"/>
      <c r="FA931" s="0"/>
      <c r="FB931" s="0"/>
      <c r="FC931" s="0"/>
      <c r="FD931" s="0"/>
      <c r="FE931" s="0"/>
      <c r="FF931" s="0"/>
      <c r="FG931" s="0"/>
      <c r="FH931" s="0"/>
      <c r="FI931" s="0"/>
      <c r="FJ931" s="0"/>
      <c r="FK931" s="0"/>
      <c r="FL931" s="0"/>
      <c r="FM931" s="0"/>
      <c r="FN931" s="0"/>
      <c r="FO931" s="0"/>
      <c r="FP931" s="0"/>
      <c r="FQ931" s="0"/>
      <c r="FR931" s="0"/>
      <c r="FS931" s="0"/>
      <c r="FT931" s="0"/>
      <c r="FU931" s="0"/>
      <c r="FV931" s="0"/>
      <c r="FW931" s="0"/>
      <c r="FX931" s="0"/>
      <c r="FY931" s="0"/>
      <c r="FZ931" s="0"/>
      <c r="GA931" s="0"/>
      <c r="GB931" s="0"/>
      <c r="GC931" s="0"/>
      <c r="GD931" s="0"/>
      <c r="GE931" s="0"/>
      <c r="GF931" s="0"/>
      <c r="GG931" s="0"/>
      <c r="GH931" s="0"/>
      <c r="GI931" s="0"/>
      <c r="GJ931" s="0"/>
      <c r="GK931" s="0"/>
      <c r="GL931" s="0"/>
      <c r="GM931" s="0"/>
      <c r="GN931" s="0"/>
      <c r="GO931" s="0"/>
      <c r="GP931" s="0"/>
      <c r="GQ931" s="0"/>
      <c r="GR931" s="0"/>
      <c r="GS931" s="0"/>
      <c r="GT931" s="0"/>
      <c r="GU931" s="0"/>
      <c r="GV931" s="0"/>
      <c r="GW931" s="0"/>
      <c r="GX931" s="0"/>
      <c r="GY931" s="0"/>
      <c r="GZ931" s="0"/>
      <c r="HA931" s="0"/>
      <c r="HB931" s="0"/>
      <c r="HC931" s="0"/>
      <c r="HD931" s="0"/>
      <c r="HE931" s="0"/>
      <c r="HF931" s="0"/>
      <c r="HG931" s="0"/>
      <c r="HH931" s="0"/>
      <c r="HI931" s="0"/>
      <c r="HJ931" s="0"/>
      <c r="HK931" s="0"/>
      <c r="HL931" s="0"/>
      <c r="HM931" s="0"/>
      <c r="HN931" s="0"/>
      <c r="HO931" s="0"/>
      <c r="HP931" s="0"/>
      <c r="HQ931" s="0"/>
      <c r="HR931" s="0"/>
      <c r="HS931" s="0"/>
      <c r="HT931" s="0"/>
      <c r="HU931" s="0"/>
      <c r="HV931" s="0"/>
      <c r="HW931" s="0"/>
      <c r="HX931" s="0"/>
      <c r="HY931" s="0"/>
      <c r="HZ931" s="0"/>
      <c r="IA931" s="0"/>
      <c r="IB931" s="0"/>
      <c r="IC931" s="0"/>
      <c r="ID931" s="0"/>
      <c r="IE931" s="0"/>
      <c r="IF931" s="0"/>
      <c r="IG931" s="0"/>
      <c r="IH931" s="0"/>
      <c r="II931" s="0"/>
      <c r="IJ931" s="0"/>
      <c r="IK931" s="0"/>
      <c r="IL931" s="0"/>
      <c r="IM931" s="0"/>
      <c r="IN931" s="0"/>
      <c r="IO931" s="0"/>
      <c r="IP931" s="0"/>
      <c r="IQ931" s="0"/>
      <c r="IR931" s="0"/>
      <c r="IS931" s="0"/>
      <c r="IT931" s="0"/>
      <c r="IU931" s="0"/>
      <c r="IV931" s="0"/>
    </row>
    <row r="932" customFormat="false" ht="15.75" hidden="false" customHeight="true" outlineLevel="0" collapsed="false">
      <c r="A932" s="14"/>
      <c r="J932" s="0"/>
      <c r="K932" s="0"/>
      <c r="L932" s="0"/>
      <c r="M932" s="0"/>
      <c r="T932" s="0"/>
      <c r="U932" s="0"/>
      <c r="V932" s="0"/>
      <c r="W932" s="0"/>
      <c r="X932" s="0"/>
      <c r="Y932" s="0"/>
      <c r="Z932" s="0"/>
      <c r="AA932" s="0"/>
      <c r="AB932" s="0"/>
      <c r="AC932" s="0"/>
      <c r="AD932" s="0"/>
      <c r="AE932" s="0"/>
      <c r="AF932" s="0"/>
      <c r="AG932" s="0"/>
      <c r="AH932" s="0"/>
      <c r="AI932" s="0"/>
      <c r="AJ932" s="0"/>
      <c r="AK932" s="0"/>
      <c r="AL932" s="0"/>
      <c r="AM932" s="0"/>
      <c r="AN932" s="0"/>
      <c r="AO932" s="0"/>
      <c r="AP932" s="0"/>
      <c r="AQ932" s="0"/>
      <c r="AR932" s="0"/>
      <c r="AS932" s="0"/>
      <c r="AT932" s="0"/>
      <c r="AU932" s="0"/>
      <c r="AV932" s="0"/>
      <c r="AW932" s="0"/>
      <c r="AX932" s="0"/>
      <c r="AY932" s="0"/>
      <c r="AZ932" s="0"/>
      <c r="BA932" s="0"/>
      <c r="BB932" s="0"/>
      <c r="BC932" s="0"/>
      <c r="BD932" s="0"/>
      <c r="BE932" s="0"/>
      <c r="BF932" s="0"/>
      <c r="BG932" s="0"/>
      <c r="BH932" s="0"/>
      <c r="BI932" s="0"/>
      <c r="BJ932" s="0"/>
      <c r="BK932" s="0"/>
      <c r="BL932" s="0"/>
      <c r="BM932" s="0"/>
      <c r="BN932" s="0"/>
      <c r="BO932" s="0"/>
      <c r="BP932" s="0"/>
      <c r="BQ932" s="0"/>
      <c r="BR932" s="0"/>
      <c r="BS932" s="0"/>
      <c r="BT932" s="0"/>
      <c r="BU932" s="0"/>
      <c r="BV932" s="0"/>
      <c r="BW932" s="0"/>
      <c r="BX932" s="0"/>
      <c r="BY932" s="0"/>
      <c r="BZ932" s="0"/>
      <c r="CA932" s="0"/>
      <c r="CB932" s="0"/>
      <c r="CC932" s="0"/>
      <c r="CD932" s="0"/>
      <c r="CE932" s="0"/>
      <c r="CF932" s="0"/>
      <c r="CG932" s="0"/>
      <c r="CH932" s="0"/>
      <c r="CI932" s="0"/>
      <c r="CJ932" s="0"/>
      <c r="CK932" s="0"/>
      <c r="CL932" s="0"/>
      <c r="CM932" s="0"/>
      <c r="CN932" s="0"/>
      <c r="CO932" s="0"/>
      <c r="CP932" s="0"/>
      <c r="CQ932" s="0"/>
      <c r="CR932" s="0"/>
      <c r="CS932" s="0"/>
      <c r="CT932" s="0"/>
      <c r="CU932" s="0"/>
      <c r="CV932" s="0"/>
      <c r="CW932" s="0"/>
      <c r="CX932" s="0"/>
      <c r="CY932" s="0"/>
      <c r="CZ932" s="0"/>
      <c r="DA932" s="0"/>
      <c r="DB932" s="0"/>
      <c r="DC932" s="0"/>
      <c r="DD932" s="0"/>
      <c r="DE932" s="0"/>
      <c r="DF932" s="0"/>
      <c r="DG932" s="0"/>
      <c r="DH932" s="0"/>
      <c r="DI932" s="0"/>
      <c r="DJ932" s="0"/>
      <c r="DK932" s="0"/>
      <c r="DL932" s="0"/>
      <c r="DM932" s="0"/>
      <c r="DN932" s="0"/>
      <c r="DO932" s="0"/>
      <c r="DP932" s="0"/>
      <c r="DQ932" s="0"/>
      <c r="DR932" s="0"/>
      <c r="DS932" s="0"/>
      <c r="DT932" s="0"/>
      <c r="DU932" s="0"/>
      <c r="DV932" s="0"/>
      <c r="DW932" s="0"/>
      <c r="DX932" s="0"/>
      <c r="DY932" s="0"/>
      <c r="DZ932" s="0"/>
      <c r="EA932" s="0"/>
      <c r="EB932" s="0"/>
      <c r="EC932" s="0"/>
      <c r="ED932" s="0"/>
      <c r="EE932" s="0"/>
      <c r="EF932" s="0"/>
      <c r="EG932" s="0"/>
      <c r="EH932" s="0"/>
      <c r="EI932" s="0"/>
      <c r="EJ932" s="0"/>
      <c r="EK932" s="0"/>
      <c r="EL932" s="0"/>
      <c r="EM932" s="0"/>
      <c r="EN932" s="0"/>
      <c r="EO932" s="0"/>
      <c r="EP932" s="0"/>
      <c r="EQ932" s="0"/>
      <c r="ER932" s="0"/>
      <c r="ES932" s="0"/>
      <c r="ET932" s="0"/>
      <c r="EU932" s="0"/>
      <c r="EV932" s="0"/>
      <c r="EW932" s="0"/>
      <c r="EX932" s="0"/>
      <c r="EY932" s="0"/>
      <c r="EZ932" s="0"/>
      <c r="FA932" s="0"/>
      <c r="FB932" s="0"/>
      <c r="FC932" s="0"/>
      <c r="FD932" s="0"/>
      <c r="FE932" s="0"/>
      <c r="FF932" s="0"/>
      <c r="FG932" s="0"/>
      <c r="FH932" s="0"/>
      <c r="FI932" s="0"/>
      <c r="FJ932" s="0"/>
      <c r="FK932" s="0"/>
      <c r="FL932" s="0"/>
      <c r="FM932" s="0"/>
      <c r="FN932" s="0"/>
      <c r="FO932" s="0"/>
      <c r="FP932" s="0"/>
      <c r="FQ932" s="0"/>
      <c r="FR932" s="0"/>
      <c r="FS932" s="0"/>
      <c r="FT932" s="0"/>
      <c r="FU932" s="0"/>
      <c r="FV932" s="0"/>
      <c r="FW932" s="0"/>
      <c r="FX932" s="0"/>
      <c r="FY932" s="0"/>
      <c r="FZ932" s="0"/>
      <c r="GA932" s="0"/>
      <c r="GB932" s="0"/>
      <c r="GC932" s="0"/>
      <c r="GD932" s="0"/>
      <c r="GE932" s="0"/>
      <c r="GF932" s="0"/>
      <c r="GG932" s="0"/>
      <c r="GH932" s="0"/>
      <c r="GI932" s="0"/>
      <c r="GJ932" s="0"/>
      <c r="GK932" s="0"/>
      <c r="GL932" s="0"/>
      <c r="GM932" s="0"/>
      <c r="GN932" s="0"/>
      <c r="GO932" s="0"/>
      <c r="GP932" s="0"/>
      <c r="GQ932" s="0"/>
      <c r="GR932" s="0"/>
      <c r="GS932" s="0"/>
      <c r="GT932" s="0"/>
      <c r="GU932" s="0"/>
      <c r="GV932" s="0"/>
      <c r="GW932" s="0"/>
      <c r="GX932" s="0"/>
      <c r="GY932" s="0"/>
      <c r="GZ932" s="0"/>
      <c r="HA932" s="0"/>
      <c r="HB932" s="0"/>
      <c r="HC932" s="0"/>
      <c r="HD932" s="0"/>
      <c r="HE932" s="0"/>
      <c r="HF932" s="0"/>
      <c r="HG932" s="0"/>
      <c r="HH932" s="0"/>
      <c r="HI932" s="0"/>
      <c r="HJ932" s="0"/>
      <c r="HK932" s="0"/>
      <c r="HL932" s="0"/>
      <c r="HM932" s="0"/>
      <c r="HN932" s="0"/>
      <c r="HO932" s="0"/>
      <c r="HP932" s="0"/>
      <c r="HQ932" s="0"/>
      <c r="HR932" s="0"/>
      <c r="HS932" s="0"/>
      <c r="HT932" s="0"/>
      <c r="HU932" s="0"/>
      <c r="HV932" s="0"/>
      <c r="HW932" s="0"/>
      <c r="HX932" s="0"/>
      <c r="HY932" s="0"/>
      <c r="HZ932" s="0"/>
      <c r="IA932" s="0"/>
      <c r="IB932" s="0"/>
      <c r="IC932" s="0"/>
      <c r="ID932" s="0"/>
      <c r="IE932" s="0"/>
      <c r="IF932" s="0"/>
      <c r="IG932" s="0"/>
      <c r="IH932" s="0"/>
      <c r="II932" s="0"/>
      <c r="IJ932" s="0"/>
      <c r="IK932" s="0"/>
      <c r="IL932" s="0"/>
      <c r="IM932" s="0"/>
      <c r="IN932" s="0"/>
      <c r="IO932" s="0"/>
      <c r="IP932" s="0"/>
      <c r="IQ932" s="0"/>
      <c r="IR932" s="0"/>
      <c r="IS932" s="0"/>
      <c r="IT932" s="0"/>
      <c r="IU932" s="0"/>
      <c r="IV932" s="0"/>
    </row>
    <row r="933" customFormat="false" ht="15.75" hidden="false" customHeight="true" outlineLevel="0" collapsed="false">
      <c r="A933" s="14" t="s">
        <v>1644</v>
      </c>
      <c r="D933" s="1280" t="n">
        <f aca="false">IF(E370=-1,"erreur",IF(E370=0,"NC",IF(D370=0,1,((E370-D370+F373)/E370))))</f>
        <v>1</v>
      </c>
      <c r="J933" s="11"/>
      <c r="L933" s="877" t="s">
        <v>1211</v>
      </c>
      <c r="M933" s="55"/>
    </row>
    <row r="934" customFormat="false" ht="15.75" hidden="false" customHeight="true" outlineLevel="0" collapsed="false">
      <c r="A934" s="927" t="s">
        <v>451</v>
      </c>
      <c r="B934" s="927"/>
      <c r="D934" s="1277" t="s">
        <v>254</v>
      </c>
      <c r="I934" s="863"/>
      <c r="J934" s="863"/>
      <c r="K934" s="863"/>
      <c r="L934" s="877"/>
      <c r="M934" s="55"/>
    </row>
    <row r="935" customFormat="false" ht="15.75" hidden="false" customHeight="true" outlineLevel="0" collapsed="false">
      <c r="A935" s="927"/>
      <c r="B935" s="927"/>
      <c r="I935" s="863"/>
      <c r="J935" s="863"/>
      <c r="K935" s="863"/>
      <c r="L935" s="877"/>
      <c r="M935" s="55"/>
    </row>
    <row r="936" customFormat="false" ht="15.75" hidden="false" customHeight="true" outlineLevel="0" collapsed="false">
      <c r="A936" s="14" t="s">
        <v>1645</v>
      </c>
      <c r="D936" s="1280" t="str">
        <f aca="false">IF(C150=0,"non","oui")</f>
        <v>oui</v>
      </c>
      <c r="I936" s="0"/>
      <c r="J936" s="0"/>
      <c r="K936" s="55"/>
      <c r="L936" s="877" t="s">
        <v>1041</v>
      </c>
      <c r="T936" s="0"/>
      <c r="U936" s="0"/>
      <c r="V936" s="0"/>
      <c r="W936" s="0"/>
      <c r="X936" s="0"/>
      <c r="Y936" s="0"/>
      <c r="Z936" s="0"/>
      <c r="AA936" s="0"/>
      <c r="AB936" s="0"/>
      <c r="AC936" s="0"/>
      <c r="AD936" s="0"/>
      <c r="AE936" s="0"/>
      <c r="AF936" s="0"/>
      <c r="AG936" s="0"/>
      <c r="AH936" s="0"/>
      <c r="AI936" s="0"/>
      <c r="AJ936" s="0"/>
      <c r="AK936" s="0"/>
      <c r="AL936" s="0"/>
      <c r="AM936" s="0"/>
      <c r="AN936" s="0"/>
      <c r="AO936" s="0"/>
      <c r="AP936" s="0"/>
      <c r="AQ936" s="0"/>
      <c r="AR936" s="0"/>
      <c r="AS936" s="0"/>
      <c r="AT936" s="0"/>
      <c r="AU936" s="0"/>
      <c r="AV936" s="0"/>
      <c r="AW936" s="0"/>
      <c r="AX936" s="0"/>
      <c r="AY936" s="0"/>
      <c r="AZ936" s="0"/>
      <c r="BA936" s="0"/>
      <c r="BB936" s="0"/>
      <c r="BC936" s="0"/>
      <c r="BD936" s="0"/>
      <c r="BE936" s="0"/>
      <c r="BF936" s="0"/>
      <c r="BG936" s="0"/>
      <c r="BH936" s="0"/>
      <c r="BI936" s="0"/>
      <c r="BJ936" s="0"/>
      <c r="BK936" s="0"/>
      <c r="BL936" s="0"/>
      <c r="BM936" s="0"/>
      <c r="BN936" s="0"/>
      <c r="BO936" s="0"/>
      <c r="BP936" s="0"/>
      <c r="BQ936" s="0"/>
      <c r="BR936" s="0"/>
      <c r="BS936" s="0"/>
      <c r="BT936" s="0"/>
      <c r="BU936" s="0"/>
      <c r="BV936" s="0"/>
      <c r="BW936" s="0"/>
      <c r="BX936" s="0"/>
      <c r="BY936" s="0"/>
      <c r="BZ936" s="0"/>
      <c r="CA936" s="0"/>
      <c r="CB936" s="0"/>
      <c r="CC936" s="0"/>
      <c r="CD936" s="0"/>
      <c r="CE936" s="0"/>
      <c r="CF936" s="0"/>
      <c r="CG936" s="0"/>
      <c r="CH936" s="0"/>
      <c r="CI936" s="0"/>
      <c r="CJ936" s="0"/>
      <c r="CK936" s="0"/>
      <c r="CL936" s="0"/>
      <c r="CM936" s="0"/>
      <c r="CN936" s="0"/>
      <c r="CO936" s="0"/>
      <c r="CP936" s="0"/>
      <c r="CQ936" s="0"/>
      <c r="CR936" s="0"/>
      <c r="CS936" s="0"/>
      <c r="CT936" s="0"/>
      <c r="CU936" s="0"/>
      <c r="CV936" s="0"/>
      <c r="CW936" s="0"/>
      <c r="CX936" s="0"/>
      <c r="CY936" s="0"/>
      <c r="CZ936" s="0"/>
      <c r="DA936" s="0"/>
      <c r="DB936" s="0"/>
      <c r="DC936" s="0"/>
      <c r="DD936" s="0"/>
      <c r="DE936" s="0"/>
      <c r="DF936" s="0"/>
      <c r="DG936" s="0"/>
      <c r="DH936" s="0"/>
      <c r="DI936" s="0"/>
      <c r="DJ936" s="0"/>
      <c r="DK936" s="0"/>
      <c r="DL936" s="0"/>
      <c r="DM936" s="0"/>
      <c r="DN936" s="0"/>
      <c r="DO936" s="0"/>
      <c r="DP936" s="0"/>
      <c r="DQ936" s="0"/>
      <c r="DR936" s="0"/>
      <c r="DS936" s="0"/>
      <c r="DT936" s="0"/>
      <c r="DU936" s="0"/>
      <c r="DV936" s="0"/>
      <c r="DW936" s="0"/>
      <c r="DX936" s="0"/>
      <c r="DY936" s="0"/>
      <c r="DZ936" s="0"/>
      <c r="EA936" s="0"/>
      <c r="EB936" s="0"/>
      <c r="EC936" s="0"/>
      <c r="ED936" s="0"/>
      <c r="EE936" s="0"/>
      <c r="EF936" s="0"/>
      <c r="EG936" s="0"/>
      <c r="EH936" s="0"/>
      <c r="EI936" s="0"/>
      <c r="EJ936" s="0"/>
      <c r="EK936" s="0"/>
      <c r="EL936" s="0"/>
      <c r="EM936" s="0"/>
      <c r="EN936" s="0"/>
      <c r="EO936" s="0"/>
      <c r="EP936" s="0"/>
      <c r="EQ936" s="0"/>
      <c r="ER936" s="0"/>
      <c r="ES936" s="0"/>
      <c r="ET936" s="0"/>
      <c r="EU936" s="0"/>
      <c r="EV936" s="0"/>
      <c r="EW936" s="0"/>
      <c r="EX936" s="0"/>
      <c r="EY936" s="0"/>
      <c r="EZ936" s="0"/>
      <c r="FA936" s="0"/>
      <c r="FB936" s="0"/>
      <c r="FC936" s="0"/>
      <c r="FD936" s="0"/>
      <c r="FE936" s="0"/>
      <c r="FF936" s="0"/>
      <c r="FG936" s="0"/>
      <c r="FH936" s="0"/>
      <c r="FI936" s="0"/>
      <c r="FJ936" s="0"/>
      <c r="FK936" s="0"/>
      <c r="FL936" s="0"/>
      <c r="FM936" s="0"/>
      <c r="FN936" s="0"/>
      <c r="FO936" s="0"/>
      <c r="FP936" s="0"/>
      <c r="FQ936" s="0"/>
      <c r="FR936" s="0"/>
      <c r="FS936" s="0"/>
      <c r="FT936" s="0"/>
      <c r="FU936" s="0"/>
      <c r="FV936" s="0"/>
      <c r="FW936" s="0"/>
      <c r="FX936" s="0"/>
      <c r="FY936" s="0"/>
      <c r="FZ936" s="0"/>
      <c r="GA936" s="0"/>
      <c r="GB936" s="0"/>
      <c r="GC936" s="0"/>
      <c r="GD936" s="0"/>
      <c r="GE936" s="0"/>
      <c r="GF936" s="0"/>
      <c r="GG936" s="0"/>
      <c r="GH936" s="0"/>
      <c r="GI936" s="0"/>
      <c r="GJ936" s="0"/>
      <c r="GK936" s="0"/>
      <c r="GL936" s="0"/>
      <c r="GM936" s="0"/>
      <c r="GN936" s="0"/>
      <c r="GO936" s="0"/>
      <c r="GP936" s="0"/>
      <c r="GQ936" s="0"/>
      <c r="GR936" s="0"/>
      <c r="GS936" s="0"/>
      <c r="GT936" s="0"/>
      <c r="GU936" s="0"/>
      <c r="GV936" s="0"/>
      <c r="GW936" s="0"/>
      <c r="GX936" s="0"/>
      <c r="GY936" s="0"/>
      <c r="GZ936" s="0"/>
      <c r="HA936" s="0"/>
      <c r="HB936" s="0"/>
      <c r="HC936" s="0"/>
      <c r="HD936" s="0"/>
      <c r="HE936" s="0"/>
      <c r="HF936" s="0"/>
      <c r="HG936" s="0"/>
      <c r="HH936" s="0"/>
      <c r="HI936" s="0"/>
      <c r="HJ936" s="0"/>
      <c r="HK936" s="0"/>
      <c r="HL936" s="0"/>
      <c r="HM936" s="0"/>
      <c r="HN936" s="0"/>
      <c r="HO936" s="0"/>
      <c r="HP936" s="0"/>
      <c r="HQ936" s="0"/>
      <c r="HR936" s="0"/>
      <c r="HS936" s="0"/>
      <c r="HT936" s="0"/>
      <c r="HU936" s="0"/>
      <c r="HV936" s="0"/>
      <c r="HW936" s="0"/>
      <c r="HX936" s="0"/>
      <c r="HY936" s="0"/>
      <c r="HZ936" s="0"/>
      <c r="IA936" s="0"/>
      <c r="IB936" s="0"/>
      <c r="IC936" s="0"/>
      <c r="ID936" s="0"/>
      <c r="IE936" s="0"/>
      <c r="IF936" s="0"/>
      <c r="IG936" s="0"/>
      <c r="IH936" s="0"/>
      <c r="II936" s="0"/>
      <c r="IJ936" s="0"/>
      <c r="IK936" s="0"/>
      <c r="IL936" s="0"/>
      <c r="IM936" s="0"/>
      <c r="IN936" s="0"/>
      <c r="IO936" s="0"/>
      <c r="IP936" s="0"/>
      <c r="IQ936" s="0"/>
      <c r="IR936" s="0"/>
      <c r="IS936" s="0"/>
      <c r="IT936" s="0"/>
      <c r="IU936" s="0"/>
      <c r="IV936" s="0"/>
    </row>
    <row r="937" customFormat="false" ht="15.75" hidden="false" customHeight="true" outlineLevel="0" collapsed="false">
      <c r="A937" s="14" t="s">
        <v>485</v>
      </c>
      <c r="B937" s="0"/>
      <c r="C937" s="0"/>
      <c r="D937" s="1014" t="s">
        <v>254</v>
      </c>
      <c r="E937" s="414"/>
      <c r="F937" s="0"/>
      <c r="H937" s="0"/>
      <c r="I937" s="0"/>
      <c r="J937" s="11"/>
      <c r="K937" s="903"/>
      <c r="L937" s="877" t="s">
        <v>1319</v>
      </c>
      <c r="M937" s="0"/>
      <c r="O937" s="55"/>
      <c r="P937" s="55"/>
      <c r="T937" s="0"/>
      <c r="U937" s="0"/>
      <c r="V937" s="0"/>
      <c r="W937" s="0"/>
      <c r="X937" s="0"/>
      <c r="Y937" s="0"/>
      <c r="Z937" s="0"/>
      <c r="AA937" s="0"/>
      <c r="AB937" s="0"/>
      <c r="AC937" s="0"/>
      <c r="AD937" s="0"/>
      <c r="AE937" s="0"/>
      <c r="AF937" s="0"/>
      <c r="AG937" s="0"/>
      <c r="AH937" s="0"/>
      <c r="AI937" s="0"/>
      <c r="AJ937" s="0"/>
      <c r="AK937" s="0"/>
      <c r="AL937" s="0"/>
      <c r="AM937" s="0"/>
      <c r="AN937" s="0"/>
      <c r="AO937" s="0"/>
      <c r="AP937" s="0"/>
      <c r="AQ937" s="0"/>
      <c r="AR937" s="0"/>
      <c r="AS937" s="0"/>
      <c r="AT937" s="0"/>
      <c r="AU937" s="0"/>
      <c r="AV937" s="0"/>
      <c r="AW937" s="0"/>
      <c r="AX937" s="0"/>
      <c r="AY937" s="0"/>
      <c r="AZ937" s="0"/>
      <c r="BA937" s="0"/>
      <c r="BB937" s="0"/>
      <c r="BC937" s="0"/>
      <c r="BD937" s="0"/>
      <c r="BE937" s="0"/>
      <c r="BF937" s="0"/>
      <c r="BG937" s="0"/>
      <c r="BH937" s="0"/>
      <c r="BI937" s="0"/>
      <c r="BJ937" s="0"/>
      <c r="BK937" s="0"/>
      <c r="BL937" s="0"/>
      <c r="BM937" s="0"/>
      <c r="BN937" s="0"/>
      <c r="BO937" s="0"/>
      <c r="BP937" s="0"/>
      <c r="BQ937" s="0"/>
      <c r="BR937" s="0"/>
      <c r="BS937" s="0"/>
      <c r="BT937" s="0"/>
      <c r="BU937" s="0"/>
      <c r="BV937" s="0"/>
      <c r="BW937" s="0"/>
      <c r="BX937" s="0"/>
      <c r="BY937" s="0"/>
      <c r="BZ937" s="0"/>
      <c r="CA937" s="0"/>
      <c r="CB937" s="0"/>
      <c r="CC937" s="0"/>
      <c r="CD937" s="0"/>
      <c r="CE937" s="0"/>
      <c r="CF937" s="0"/>
      <c r="CG937" s="0"/>
      <c r="CH937" s="0"/>
      <c r="CI937" s="0"/>
      <c r="CJ937" s="0"/>
      <c r="CK937" s="0"/>
      <c r="CL937" s="0"/>
      <c r="CM937" s="0"/>
      <c r="CN937" s="0"/>
      <c r="CO937" s="0"/>
      <c r="CP937" s="0"/>
      <c r="CQ937" s="0"/>
      <c r="CR937" s="0"/>
      <c r="CS937" s="0"/>
      <c r="CT937" s="0"/>
      <c r="CU937" s="0"/>
      <c r="CV937" s="0"/>
      <c r="CW937" s="0"/>
      <c r="CX937" s="0"/>
      <c r="CY937" s="0"/>
      <c r="CZ937" s="0"/>
      <c r="DA937" s="0"/>
      <c r="DB937" s="0"/>
      <c r="DC937" s="0"/>
      <c r="DD937" s="0"/>
      <c r="DE937" s="0"/>
      <c r="DF937" s="0"/>
      <c r="DG937" s="0"/>
      <c r="DH937" s="0"/>
      <c r="DI937" s="0"/>
      <c r="DJ937" s="0"/>
      <c r="DK937" s="0"/>
      <c r="DL937" s="0"/>
      <c r="DM937" s="0"/>
      <c r="DN937" s="0"/>
      <c r="DO937" s="0"/>
      <c r="DP937" s="0"/>
      <c r="DQ937" s="0"/>
      <c r="DR937" s="0"/>
      <c r="DS937" s="0"/>
      <c r="DT937" s="0"/>
      <c r="DU937" s="0"/>
      <c r="DV937" s="0"/>
      <c r="DW937" s="0"/>
      <c r="DX937" s="0"/>
      <c r="DY937" s="0"/>
      <c r="DZ937" s="0"/>
      <c r="EA937" s="0"/>
      <c r="EB937" s="0"/>
      <c r="EC937" s="0"/>
      <c r="ED937" s="0"/>
      <c r="EE937" s="0"/>
      <c r="EF937" s="0"/>
      <c r="EG937" s="0"/>
      <c r="EH937" s="0"/>
      <c r="EI937" s="0"/>
      <c r="EJ937" s="0"/>
      <c r="EK937" s="0"/>
      <c r="EL937" s="0"/>
      <c r="EM937" s="0"/>
      <c r="EN937" s="0"/>
      <c r="EO937" s="0"/>
      <c r="EP937" s="0"/>
      <c r="EQ937" s="0"/>
      <c r="ER937" s="0"/>
      <c r="ES937" s="0"/>
      <c r="ET937" s="0"/>
      <c r="EU937" s="0"/>
      <c r="EV937" s="0"/>
      <c r="EW937" s="0"/>
      <c r="EX937" s="0"/>
      <c r="EY937" s="0"/>
      <c r="EZ937" s="0"/>
      <c r="FA937" s="0"/>
      <c r="FB937" s="0"/>
      <c r="FC937" s="0"/>
      <c r="FD937" s="0"/>
      <c r="FE937" s="0"/>
      <c r="FF937" s="0"/>
      <c r="FG937" s="0"/>
      <c r="FH937" s="0"/>
      <c r="FI937" s="0"/>
      <c r="FJ937" s="0"/>
      <c r="FK937" s="0"/>
      <c r="FL937" s="0"/>
      <c r="FM937" s="0"/>
      <c r="FN937" s="0"/>
      <c r="FO937" s="0"/>
      <c r="FP937" s="0"/>
      <c r="FQ937" s="0"/>
      <c r="FR937" s="0"/>
      <c r="FS937" s="0"/>
      <c r="FT937" s="0"/>
      <c r="FU937" s="0"/>
      <c r="FV937" s="0"/>
      <c r="FW937" s="0"/>
      <c r="FX937" s="0"/>
      <c r="FY937" s="0"/>
      <c r="FZ937" s="0"/>
      <c r="GA937" s="0"/>
      <c r="GB937" s="0"/>
      <c r="GC937" s="0"/>
      <c r="GD937" s="0"/>
      <c r="GE937" s="0"/>
      <c r="GF937" s="0"/>
      <c r="GG937" s="0"/>
      <c r="GH937" s="0"/>
      <c r="GI937" s="0"/>
      <c r="GJ937" s="0"/>
      <c r="GK937" s="0"/>
      <c r="GL937" s="0"/>
      <c r="GM937" s="0"/>
      <c r="GN937" s="0"/>
      <c r="GO937" s="0"/>
      <c r="GP937" s="0"/>
      <c r="GQ937" s="0"/>
      <c r="GR937" s="0"/>
      <c r="GS937" s="0"/>
      <c r="GT937" s="0"/>
      <c r="GU937" s="0"/>
      <c r="GV937" s="0"/>
      <c r="GW937" s="0"/>
      <c r="GX937" s="0"/>
      <c r="GY937" s="0"/>
      <c r="GZ937" s="0"/>
      <c r="HA937" s="0"/>
      <c r="HB937" s="0"/>
      <c r="HC937" s="0"/>
      <c r="HD937" s="0"/>
      <c r="HE937" s="0"/>
      <c r="HF937" s="0"/>
      <c r="HG937" s="0"/>
      <c r="HH937" s="0"/>
      <c r="HI937" s="0"/>
      <c r="HJ937" s="0"/>
      <c r="HK937" s="0"/>
      <c r="HL937" s="0"/>
      <c r="HM937" s="0"/>
      <c r="HN937" s="0"/>
      <c r="HO937" s="0"/>
      <c r="HP937" s="0"/>
      <c r="HQ937" s="0"/>
      <c r="HR937" s="0"/>
      <c r="HS937" s="0"/>
      <c r="HT937" s="0"/>
      <c r="HU937" s="0"/>
      <c r="HV937" s="0"/>
      <c r="HW937" s="0"/>
      <c r="HX937" s="0"/>
      <c r="HY937" s="0"/>
      <c r="HZ937" s="0"/>
      <c r="IA937" s="0"/>
      <c r="IB937" s="0"/>
      <c r="IC937" s="0"/>
      <c r="ID937" s="0"/>
      <c r="IE937" s="0"/>
      <c r="IF937" s="0"/>
      <c r="IG937" s="0"/>
      <c r="IH937" s="0"/>
      <c r="II937" s="0"/>
      <c r="IJ937" s="0"/>
      <c r="IK937" s="0"/>
      <c r="IL937" s="0"/>
      <c r="IM937" s="0"/>
      <c r="IN937" s="0"/>
      <c r="IO937" s="0"/>
      <c r="IP937" s="0"/>
      <c r="IQ937" s="0"/>
      <c r="IR937" s="0"/>
      <c r="IS937" s="0"/>
      <c r="IT937" s="0"/>
      <c r="IU937" s="0"/>
      <c r="IV937" s="0"/>
    </row>
    <row r="938" customFormat="false" ht="15" hidden="false" customHeight="true" outlineLevel="0" collapsed="false">
      <c r="A938" s="1060" t="s">
        <v>486</v>
      </c>
      <c r="B938" s="1258"/>
      <c r="C938" s="1258"/>
      <c r="D938" s="1258"/>
      <c r="E938" s="1258"/>
      <c r="F938" s="1258"/>
      <c r="G938" s="1258"/>
      <c r="J938" s="11"/>
      <c r="K938" s="903"/>
      <c r="L938" s="877"/>
      <c r="M938" s="0"/>
      <c r="N938" s="0"/>
      <c r="O938" s="0"/>
      <c r="P938" s="0"/>
      <c r="Q938" s="0"/>
      <c r="R938" s="0"/>
      <c r="S938" s="0"/>
      <c r="T938" s="0"/>
      <c r="U938" s="0"/>
      <c r="V938" s="0"/>
      <c r="W938" s="0"/>
      <c r="X938" s="0"/>
      <c r="Y938" s="0"/>
      <c r="Z938" s="0"/>
      <c r="AA938" s="0"/>
      <c r="AB938" s="0"/>
      <c r="AC938" s="0"/>
      <c r="AD938" s="0"/>
      <c r="AE938" s="0"/>
      <c r="AF938" s="0"/>
      <c r="AG938" s="0"/>
      <c r="AH938" s="0"/>
      <c r="AI938" s="0"/>
      <c r="AJ938" s="0"/>
      <c r="AK938" s="0"/>
      <c r="AL938" s="0"/>
      <c r="AM938" s="0"/>
      <c r="AN938" s="0"/>
      <c r="AO938" s="0"/>
      <c r="AP938" s="0"/>
      <c r="AQ938" s="0"/>
      <c r="AR938" s="0"/>
      <c r="AS938" s="0"/>
      <c r="AT938" s="0"/>
      <c r="AU938" s="0"/>
      <c r="AV938" s="0"/>
      <c r="AW938" s="0"/>
      <c r="AX938" s="0"/>
      <c r="AY938" s="0"/>
      <c r="AZ938" s="0"/>
      <c r="BA938" s="0"/>
      <c r="BB938" s="0"/>
      <c r="BC938" s="0"/>
      <c r="BD938" s="0"/>
      <c r="BE938" s="0"/>
      <c r="BF938" s="0"/>
      <c r="BG938" s="0"/>
      <c r="BH938" s="0"/>
      <c r="BI938" s="0"/>
      <c r="BJ938" s="0"/>
      <c r="BK938" s="0"/>
      <c r="BL938" s="0"/>
      <c r="BM938" s="0"/>
      <c r="BN938" s="0"/>
      <c r="BO938" s="0"/>
      <c r="BP938" s="0"/>
      <c r="BQ938" s="0"/>
      <c r="BR938" s="0"/>
      <c r="BS938" s="0"/>
      <c r="BT938" s="0"/>
      <c r="BU938" s="0"/>
      <c r="BV938" s="0"/>
      <c r="BW938" s="0"/>
      <c r="BX938" s="0"/>
      <c r="BY938" s="0"/>
      <c r="BZ938" s="0"/>
      <c r="CA938" s="0"/>
      <c r="CB938" s="0"/>
      <c r="CC938" s="0"/>
      <c r="CD938" s="0"/>
      <c r="CE938" s="0"/>
      <c r="CF938" s="0"/>
      <c r="CG938" s="0"/>
      <c r="CH938" s="0"/>
      <c r="CI938" s="0"/>
      <c r="CJ938" s="0"/>
      <c r="CK938" s="0"/>
      <c r="CL938" s="0"/>
      <c r="CM938" s="0"/>
      <c r="CN938" s="0"/>
      <c r="CO938" s="0"/>
      <c r="CP938" s="0"/>
      <c r="CQ938" s="0"/>
      <c r="CR938" s="0"/>
      <c r="CS938" s="0"/>
      <c r="CT938" s="0"/>
      <c r="CU938" s="0"/>
      <c r="CV938" s="0"/>
      <c r="CW938" s="0"/>
      <c r="CX938" s="0"/>
      <c r="CY938" s="0"/>
      <c r="CZ938" s="0"/>
      <c r="DA938" s="0"/>
      <c r="DB938" s="0"/>
      <c r="DC938" s="0"/>
      <c r="DD938" s="0"/>
      <c r="DE938" s="0"/>
      <c r="DF938" s="0"/>
      <c r="DG938" s="0"/>
      <c r="DH938" s="0"/>
      <c r="DI938" s="0"/>
      <c r="DJ938" s="0"/>
      <c r="DK938" s="0"/>
      <c r="DL938" s="0"/>
      <c r="DM938" s="0"/>
      <c r="DN938" s="0"/>
      <c r="DO938" s="0"/>
      <c r="DP938" s="0"/>
      <c r="DQ938" s="0"/>
      <c r="DR938" s="0"/>
      <c r="DS938" s="0"/>
      <c r="DT938" s="0"/>
      <c r="DU938" s="0"/>
      <c r="DV938" s="0"/>
      <c r="DW938" s="0"/>
      <c r="DX938" s="0"/>
      <c r="DY938" s="0"/>
      <c r="DZ938" s="0"/>
      <c r="EA938" s="0"/>
      <c r="EB938" s="0"/>
      <c r="EC938" s="0"/>
      <c r="ED938" s="0"/>
      <c r="EE938" s="0"/>
      <c r="EF938" s="0"/>
      <c r="EG938" s="0"/>
      <c r="EH938" s="0"/>
      <c r="EI938" s="0"/>
      <c r="EJ938" s="0"/>
      <c r="EK938" s="0"/>
      <c r="EL938" s="0"/>
      <c r="EM938" s="0"/>
      <c r="EN938" s="0"/>
      <c r="EO938" s="0"/>
      <c r="EP938" s="0"/>
      <c r="EQ938" s="0"/>
      <c r="ER938" s="0"/>
      <c r="ES938" s="0"/>
      <c r="ET938" s="0"/>
      <c r="EU938" s="0"/>
      <c r="EV938" s="0"/>
      <c r="EW938" s="0"/>
      <c r="EX938" s="0"/>
      <c r="EY938" s="0"/>
      <c r="EZ938" s="0"/>
      <c r="FA938" s="0"/>
      <c r="FB938" s="0"/>
      <c r="FC938" s="0"/>
      <c r="FD938" s="0"/>
      <c r="FE938" s="0"/>
      <c r="FF938" s="0"/>
      <c r="FG938" s="0"/>
      <c r="FH938" s="0"/>
      <c r="FI938" s="0"/>
      <c r="FJ938" s="0"/>
      <c r="FK938" s="0"/>
      <c r="FL938" s="0"/>
      <c r="FM938" s="0"/>
      <c r="FN938" s="0"/>
      <c r="FO938" s="0"/>
      <c r="FP938" s="0"/>
      <c r="FQ938" s="0"/>
      <c r="FR938" s="0"/>
      <c r="FS938" s="0"/>
      <c r="FT938" s="0"/>
      <c r="FU938" s="0"/>
      <c r="FV938" s="0"/>
      <c r="FW938" s="0"/>
      <c r="FX938" s="0"/>
      <c r="FY938" s="0"/>
      <c r="FZ938" s="0"/>
      <c r="GA938" s="0"/>
      <c r="GB938" s="0"/>
      <c r="GC938" s="0"/>
      <c r="GD938" s="0"/>
      <c r="GE938" s="0"/>
      <c r="GF938" s="0"/>
      <c r="GG938" s="0"/>
      <c r="GH938" s="0"/>
      <c r="GI938" s="0"/>
      <c r="GJ938" s="0"/>
      <c r="GK938" s="0"/>
      <c r="GL938" s="0"/>
      <c r="GM938" s="0"/>
      <c r="GN938" s="0"/>
      <c r="GO938" s="0"/>
      <c r="GP938" s="0"/>
      <c r="GQ938" s="0"/>
      <c r="GR938" s="0"/>
      <c r="GS938" s="0"/>
      <c r="GT938" s="0"/>
      <c r="GU938" s="0"/>
      <c r="GV938" s="0"/>
      <c r="GW938" s="0"/>
      <c r="GX938" s="0"/>
      <c r="GY938" s="0"/>
      <c r="GZ938" s="0"/>
      <c r="HA938" s="0"/>
      <c r="HB938" s="0"/>
      <c r="HC938" s="0"/>
      <c r="HD938" s="0"/>
      <c r="HE938" s="0"/>
      <c r="HF938" s="0"/>
      <c r="HG938" s="0"/>
      <c r="HH938" s="0"/>
      <c r="HI938" s="0"/>
      <c r="HJ938" s="0"/>
      <c r="HK938" s="0"/>
      <c r="HL938" s="0"/>
      <c r="HM938" s="0"/>
      <c r="HN938" s="0"/>
      <c r="HO938" s="0"/>
      <c r="HP938" s="0"/>
      <c r="HQ938" s="0"/>
      <c r="HR938" s="0"/>
      <c r="HS938" s="0"/>
      <c r="HT938" s="0"/>
      <c r="HU938" s="0"/>
      <c r="HV938" s="0"/>
      <c r="HW938" s="0"/>
      <c r="HX938" s="0"/>
      <c r="HY938" s="0"/>
      <c r="HZ938" s="0"/>
      <c r="IA938" s="0"/>
      <c r="IB938" s="0"/>
      <c r="IC938" s="0"/>
      <c r="ID938" s="0"/>
      <c r="IE938" s="0"/>
      <c r="IF938" s="0"/>
      <c r="IG938" s="0"/>
      <c r="IH938" s="0"/>
      <c r="II938" s="0"/>
      <c r="IJ938" s="0"/>
      <c r="IK938" s="0"/>
      <c r="IL938" s="0"/>
      <c r="IM938" s="0"/>
      <c r="IN938" s="0"/>
      <c r="IO938" s="0"/>
      <c r="IP938" s="0"/>
      <c r="IQ938" s="0"/>
      <c r="IR938" s="0"/>
      <c r="IS938" s="0"/>
      <c r="IT938" s="0"/>
      <c r="IU938" s="0"/>
      <c r="IV938" s="0"/>
    </row>
    <row r="939" customFormat="false" ht="15.75" hidden="false" customHeight="true" outlineLevel="0" collapsed="false">
      <c r="A939" s="0"/>
      <c r="B939" s="0"/>
      <c r="C939" s="0"/>
      <c r="J939" s="11"/>
      <c r="K939" s="903"/>
      <c r="L939" s="877"/>
      <c r="N939" s="0"/>
      <c r="O939" s="0"/>
      <c r="P939" s="0"/>
      <c r="Q939" s="0"/>
      <c r="R939" s="0"/>
      <c r="S939" s="0"/>
      <c r="T939" s="0"/>
      <c r="U939" s="0"/>
      <c r="V939" s="0"/>
      <c r="W939" s="0"/>
      <c r="X939" s="0"/>
      <c r="Y939" s="0"/>
      <c r="Z939" s="0"/>
      <c r="AA939" s="0"/>
      <c r="AB939" s="0"/>
      <c r="AC939" s="0"/>
      <c r="AD939" s="0"/>
      <c r="AE939" s="0"/>
      <c r="AF939" s="0"/>
      <c r="AG939" s="0"/>
      <c r="AH939" s="0"/>
      <c r="AI939" s="0"/>
      <c r="AJ939" s="0"/>
      <c r="AK939" s="0"/>
      <c r="AL939" s="0"/>
      <c r="AM939" s="0"/>
      <c r="AN939" s="0"/>
      <c r="AO939" s="0"/>
      <c r="AP939" s="0"/>
      <c r="AQ939" s="0"/>
      <c r="AR939" s="0"/>
      <c r="AS939" s="0"/>
      <c r="AT939" s="0"/>
      <c r="AU939" s="0"/>
      <c r="AV939" s="0"/>
      <c r="AW939" s="0"/>
      <c r="AX939" s="0"/>
      <c r="AY939" s="0"/>
      <c r="AZ939" s="0"/>
      <c r="BA939" s="0"/>
      <c r="BB939" s="0"/>
      <c r="BC939" s="0"/>
      <c r="BD939" s="0"/>
      <c r="BE939" s="0"/>
      <c r="BF939" s="0"/>
      <c r="BG939" s="0"/>
      <c r="BH939" s="0"/>
      <c r="BI939" s="0"/>
      <c r="BJ939" s="0"/>
      <c r="BK939" s="0"/>
      <c r="BL939" s="0"/>
      <c r="BM939" s="0"/>
      <c r="BN939" s="0"/>
      <c r="BO939" s="0"/>
      <c r="BP939" s="0"/>
      <c r="BQ939" s="0"/>
      <c r="BR939" s="0"/>
      <c r="BS939" s="0"/>
      <c r="BT939" s="0"/>
      <c r="BU939" s="0"/>
      <c r="BV939" s="0"/>
      <c r="BW939" s="0"/>
      <c r="BX939" s="0"/>
      <c r="BY939" s="0"/>
      <c r="BZ939" s="0"/>
      <c r="CA939" s="0"/>
      <c r="CB939" s="0"/>
      <c r="CC939" s="0"/>
      <c r="CD939" s="0"/>
      <c r="CE939" s="0"/>
      <c r="CF939" s="0"/>
      <c r="CG939" s="0"/>
      <c r="CH939" s="0"/>
      <c r="CI939" s="0"/>
      <c r="CJ939" s="0"/>
      <c r="CK939" s="0"/>
      <c r="CL939" s="0"/>
      <c r="CM939" s="0"/>
      <c r="CN939" s="0"/>
      <c r="CO939" s="0"/>
      <c r="CP939" s="0"/>
      <c r="CQ939" s="0"/>
      <c r="CR939" s="0"/>
      <c r="CS939" s="0"/>
      <c r="CT939" s="0"/>
      <c r="CU939" s="0"/>
      <c r="CV939" s="0"/>
      <c r="CW939" s="0"/>
      <c r="CX939" s="0"/>
      <c r="CY939" s="0"/>
      <c r="CZ939" s="0"/>
      <c r="DA939" s="0"/>
      <c r="DB939" s="0"/>
      <c r="DC939" s="0"/>
      <c r="DD939" s="0"/>
      <c r="DE939" s="0"/>
      <c r="DF939" s="0"/>
      <c r="DG939" s="0"/>
      <c r="DH939" s="0"/>
      <c r="DI939" s="0"/>
      <c r="DJ939" s="0"/>
      <c r="DK939" s="0"/>
      <c r="DL939" s="0"/>
      <c r="DM939" s="0"/>
      <c r="DN939" s="0"/>
      <c r="DO939" s="0"/>
      <c r="DP939" s="0"/>
      <c r="DQ939" s="0"/>
      <c r="DR939" s="0"/>
      <c r="DS939" s="0"/>
      <c r="DT939" s="0"/>
      <c r="DU939" s="0"/>
      <c r="DV939" s="0"/>
      <c r="DW939" s="0"/>
      <c r="DX939" s="0"/>
      <c r="DY939" s="0"/>
      <c r="DZ939" s="0"/>
      <c r="EA939" s="0"/>
      <c r="EB939" s="0"/>
      <c r="EC939" s="0"/>
      <c r="ED939" s="0"/>
      <c r="EE939" s="0"/>
      <c r="EF939" s="0"/>
      <c r="EG939" s="0"/>
      <c r="EH939" s="0"/>
      <c r="EI939" s="0"/>
      <c r="EJ939" s="0"/>
      <c r="EK939" s="0"/>
      <c r="EL939" s="0"/>
      <c r="EM939" s="0"/>
      <c r="EN939" s="0"/>
      <c r="EO939" s="0"/>
      <c r="EP939" s="0"/>
      <c r="EQ939" s="0"/>
      <c r="ER939" s="0"/>
      <c r="ES939" s="0"/>
      <c r="ET939" s="0"/>
      <c r="EU939" s="0"/>
      <c r="EV939" s="0"/>
      <c r="EW939" s="0"/>
      <c r="EX939" s="0"/>
      <c r="EY939" s="0"/>
      <c r="EZ939" s="0"/>
      <c r="FA939" s="0"/>
      <c r="FB939" s="0"/>
      <c r="FC939" s="0"/>
      <c r="FD939" s="0"/>
      <c r="FE939" s="0"/>
      <c r="FF939" s="0"/>
      <c r="FG939" s="0"/>
      <c r="FH939" s="0"/>
      <c r="FI939" s="0"/>
      <c r="FJ939" s="0"/>
      <c r="FK939" s="0"/>
      <c r="FL939" s="0"/>
      <c r="FM939" s="0"/>
      <c r="FN939" s="0"/>
      <c r="FO939" s="0"/>
      <c r="FP939" s="0"/>
      <c r="FQ939" s="0"/>
      <c r="FR939" s="0"/>
      <c r="FS939" s="0"/>
      <c r="FT939" s="0"/>
      <c r="FU939" s="0"/>
      <c r="FV939" s="0"/>
      <c r="FW939" s="0"/>
      <c r="FX939" s="0"/>
      <c r="FY939" s="0"/>
      <c r="FZ939" s="0"/>
      <c r="GA939" s="0"/>
      <c r="GB939" s="0"/>
      <c r="GC939" s="0"/>
      <c r="GD939" s="0"/>
      <c r="GE939" s="0"/>
      <c r="GF939" s="0"/>
      <c r="GG939" s="0"/>
      <c r="GH939" s="0"/>
      <c r="GI939" s="0"/>
      <c r="GJ939" s="0"/>
      <c r="GK939" s="0"/>
      <c r="GL939" s="0"/>
      <c r="GM939" s="0"/>
      <c r="GN939" s="0"/>
      <c r="GO939" s="0"/>
      <c r="GP939" s="0"/>
      <c r="GQ939" s="0"/>
      <c r="GR939" s="0"/>
      <c r="GS939" s="0"/>
      <c r="GT939" s="0"/>
      <c r="GU939" s="0"/>
      <c r="GV939" s="0"/>
      <c r="GW939" s="0"/>
      <c r="GX939" s="0"/>
      <c r="GY939" s="0"/>
      <c r="GZ939" s="0"/>
      <c r="HA939" s="0"/>
      <c r="HB939" s="0"/>
      <c r="HC939" s="0"/>
      <c r="HD939" s="0"/>
      <c r="HE939" s="0"/>
      <c r="HF939" s="0"/>
      <c r="HG939" s="0"/>
      <c r="HH939" s="0"/>
      <c r="HI939" s="0"/>
      <c r="HJ939" s="0"/>
      <c r="HK939" s="0"/>
      <c r="HL939" s="0"/>
      <c r="HM939" s="0"/>
      <c r="HN939" s="0"/>
      <c r="HO939" s="0"/>
      <c r="HP939" s="0"/>
      <c r="HQ939" s="0"/>
      <c r="HR939" s="0"/>
      <c r="HS939" s="0"/>
      <c r="HT939" s="0"/>
      <c r="HU939" s="0"/>
      <c r="HV939" s="0"/>
      <c r="HW939" s="0"/>
      <c r="HX939" s="0"/>
      <c r="HY939" s="0"/>
      <c r="HZ939" s="0"/>
      <c r="IA939" s="0"/>
      <c r="IB939" s="0"/>
      <c r="IC939" s="0"/>
      <c r="ID939" s="0"/>
      <c r="IE939" s="0"/>
      <c r="IF939" s="0"/>
      <c r="IG939" s="0"/>
      <c r="IH939" s="0"/>
      <c r="II939" s="0"/>
      <c r="IJ939" s="0"/>
      <c r="IK939" s="0"/>
      <c r="IL939" s="0"/>
      <c r="IM939" s="0"/>
      <c r="IN939" s="0"/>
      <c r="IO939" s="0"/>
      <c r="IP939" s="0"/>
      <c r="IQ939" s="0"/>
      <c r="IR939" s="0"/>
      <c r="IS939" s="0"/>
      <c r="IT939" s="0"/>
      <c r="IU939" s="0"/>
      <c r="IV939" s="0"/>
    </row>
    <row r="940" customFormat="false" ht="15.75" hidden="false" customHeight="true" outlineLevel="0" collapsed="false">
      <c r="A940" s="14" t="s">
        <v>1646</v>
      </c>
      <c r="B940" s="0"/>
      <c r="C940" s="0"/>
      <c r="D940" s="1119" t="str">
        <f aca="false">H670</f>
        <v>oui</v>
      </c>
      <c r="J940" s="11"/>
      <c r="K940" s="903"/>
      <c r="L940" s="877" t="s">
        <v>1501</v>
      </c>
      <c r="N940" s="0"/>
      <c r="O940" s="0"/>
      <c r="P940" s="0"/>
      <c r="Q940" s="0"/>
      <c r="R940" s="0"/>
      <c r="S940" s="0"/>
      <c r="T940" s="0"/>
      <c r="U940" s="0"/>
      <c r="V940" s="0"/>
      <c r="W940" s="0"/>
      <c r="X940" s="0"/>
      <c r="Y940" s="0"/>
      <c r="Z940" s="0"/>
      <c r="AA940" s="0"/>
      <c r="AB940" s="0"/>
      <c r="AC940" s="0"/>
      <c r="AD940" s="0"/>
      <c r="AE940" s="0"/>
      <c r="AF940" s="0"/>
      <c r="AG940" s="0"/>
      <c r="AH940" s="0"/>
      <c r="AI940" s="0"/>
      <c r="AJ940" s="0"/>
      <c r="AK940" s="0"/>
      <c r="AL940" s="0"/>
      <c r="AM940" s="0"/>
      <c r="AN940" s="0"/>
      <c r="AO940" s="0"/>
      <c r="AP940" s="0"/>
      <c r="AQ940" s="0"/>
      <c r="AR940" s="0"/>
      <c r="AS940" s="0"/>
      <c r="AT940" s="0"/>
      <c r="AU940" s="0"/>
      <c r="AV940" s="0"/>
      <c r="AW940" s="0"/>
      <c r="AX940" s="0"/>
      <c r="AY940" s="0"/>
      <c r="AZ940" s="0"/>
      <c r="BA940" s="0"/>
      <c r="BB940" s="0"/>
      <c r="BC940" s="0"/>
      <c r="BD940" s="0"/>
      <c r="BE940" s="0"/>
      <c r="BF940" s="0"/>
      <c r="BG940" s="0"/>
      <c r="BH940" s="0"/>
      <c r="BI940" s="0"/>
      <c r="BJ940" s="0"/>
      <c r="BK940" s="0"/>
      <c r="BL940" s="0"/>
      <c r="BM940" s="0"/>
      <c r="BN940" s="0"/>
      <c r="BO940" s="0"/>
      <c r="BP940" s="0"/>
      <c r="BQ940" s="0"/>
      <c r="BR940" s="0"/>
      <c r="BS940" s="0"/>
      <c r="BT940" s="0"/>
      <c r="BU940" s="0"/>
      <c r="BV940" s="0"/>
      <c r="BW940" s="0"/>
      <c r="BX940" s="0"/>
      <c r="BY940" s="0"/>
      <c r="BZ940" s="0"/>
      <c r="CA940" s="0"/>
      <c r="CB940" s="0"/>
      <c r="CC940" s="0"/>
      <c r="CD940" s="0"/>
      <c r="CE940" s="0"/>
      <c r="CF940" s="0"/>
      <c r="CG940" s="0"/>
      <c r="CH940" s="0"/>
      <c r="CI940" s="0"/>
      <c r="CJ940" s="0"/>
      <c r="CK940" s="0"/>
      <c r="CL940" s="0"/>
      <c r="CM940" s="0"/>
      <c r="CN940" s="0"/>
      <c r="CO940" s="0"/>
      <c r="CP940" s="0"/>
      <c r="CQ940" s="0"/>
      <c r="CR940" s="0"/>
      <c r="CS940" s="0"/>
      <c r="CT940" s="0"/>
      <c r="CU940" s="0"/>
      <c r="CV940" s="0"/>
      <c r="CW940" s="0"/>
      <c r="CX940" s="0"/>
      <c r="CY940" s="0"/>
      <c r="CZ940" s="0"/>
      <c r="DA940" s="0"/>
      <c r="DB940" s="0"/>
      <c r="DC940" s="0"/>
      <c r="DD940" s="0"/>
      <c r="DE940" s="0"/>
      <c r="DF940" s="0"/>
      <c r="DG940" s="0"/>
      <c r="DH940" s="0"/>
      <c r="DI940" s="0"/>
      <c r="DJ940" s="0"/>
      <c r="DK940" s="0"/>
      <c r="DL940" s="0"/>
      <c r="DM940" s="0"/>
      <c r="DN940" s="0"/>
      <c r="DO940" s="0"/>
      <c r="DP940" s="0"/>
      <c r="DQ940" s="0"/>
      <c r="DR940" s="0"/>
      <c r="DS940" s="0"/>
      <c r="DT940" s="0"/>
      <c r="DU940" s="0"/>
      <c r="DV940" s="0"/>
      <c r="DW940" s="0"/>
      <c r="DX940" s="0"/>
      <c r="DY940" s="0"/>
      <c r="DZ940" s="0"/>
      <c r="EA940" s="0"/>
      <c r="EB940" s="0"/>
      <c r="EC940" s="0"/>
      <c r="ED940" s="0"/>
      <c r="EE940" s="0"/>
      <c r="EF940" s="0"/>
      <c r="EG940" s="0"/>
      <c r="EH940" s="0"/>
      <c r="EI940" s="0"/>
      <c r="EJ940" s="0"/>
      <c r="EK940" s="0"/>
      <c r="EL940" s="0"/>
      <c r="EM940" s="0"/>
      <c r="EN940" s="0"/>
      <c r="EO940" s="0"/>
      <c r="EP940" s="0"/>
      <c r="EQ940" s="0"/>
      <c r="ER940" s="0"/>
      <c r="ES940" s="0"/>
      <c r="ET940" s="0"/>
      <c r="EU940" s="0"/>
      <c r="EV940" s="0"/>
      <c r="EW940" s="0"/>
      <c r="EX940" s="0"/>
      <c r="EY940" s="0"/>
      <c r="EZ940" s="0"/>
      <c r="FA940" s="0"/>
      <c r="FB940" s="0"/>
      <c r="FC940" s="0"/>
      <c r="FD940" s="0"/>
      <c r="FE940" s="0"/>
      <c r="FF940" s="0"/>
      <c r="FG940" s="0"/>
      <c r="FH940" s="0"/>
      <c r="FI940" s="0"/>
      <c r="FJ940" s="0"/>
      <c r="FK940" s="0"/>
      <c r="FL940" s="0"/>
      <c r="FM940" s="0"/>
      <c r="FN940" s="0"/>
      <c r="FO940" s="0"/>
      <c r="FP940" s="0"/>
      <c r="FQ940" s="0"/>
      <c r="FR940" s="0"/>
      <c r="FS940" s="0"/>
      <c r="FT940" s="0"/>
      <c r="FU940" s="0"/>
      <c r="FV940" s="0"/>
      <c r="FW940" s="0"/>
      <c r="FX940" s="0"/>
      <c r="FY940" s="0"/>
      <c r="FZ940" s="0"/>
      <c r="GA940" s="0"/>
      <c r="GB940" s="0"/>
      <c r="GC940" s="0"/>
      <c r="GD940" s="0"/>
      <c r="GE940" s="0"/>
      <c r="GF940" s="0"/>
      <c r="GG940" s="0"/>
      <c r="GH940" s="0"/>
      <c r="GI940" s="0"/>
      <c r="GJ940" s="0"/>
      <c r="GK940" s="0"/>
      <c r="GL940" s="0"/>
      <c r="GM940" s="0"/>
      <c r="GN940" s="0"/>
      <c r="GO940" s="0"/>
      <c r="GP940" s="0"/>
      <c r="GQ940" s="0"/>
      <c r="GR940" s="0"/>
      <c r="GS940" s="0"/>
      <c r="GT940" s="0"/>
      <c r="GU940" s="0"/>
      <c r="GV940" s="0"/>
      <c r="GW940" s="0"/>
      <c r="GX940" s="0"/>
      <c r="GY940" s="0"/>
      <c r="GZ940" s="0"/>
      <c r="HA940" s="0"/>
      <c r="HB940" s="0"/>
      <c r="HC940" s="0"/>
      <c r="HD940" s="0"/>
      <c r="HE940" s="0"/>
      <c r="HF940" s="0"/>
      <c r="HG940" s="0"/>
      <c r="HH940" s="0"/>
      <c r="HI940" s="0"/>
      <c r="HJ940" s="0"/>
      <c r="HK940" s="0"/>
      <c r="HL940" s="0"/>
      <c r="HM940" s="0"/>
      <c r="HN940" s="0"/>
      <c r="HO940" s="0"/>
      <c r="HP940" s="0"/>
      <c r="HQ940" s="0"/>
      <c r="HR940" s="0"/>
      <c r="HS940" s="0"/>
      <c r="HT940" s="0"/>
      <c r="HU940" s="0"/>
      <c r="HV940" s="0"/>
      <c r="HW940" s="0"/>
      <c r="HX940" s="0"/>
      <c r="HY940" s="0"/>
      <c r="HZ940" s="0"/>
      <c r="IA940" s="0"/>
      <c r="IB940" s="0"/>
      <c r="IC940" s="0"/>
      <c r="ID940" s="0"/>
      <c r="IE940" s="0"/>
      <c r="IF940" s="0"/>
      <c r="IG940" s="0"/>
      <c r="IH940" s="0"/>
      <c r="II940" s="0"/>
      <c r="IJ940" s="0"/>
      <c r="IK940" s="0"/>
      <c r="IL940" s="0"/>
      <c r="IM940" s="0"/>
      <c r="IN940" s="0"/>
      <c r="IO940" s="0"/>
      <c r="IP940" s="0"/>
      <c r="IQ940" s="0"/>
      <c r="IR940" s="0"/>
      <c r="IS940" s="0"/>
      <c r="IT940" s="0"/>
      <c r="IU940" s="0"/>
      <c r="IV940" s="0"/>
    </row>
    <row r="941" customFormat="false" ht="15.75" hidden="false" customHeight="true" outlineLevel="0" collapsed="false">
      <c r="A941" s="14"/>
      <c r="B941" s="0"/>
      <c r="C941" s="0"/>
      <c r="J941" s="11"/>
      <c r="K941" s="903"/>
      <c r="L941" s="877"/>
      <c r="N941" s="0"/>
      <c r="O941" s="0"/>
      <c r="P941" s="0"/>
      <c r="Q941" s="0"/>
      <c r="R941" s="0"/>
      <c r="S941" s="0"/>
      <c r="T941" s="0"/>
      <c r="U941" s="0"/>
      <c r="V941" s="0"/>
      <c r="W941" s="0"/>
      <c r="X941" s="0"/>
      <c r="Y941" s="0"/>
      <c r="Z941" s="0"/>
      <c r="AA941" s="0"/>
      <c r="AB941" s="0"/>
      <c r="AC941" s="0"/>
      <c r="AD941" s="0"/>
      <c r="AE941" s="0"/>
      <c r="AF941" s="0"/>
      <c r="AG941" s="0"/>
      <c r="AH941" s="0"/>
      <c r="AI941" s="0"/>
      <c r="AJ941" s="0"/>
      <c r="AK941" s="0"/>
      <c r="AL941" s="0"/>
      <c r="AM941" s="0"/>
      <c r="AN941" s="0"/>
      <c r="AO941" s="0"/>
      <c r="AP941" s="0"/>
      <c r="AQ941" s="0"/>
      <c r="AR941" s="0"/>
      <c r="AS941" s="0"/>
      <c r="AT941" s="0"/>
      <c r="AU941" s="0"/>
      <c r="AV941" s="0"/>
      <c r="AW941" s="0"/>
      <c r="AX941" s="0"/>
      <c r="AY941" s="0"/>
      <c r="AZ941" s="0"/>
      <c r="BA941" s="0"/>
      <c r="BB941" s="0"/>
      <c r="BC941" s="0"/>
      <c r="BD941" s="0"/>
      <c r="BE941" s="0"/>
      <c r="BF941" s="0"/>
      <c r="BG941" s="0"/>
      <c r="BH941" s="0"/>
      <c r="BI941" s="0"/>
      <c r="BJ941" s="0"/>
      <c r="BK941" s="0"/>
      <c r="BL941" s="0"/>
      <c r="BM941" s="0"/>
      <c r="BN941" s="0"/>
      <c r="BO941" s="0"/>
      <c r="BP941" s="0"/>
      <c r="BQ941" s="0"/>
      <c r="BR941" s="0"/>
      <c r="BS941" s="0"/>
      <c r="BT941" s="0"/>
      <c r="BU941" s="0"/>
      <c r="BV941" s="0"/>
      <c r="BW941" s="0"/>
      <c r="BX941" s="0"/>
      <c r="BY941" s="0"/>
      <c r="BZ941" s="0"/>
      <c r="CA941" s="0"/>
      <c r="CB941" s="0"/>
      <c r="CC941" s="0"/>
      <c r="CD941" s="0"/>
      <c r="CE941" s="0"/>
      <c r="CF941" s="0"/>
      <c r="CG941" s="0"/>
      <c r="CH941" s="0"/>
      <c r="CI941" s="0"/>
      <c r="CJ941" s="0"/>
      <c r="CK941" s="0"/>
      <c r="CL941" s="0"/>
      <c r="CM941" s="0"/>
      <c r="CN941" s="0"/>
      <c r="CO941" s="0"/>
      <c r="CP941" s="0"/>
      <c r="CQ941" s="0"/>
      <c r="CR941" s="0"/>
      <c r="CS941" s="0"/>
      <c r="CT941" s="0"/>
      <c r="CU941" s="0"/>
      <c r="CV941" s="0"/>
      <c r="CW941" s="0"/>
      <c r="CX941" s="0"/>
      <c r="CY941" s="0"/>
      <c r="CZ941" s="0"/>
      <c r="DA941" s="0"/>
      <c r="DB941" s="0"/>
      <c r="DC941" s="0"/>
      <c r="DD941" s="0"/>
      <c r="DE941" s="0"/>
      <c r="DF941" s="0"/>
      <c r="DG941" s="0"/>
      <c r="DH941" s="0"/>
      <c r="DI941" s="0"/>
      <c r="DJ941" s="0"/>
      <c r="DK941" s="0"/>
      <c r="DL941" s="0"/>
      <c r="DM941" s="0"/>
      <c r="DN941" s="0"/>
      <c r="DO941" s="0"/>
      <c r="DP941" s="0"/>
      <c r="DQ941" s="0"/>
      <c r="DR941" s="0"/>
      <c r="DS941" s="0"/>
      <c r="DT941" s="0"/>
      <c r="DU941" s="0"/>
      <c r="DV941" s="0"/>
      <c r="DW941" s="0"/>
      <c r="DX941" s="0"/>
      <c r="DY941" s="0"/>
      <c r="DZ941" s="0"/>
      <c r="EA941" s="0"/>
      <c r="EB941" s="0"/>
      <c r="EC941" s="0"/>
      <c r="ED941" s="0"/>
      <c r="EE941" s="0"/>
      <c r="EF941" s="0"/>
      <c r="EG941" s="0"/>
      <c r="EH941" s="0"/>
      <c r="EI941" s="0"/>
      <c r="EJ941" s="0"/>
      <c r="EK941" s="0"/>
      <c r="EL941" s="0"/>
      <c r="EM941" s="0"/>
      <c r="EN941" s="0"/>
      <c r="EO941" s="0"/>
      <c r="EP941" s="0"/>
      <c r="EQ941" s="0"/>
      <c r="ER941" s="0"/>
      <c r="ES941" s="0"/>
      <c r="ET941" s="0"/>
      <c r="EU941" s="0"/>
      <c r="EV941" s="0"/>
      <c r="EW941" s="0"/>
      <c r="EX941" s="0"/>
      <c r="EY941" s="0"/>
      <c r="EZ941" s="0"/>
      <c r="FA941" s="0"/>
      <c r="FB941" s="0"/>
      <c r="FC941" s="0"/>
      <c r="FD941" s="0"/>
      <c r="FE941" s="0"/>
      <c r="FF941" s="0"/>
      <c r="FG941" s="0"/>
      <c r="FH941" s="0"/>
      <c r="FI941" s="0"/>
      <c r="FJ941" s="0"/>
      <c r="FK941" s="0"/>
      <c r="FL941" s="0"/>
      <c r="FM941" s="0"/>
      <c r="FN941" s="0"/>
      <c r="FO941" s="0"/>
      <c r="FP941" s="0"/>
      <c r="FQ941" s="0"/>
      <c r="FR941" s="0"/>
      <c r="FS941" s="0"/>
      <c r="FT941" s="0"/>
      <c r="FU941" s="0"/>
      <c r="FV941" s="0"/>
      <c r="FW941" s="0"/>
      <c r="FX941" s="0"/>
      <c r="FY941" s="0"/>
      <c r="FZ941" s="0"/>
      <c r="GA941" s="0"/>
      <c r="GB941" s="0"/>
      <c r="GC941" s="0"/>
      <c r="GD941" s="0"/>
      <c r="GE941" s="0"/>
      <c r="GF941" s="0"/>
      <c r="GG941" s="0"/>
      <c r="GH941" s="0"/>
      <c r="GI941" s="0"/>
      <c r="GJ941" s="0"/>
      <c r="GK941" s="0"/>
      <c r="GL941" s="0"/>
      <c r="GM941" s="0"/>
      <c r="GN941" s="0"/>
      <c r="GO941" s="0"/>
      <c r="GP941" s="0"/>
      <c r="GQ941" s="0"/>
      <c r="GR941" s="0"/>
      <c r="GS941" s="0"/>
      <c r="GT941" s="0"/>
      <c r="GU941" s="0"/>
      <c r="GV941" s="0"/>
      <c r="GW941" s="0"/>
      <c r="GX941" s="0"/>
      <c r="GY941" s="0"/>
      <c r="GZ941" s="0"/>
      <c r="HA941" s="0"/>
      <c r="HB941" s="0"/>
      <c r="HC941" s="0"/>
      <c r="HD941" s="0"/>
      <c r="HE941" s="0"/>
      <c r="HF941" s="0"/>
      <c r="HG941" s="0"/>
      <c r="HH941" s="0"/>
      <c r="HI941" s="0"/>
      <c r="HJ941" s="0"/>
      <c r="HK941" s="0"/>
      <c r="HL941" s="0"/>
      <c r="HM941" s="0"/>
      <c r="HN941" s="0"/>
      <c r="HO941" s="0"/>
      <c r="HP941" s="0"/>
      <c r="HQ941" s="0"/>
      <c r="HR941" s="0"/>
      <c r="HS941" s="0"/>
      <c r="HT941" s="0"/>
      <c r="HU941" s="0"/>
      <c r="HV941" s="0"/>
      <c r="HW941" s="0"/>
      <c r="HX941" s="0"/>
      <c r="HY941" s="0"/>
      <c r="HZ941" s="0"/>
      <c r="IA941" s="0"/>
      <c r="IB941" s="0"/>
      <c r="IC941" s="0"/>
      <c r="ID941" s="0"/>
      <c r="IE941" s="0"/>
      <c r="IF941" s="0"/>
      <c r="IG941" s="0"/>
      <c r="IH941" s="0"/>
      <c r="II941" s="0"/>
      <c r="IJ941" s="0"/>
      <c r="IK941" s="0"/>
      <c r="IL941" s="0"/>
      <c r="IM941" s="0"/>
      <c r="IN941" s="0"/>
      <c r="IO941" s="0"/>
      <c r="IP941" s="0"/>
      <c r="IQ941" s="0"/>
      <c r="IR941" s="0"/>
      <c r="IS941" s="0"/>
      <c r="IT941" s="0"/>
      <c r="IU941" s="0"/>
      <c r="IV941" s="0"/>
    </row>
    <row r="942" customFormat="false" ht="15.75" hidden="false" customHeight="true" outlineLevel="0" collapsed="false">
      <c r="A942" s="14"/>
      <c r="B942" s="0"/>
      <c r="C942" s="0"/>
      <c r="J942" s="11"/>
      <c r="K942" s="903"/>
      <c r="L942" s="877"/>
      <c r="N942" s="0"/>
      <c r="O942" s="0"/>
      <c r="P942" s="0"/>
      <c r="Q942" s="0"/>
      <c r="R942" s="0"/>
      <c r="S942" s="0"/>
      <c r="T942" s="0"/>
      <c r="U942" s="0"/>
      <c r="V942" s="0"/>
      <c r="W942" s="0"/>
      <c r="X942" s="0"/>
      <c r="Y942" s="0"/>
      <c r="Z942" s="0"/>
      <c r="AA942" s="0"/>
      <c r="AB942" s="0"/>
      <c r="AC942" s="0"/>
      <c r="AD942" s="0"/>
      <c r="AE942" s="0"/>
      <c r="AF942" s="0"/>
      <c r="AG942" s="0"/>
      <c r="AH942" s="0"/>
      <c r="AI942" s="0"/>
      <c r="AJ942" s="0"/>
      <c r="AK942" s="0"/>
      <c r="AL942" s="0"/>
      <c r="AM942" s="0"/>
      <c r="AN942" s="0"/>
      <c r="AO942" s="0"/>
      <c r="AP942" s="0"/>
      <c r="AQ942" s="0"/>
      <c r="AR942" s="0"/>
      <c r="AS942" s="0"/>
      <c r="AT942" s="0"/>
      <c r="AU942" s="0"/>
      <c r="AV942" s="0"/>
      <c r="AW942" s="0"/>
      <c r="AX942" s="0"/>
      <c r="AY942" s="0"/>
      <c r="AZ942" s="0"/>
      <c r="BA942" s="0"/>
      <c r="BB942" s="0"/>
      <c r="BC942" s="0"/>
      <c r="BD942" s="0"/>
      <c r="BE942" s="0"/>
      <c r="BF942" s="0"/>
      <c r="BG942" s="0"/>
      <c r="BH942" s="0"/>
      <c r="BI942" s="0"/>
      <c r="BJ942" s="0"/>
      <c r="BK942" s="0"/>
      <c r="BL942" s="0"/>
      <c r="BM942" s="0"/>
      <c r="BN942" s="0"/>
      <c r="BO942" s="0"/>
      <c r="BP942" s="0"/>
      <c r="BQ942" s="0"/>
      <c r="BR942" s="0"/>
      <c r="BS942" s="0"/>
      <c r="BT942" s="0"/>
      <c r="BU942" s="0"/>
      <c r="BV942" s="0"/>
      <c r="BW942" s="0"/>
      <c r="BX942" s="0"/>
      <c r="BY942" s="0"/>
      <c r="BZ942" s="0"/>
      <c r="CA942" s="0"/>
      <c r="CB942" s="0"/>
      <c r="CC942" s="0"/>
      <c r="CD942" s="0"/>
      <c r="CE942" s="0"/>
      <c r="CF942" s="0"/>
      <c r="CG942" s="0"/>
      <c r="CH942" s="0"/>
      <c r="CI942" s="0"/>
      <c r="CJ942" s="0"/>
      <c r="CK942" s="0"/>
      <c r="CL942" s="0"/>
      <c r="CM942" s="0"/>
      <c r="CN942" s="0"/>
      <c r="CO942" s="0"/>
      <c r="CP942" s="0"/>
      <c r="CQ942" s="0"/>
      <c r="CR942" s="0"/>
      <c r="CS942" s="0"/>
      <c r="CT942" s="0"/>
      <c r="CU942" s="0"/>
      <c r="CV942" s="0"/>
      <c r="CW942" s="0"/>
      <c r="CX942" s="0"/>
      <c r="CY942" s="0"/>
      <c r="CZ942" s="0"/>
      <c r="DA942" s="0"/>
      <c r="DB942" s="0"/>
      <c r="DC942" s="0"/>
      <c r="DD942" s="0"/>
      <c r="DE942" s="0"/>
      <c r="DF942" s="0"/>
      <c r="DG942" s="0"/>
      <c r="DH942" s="0"/>
      <c r="DI942" s="0"/>
      <c r="DJ942" s="0"/>
      <c r="DK942" s="0"/>
      <c r="DL942" s="0"/>
      <c r="DM942" s="0"/>
      <c r="DN942" s="0"/>
      <c r="DO942" s="0"/>
      <c r="DP942" s="0"/>
      <c r="DQ942" s="0"/>
      <c r="DR942" s="0"/>
      <c r="DS942" s="0"/>
      <c r="DT942" s="0"/>
      <c r="DU942" s="0"/>
      <c r="DV942" s="0"/>
      <c r="DW942" s="0"/>
      <c r="DX942" s="0"/>
      <c r="DY942" s="0"/>
      <c r="DZ942" s="0"/>
      <c r="EA942" s="0"/>
      <c r="EB942" s="0"/>
      <c r="EC942" s="0"/>
      <c r="ED942" s="0"/>
      <c r="EE942" s="0"/>
      <c r="EF942" s="0"/>
      <c r="EG942" s="0"/>
      <c r="EH942" s="0"/>
      <c r="EI942" s="0"/>
      <c r="EJ942" s="0"/>
      <c r="EK942" s="0"/>
      <c r="EL942" s="0"/>
      <c r="EM942" s="0"/>
      <c r="EN942" s="0"/>
      <c r="EO942" s="0"/>
      <c r="EP942" s="0"/>
      <c r="EQ942" s="0"/>
      <c r="ER942" s="0"/>
      <c r="ES942" s="0"/>
      <c r="ET942" s="0"/>
      <c r="EU942" s="0"/>
      <c r="EV942" s="0"/>
      <c r="EW942" s="0"/>
      <c r="EX942" s="0"/>
      <c r="EY942" s="0"/>
      <c r="EZ942" s="0"/>
      <c r="FA942" s="0"/>
      <c r="FB942" s="0"/>
      <c r="FC942" s="0"/>
      <c r="FD942" s="0"/>
      <c r="FE942" s="0"/>
      <c r="FF942" s="0"/>
      <c r="FG942" s="0"/>
      <c r="FH942" s="0"/>
      <c r="FI942" s="0"/>
      <c r="FJ942" s="0"/>
      <c r="FK942" s="0"/>
      <c r="FL942" s="0"/>
      <c r="FM942" s="0"/>
      <c r="FN942" s="0"/>
      <c r="FO942" s="0"/>
      <c r="FP942" s="0"/>
      <c r="FQ942" s="0"/>
      <c r="FR942" s="0"/>
      <c r="FS942" s="0"/>
      <c r="FT942" s="0"/>
      <c r="FU942" s="0"/>
      <c r="FV942" s="0"/>
      <c r="FW942" s="0"/>
      <c r="FX942" s="0"/>
      <c r="FY942" s="0"/>
      <c r="FZ942" s="0"/>
      <c r="GA942" s="0"/>
      <c r="GB942" s="0"/>
      <c r="GC942" s="0"/>
      <c r="GD942" s="0"/>
      <c r="GE942" s="0"/>
      <c r="GF942" s="0"/>
      <c r="GG942" s="0"/>
      <c r="GH942" s="0"/>
      <c r="GI942" s="0"/>
      <c r="GJ942" s="0"/>
      <c r="GK942" s="0"/>
      <c r="GL942" s="0"/>
      <c r="GM942" s="0"/>
      <c r="GN942" s="0"/>
      <c r="GO942" s="0"/>
      <c r="GP942" s="0"/>
      <c r="GQ942" s="0"/>
      <c r="GR942" s="0"/>
      <c r="GS942" s="0"/>
      <c r="GT942" s="0"/>
      <c r="GU942" s="0"/>
      <c r="GV942" s="0"/>
      <c r="GW942" s="0"/>
      <c r="GX942" s="0"/>
      <c r="GY942" s="0"/>
      <c r="GZ942" s="0"/>
      <c r="HA942" s="0"/>
      <c r="HB942" s="0"/>
      <c r="HC942" s="0"/>
      <c r="HD942" s="0"/>
      <c r="HE942" s="0"/>
      <c r="HF942" s="0"/>
      <c r="HG942" s="0"/>
      <c r="HH942" s="0"/>
      <c r="HI942" s="0"/>
      <c r="HJ942" s="0"/>
      <c r="HK942" s="0"/>
      <c r="HL942" s="0"/>
      <c r="HM942" s="0"/>
      <c r="HN942" s="0"/>
      <c r="HO942" s="0"/>
      <c r="HP942" s="0"/>
      <c r="HQ942" s="0"/>
      <c r="HR942" s="0"/>
      <c r="HS942" s="0"/>
      <c r="HT942" s="0"/>
      <c r="HU942" s="0"/>
      <c r="HV942" s="0"/>
      <c r="HW942" s="0"/>
      <c r="HX942" s="0"/>
      <c r="HY942" s="0"/>
      <c r="HZ942" s="0"/>
      <c r="IA942" s="0"/>
      <c r="IB942" s="0"/>
      <c r="IC942" s="0"/>
      <c r="ID942" s="0"/>
      <c r="IE942" s="0"/>
      <c r="IF942" s="0"/>
      <c r="IG942" s="0"/>
      <c r="IH942" s="0"/>
      <c r="II942" s="0"/>
      <c r="IJ942" s="0"/>
      <c r="IK942" s="0"/>
      <c r="IL942" s="0"/>
      <c r="IM942" s="0"/>
      <c r="IN942" s="0"/>
      <c r="IO942" s="0"/>
      <c r="IP942" s="0"/>
      <c r="IQ942" s="0"/>
      <c r="IR942" s="0"/>
      <c r="IS942" s="0"/>
      <c r="IT942" s="0"/>
      <c r="IU942" s="0"/>
      <c r="IV942" s="0"/>
    </row>
    <row r="943" customFormat="false" ht="15.75" hidden="false" customHeight="true" outlineLevel="0" collapsed="false">
      <c r="A943" s="1005" t="s">
        <v>1647</v>
      </c>
      <c r="B943" s="0"/>
      <c r="C943" s="0"/>
      <c r="J943" s="11"/>
      <c r="K943" s="903"/>
      <c r="L943" s="877" t="s">
        <v>1648</v>
      </c>
      <c r="N943" s="0"/>
      <c r="O943" s="0"/>
      <c r="P943" s="0"/>
      <c r="Q943" s="0"/>
      <c r="R943" s="0"/>
      <c r="S943" s="0"/>
      <c r="T943" s="0"/>
      <c r="U943" s="0"/>
      <c r="V943" s="0"/>
      <c r="W943" s="0"/>
      <c r="X943" s="0"/>
      <c r="Y943" s="0"/>
      <c r="Z943" s="0"/>
      <c r="AA943" s="0"/>
      <c r="AB943" s="0"/>
      <c r="AC943" s="0"/>
      <c r="AD943" s="0"/>
      <c r="AE943" s="0"/>
      <c r="AF943" s="0"/>
      <c r="AG943" s="0"/>
      <c r="AH943" s="0"/>
      <c r="AI943" s="0"/>
      <c r="AJ943" s="0"/>
      <c r="AK943" s="0"/>
      <c r="AL943" s="0"/>
      <c r="AM943" s="0"/>
      <c r="AN943" s="0"/>
      <c r="AO943" s="0"/>
      <c r="AP943" s="0"/>
      <c r="AQ943" s="0"/>
      <c r="AR943" s="0"/>
      <c r="AS943" s="0"/>
      <c r="AT943" s="0"/>
      <c r="AU943" s="0"/>
      <c r="AV943" s="0"/>
      <c r="AW943" s="0"/>
      <c r="AX943" s="0"/>
      <c r="AY943" s="0"/>
      <c r="AZ943" s="0"/>
      <c r="BA943" s="0"/>
      <c r="BB943" s="0"/>
      <c r="BC943" s="0"/>
      <c r="BD943" s="0"/>
      <c r="BE943" s="0"/>
      <c r="BF943" s="0"/>
      <c r="BG943" s="0"/>
      <c r="BH943" s="0"/>
      <c r="BI943" s="0"/>
      <c r="BJ943" s="0"/>
      <c r="BK943" s="0"/>
      <c r="BL943" s="0"/>
      <c r="BM943" s="0"/>
      <c r="BN943" s="0"/>
      <c r="BO943" s="0"/>
      <c r="BP943" s="0"/>
      <c r="BQ943" s="0"/>
      <c r="BR943" s="0"/>
      <c r="BS943" s="0"/>
      <c r="BT943" s="0"/>
      <c r="BU943" s="0"/>
      <c r="BV943" s="0"/>
      <c r="BW943" s="0"/>
      <c r="BX943" s="0"/>
      <c r="BY943" s="0"/>
      <c r="BZ943" s="0"/>
      <c r="CA943" s="0"/>
      <c r="CB943" s="0"/>
      <c r="CC943" s="0"/>
      <c r="CD943" s="0"/>
      <c r="CE943" s="0"/>
      <c r="CF943" s="0"/>
      <c r="CG943" s="0"/>
      <c r="CH943" s="0"/>
      <c r="CI943" s="0"/>
      <c r="CJ943" s="0"/>
      <c r="CK943" s="0"/>
      <c r="CL943" s="0"/>
      <c r="CM943" s="0"/>
      <c r="CN943" s="0"/>
      <c r="CO943" s="0"/>
      <c r="CP943" s="0"/>
      <c r="CQ943" s="0"/>
      <c r="CR943" s="0"/>
      <c r="CS943" s="0"/>
      <c r="CT943" s="0"/>
      <c r="CU943" s="0"/>
      <c r="CV943" s="0"/>
      <c r="CW943" s="0"/>
      <c r="CX943" s="0"/>
      <c r="CY943" s="0"/>
      <c r="CZ943" s="0"/>
      <c r="DA943" s="0"/>
      <c r="DB943" s="0"/>
      <c r="DC943" s="0"/>
      <c r="DD943" s="0"/>
      <c r="DE943" s="0"/>
      <c r="DF943" s="0"/>
      <c r="DG943" s="0"/>
      <c r="DH943" s="0"/>
      <c r="DI943" s="0"/>
      <c r="DJ943" s="0"/>
      <c r="DK943" s="0"/>
      <c r="DL943" s="0"/>
      <c r="DM943" s="0"/>
      <c r="DN943" s="0"/>
      <c r="DO943" s="0"/>
      <c r="DP943" s="0"/>
      <c r="DQ943" s="0"/>
      <c r="DR943" s="0"/>
      <c r="DS943" s="0"/>
      <c r="DT943" s="0"/>
      <c r="DU943" s="0"/>
      <c r="DV943" s="0"/>
      <c r="DW943" s="0"/>
      <c r="DX943" s="0"/>
      <c r="DY943" s="0"/>
      <c r="DZ943" s="0"/>
      <c r="EA943" s="0"/>
      <c r="EB943" s="0"/>
      <c r="EC943" s="0"/>
      <c r="ED943" s="0"/>
      <c r="EE943" s="0"/>
      <c r="EF943" s="0"/>
      <c r="EG943" s="0"/>
      <c r="EH943" s="0"/>
      <c r="EI943" s="0"/>
      <c r="EJ943" s="0"/>
      <c r="EK943" s="0"/>
      <c r="EL943" s="0"/>
      <c r="EM943" s="0"/>
      <c r="EN943" s="0"/>
      <c r="EO943" s="0"/>
      <c r="EP943" s="0"/>
      <c r="EQ943" s="0"/>
      <c r="ER943" s="0"/>
      <c r="ES943" s="0"/>
      <c r="ET943" s="0"/>
      <c r="EU943" s="0"/>
      <c r="EV943" s="0"/>
      <c r="EW943" s="0"/>
      <c r="EX943" s="0"/>
      <c r="EY943" s="0"/>
      <c r="EZ943" s="0"/>
      <c r="FA943" s="0"/>
      <c r="FB943" s="0"/>
      <c r="FC943" s="0"/>
      <c r="FD943" s="0"/>
      <c r="FE943" s="0"/>
      <c r="FF943" s="0"/>
      <c r="FG943" s="0"/>
      <c r="FH943" s="0"/>
      <c r="FI943" s="0"/>
      <c r="FJ943" s="0"/>
      <c r="FK943" s="0"/>
      <c r="FL943" s="0"/>
      <c r="FM943" s="0"/>
      <c r="FN943" s="0"/>
      <c r="FO943" s="0"/>
      <c r="FP943" s="0"/>
      <c r="FQ943" s="0"/>
      <c r="FR943" s="0"/>
      <c r="FS943" s="0"/>
      <c r="FT943" s="0"/>
      <c r="FU943" s="0"/>
      <c r="FV943" s="0"/>
      <c r="FW943" s="0"/>
      <c r="FX943" s="0"/>
      <c r="FY943" s="0"/>
      <c r="FZ943" s="0"/>
      <c r="GA943" s="0"/>
      <c r="GB943" s="0"/>
      <c r="GC943" s="0"/>
      <c r="GD943" s="0"/>
      <c r="GE943" s="0"/>
      <c r="GF943" s="0"/>
      <c r="GG943" s="0"/>
      <c r="GH943" s="0"/>
      <c r="GI943" s="0"/>
      <c r="GJ943" s="0"/>
      <c r="GK943" s="0"/>
      <c r="GL943" s="0"/>
      <c r="GM943" s="0"/>
      <c r="GN943" s="0"/>
      <c r="GO943" s="0"/>
      <c r="GP943" s="0"/>
      <c r="GQ943" s="0"/>
      <c r="GR943" s="0"/>
      <c r="GS943" s="0"/>
      <c r="GT943" s="0"/>
      <c r="GU943" s="0"/>
      <c r="GV943" s="0"/>
      <c r="GW943" s="0"/>
      <c r="GX943" s="0"/>
      <c r="GY943" s="0"/>
      <c r="GZ943" s="0"/>
      <c r="HA943" s="0"/>
      <c r="HB943" s="0"/>
      <c r="HC943" s="0"/>
      <c r="HD943" s="0"/>
      <c r="HE943" s="0"/>
      <c r="HF943" s="0"/>
      <c r="HG943" s="0"/>
      <c r="HH943" s="0"/>
      <c r="HI943" s="0"/>
      <c r="HJ943" s="0"/>
      <c r="HK943" s="0"/>
      <c r="HL943" s="0"/>
      <c r="HM943" s="0"/>
      <c r="HN943" s="0"/>
      <c r="HO943" s="0"/>
      <c r="HP943" s="0"/>
      <c r="HQ943" s="0"/>
      <c r="HR943" s="0"/>
      <c r="HS943" s="0"/>
      <c r="HT943" s="0"/>
      <c r="HU943" s="0"/>
      <c r="HV943" s="0"/>
      <c r="HW943" s="0"/>
      <c r="HX943" s="0"/>
      <c r="HY943" s="0"/>
      <c r="HZ943" s="0"/>
      <c r="IA943" s="0"/>
      <c r="IB943" s="0"/>
      <c r="IC943" s="0"/>
      <c r="ID943" s="0"/>
      <c r="IE943" s="0"/>
      <c r="IF943" s="0"/>
      <c r="IG943" s="0"/>
      <c r="IH943" s="0"/>
      <c r="II943" s="0"/>
      <c r="IJ943" s="0"/>
      <c r="IK943" s="0"/>
      <c r="IL943" s="0"/>
      <c r="IM943" s="0"/>
      <c r="IN943" s="0"/>
      <c r="IO943" s="0"/>
      <c r="IP943" s="0"/>
      <c r="IQ943" s="0"/>
      <c r="IR943" s="0"/>
      <c r="IS943" s="0"/>
      <c r="IT943" s="0"/>
      <c r="IU943" s="0"/>
      <c r="IV943" s="0"/>
    </row>
    <row r="944" customFormat="false" ht="15.75" hidden="false" customHeight="true" outlineLevel="0" collapsed="false">
      <c r="A944" s="951" t="s">
        <v>1649</v>
      </c>
      <c r="E944" s="1014" t="s">
        <v>254</v>
      </c>
      <c r="F944" s="51"/>
      <c r="J944" s="11"/>
      <c r="K944" s="903"/>
      <c r="L944" s="877"/>
    </row>
    <row r="945" customFormat="false" ht="15.75" hidden="false" customHeight="true" outlineLevel="0" collapsed="false">
      <c r="A945" s="951" t="s">
        <v>1650</v>
      </c>
      <c r="B945" s="0"/>
      <c r="C945" s="0"/>
      <c r="D945" s="0"/>
      <c r="E945" s="1014" t="s">
        <v>254</v>
      </c>
      <c r="F945" s="0"/>
      <c r="G945" s="0"/>
      <c r="J945" s="11"/>
      <c r="K945" s="903"/>
      <c r="L945" s="877"/>
    </row>
    <row r="946" customFormat="false" ht="15.75" hidden="false" customHeight="true" outlineLevel="0" collapsed="false">
      <c r="A946" s="1281" t="s">
        <v>562</v>
      </c>
      <c r="B946" s="0"/>
      <c r="C946" s="0"/>
      <c r="D946" s="0"/>
      <c r="E946" s="0"/>
      <c r="F946" s="0"/>
      <c r="G946" s="0"/>
      <c r="J946" s="11"/>
      <c r="K946" s="903"/>
      <c r="L946" s="877"/>
    </row>
    <row r="947" customFormat="false" ht="15.75" hidden="false" customHeight="true" outlineLevel="0" collapsed="false">
      <c r="A947" s="951" t="s">
        <v>1651</v>
      </c>
      <c r="B947" s="0"/>
      <c r="C947" s="0"/>
      <c r="D947" s="0"/>
      <c r="E947" s="1014" t="s">
        <v>253</v>
      </c>
      <c r="F947" s="0"/>
      <c r="G947" s="0"/>
      <c r="J947" s="11"/>
      <c r="K947" s="903"/>
      <c r="L947" s="877"/>
    </row>
    <row r="948" customFormat="false" ht="15.75" hidden="false" customHeight="true" outlineLevel="0" collapsed="false">
      <c r="A948" s="951" t="s">
        <v>1652</v>
      </c>
      <c r="B948" s="0"/>
      <c r="C948" s="0"/>
      <c r="D948" s="0"/>
      <c r="E948" s="1014" t="s">
        <v>253</v>
      </c>
      <c r="F948" s="0"/>
      <c r="G948" s="0"/>
      <c r="J948" s="11"/>
      <c r="K948" s="903"/>
      <c r="L948" s="877"/>
    </row>
    <row r="949" customFormat="false" ht="15.75" hidden="false" customHeight="true" outlineLevel="0" collapsed="false">
      <c r="A949" s="0"/>
      <c r="B949" s="0"/>
      <c r="C949" s="0"/>
      <c r="D949" s="0"/>
      <c r="E949" s="0"/>
      <c r="F949" s="0"/>
      <c r="G949" s="0"/>
      <c r="J949" s="11"/>
      <c r="K949" s="903"/>
      <c r="L949" s="877"/>
    </row>
    <row r="950" customFormat="false" ht="15.75" hidden="false" customHeight="true" outlineLevel="0" collapsed="false">
      <c r="A950" s="1005" t="s">
        <v>1653</v>
      </c>
      <c r="B950" s="0"/>
      <c r="C950" s="0"/>
      <c r="D950" s="0"/>
      <c r="E950" s="0"/>
      <c r="F950" s="0"/>
      <c r="G950" s="0"/>
      <c r="J950" s="11"/>
      <c r="K950" s="903"/>
      <c r="L950" s="877" t="s">
        <v>1654</v>
      </c>
    </row>
    <row r="951" customFormat="false" ht="15.75" hidden="false" customHeight="true" outlineLevel="0" collapsed="false">
      <c r="A951" s="14" t="s">
        <v>580</v>
      </c>
      <c r="B951" s="0"/>
      <c r="C951" s="0"/>
      <c r="D951" s="1014" t="s">
        <v>254</v>
      </c>
      <c r="E951" s="0"/>
      <c r="F951" s="55"/>
      <c r="J951" s="11"/>
      <c r="K951" s="903"/>
      <c r="L951" s="877"/>
    </row>
    <row r="952" customFormat="false" ht="15.75" hidden="false" customHeight="true" outlineLevel="0" collapsed="false">
      <c r="A952" s="14" t="s">
        <v>713</v>
      </c>
      <c r="B952" s="0"/>
      <c r="C952" s="0"/>
      <c r="D952" s="1014" t="s">
        <v>254</v>
      </c>
      <c r="E952" s="0"/>
      <c r="F952" s="0"/>
      <c r="J952" s="11"/>
      <c r="K952" s="903"/>
      <c r="L952" s="877"/>
    </row>
    <row r="953" customFormat="false" ht="15.75" hidden="false" customHeight="true" outlineLevel="0" collapsed="false">
      <c r="A953" s="14" t="s">
        <v>714</v>
      </c>
      <c r="B953" s="0"/>
      <c r="C953" s="0"/>
      <c r="D953" s="1014" t="s">
        <v>254</v>
      </c>
      <c r="E953" s="0"/>
      <c r="F953" s="0"/>
      <c r="G953" s="0"/>
      <c r="K953" s="903"/>
      <c r="L953" s="877"/>
      <c r="M953" s="0"/>
      <c r="O953" s="55"/>
      <c r="P953" s="55"/>
      <c r="T953" s="0"/>
      <c r="U953" s="0"/>
      <c r="V953" s="0"/>
      <c r="W953" s="0"/>
      <c r="X953" s="0"/>
      <c r="Y953" s="0"/>
      <c r="Z953" s="0"/>
      <c r="AA953" s="0"/>
      <c r="AB953" s="0"/>
      <c r="AC953" s="0"/>
      <c r="AD953" s="0"/>
      <c r="AE953" s="0"/>
      <c r="AF953" s="0"/>
      <c r="AG953" s="0"/>
      <c r="AH953" s="0"/>
      <c r="AI953" s="0"/>
      <c r="AJ953" s="0"/>
      <c r="AK953" s="0"/>
      <c r="AL953" s="0"/>
      <c r="AM953" s="0"/>
      <c r="AN953" s="0"/>
      <c r="AO953" s="0"/>
      <c r="AP953" s="0"/>
      <c r="AQ953" s="0"/>
      <c r="AR953" s="0"/>
      <c r="AS953" s="0"/>
      <c r="AT953" s="0"/>
      <c r="AU953" s="0"/>
      <c r="AV953" s="0"/>
      <c r="AW953" s="0"/>
      <c r="AX953" s="0"/>
      <c r="AY953" s="0"/>
      <c r="AZ953" s="0"/>
      <c r="BA953" s="0"/>
      <c r="BB953" s="0"/>
      <c r="BC953" s="0"/>
      <c r="BD953" s="0"/>
      <c r="BE953" s="0"/>
      <c r="BF953" s="0"/>
      <c r="BG953" s="0"/>
      <c r="BH953" s="0"/>
      <c r="BI953" s="0"/>
      <c r="BJ953" s="0"/>
      <c r="BK953" s="0"/>
      <c r="BL953" s="0"/>
      <c r="BM953" s="0"/>
      <c r="BN953" s="0"/>
      <c r="BO953" s="0"/>
      <c r="BP953" s="0"/>
      <c r="BQ953" s="0"/>
      <c r="BR953" s="0"/>
      <c r="BS953" s="0"/>
      <c r="BT953" s="0"/>
      <c r="BU953" s="0"/>
      <c r="BV953" s="0"/>
      <c r="BW953" s="0"/>
      <c r="BX953" s="0"/>
      <c r="BY953" s="0"/>
      <c r="BZ953" s="0"/>
      <c r="CA953" s="0"/>
      <c r="CB953" s="0"/>
      <c r="CC953" s="0"/>
      <c r="CD953" s="0"/>
      <c r="CE953" s="0"/>
      <c r="CF953" s="0"/>
      <c r="CG953" s="0"/>
      <c r="CH953" s="0"/>
      <c r="CI953" s="0"/>
      <c r="CJ953" s="0"/>
      <c r="CK953" s="0"/>
      <c r="CL953" s="0"/>
      <c r="CM953" s="0"/>
      <c r="CN953" s="0"/>
      <c r="CO953" s="0"/>
      <c r="CP953" s="0"/>
      <c r="CQ953" s="0"/>
      <c r="CR953" s="0"/>
      <c r="CS953" s="0"/>
      <c r="CT953" s="0"/>
      <c r="CU953" s="0"/>
      <c r="CV953" s="0"/>
      <c r="CW953" s="0"/>
      <c r="CX953" s="0"/>
      <c r="CY953" s="0"/>
      <c r="CZ953" s="0"/>
      <c r="DA953" s="0"/>
      <c r="DB953" s="0"/>
      <c r="DC953" s="0"/>
      <c r="DD953" s="0"/>
      <c r="DE953" s="0"/>
      <c r="DF953" s="0"/>
      <c r="DG953" s="0"/>
      <c r="DH953" s="0"/>
      <c r="DI953" s="0"/>
      <c r="DJ953" s="0"/>
      <c r="DK953" s="0"/>
      <c r="DL953" s="0"/>
      <c r="DM953" s="0"/>
      <c r="DN953" s="0"/>
      <c r="DO953" s="0"/>
      <c r="DP953" s="0"/>
      <c r="DQ953" s="0"/>
      <c r="DR953" s="0"/>
      <c r="DS953" s="0"/>
      <c r="DT953" s="0"/>
      <c r="DU953" s="0"/>
      <c r="DV953" s="0"/>
      <c r="DW953" s="0"/>
      <c r="DX953" s="0"/>
      <c r="DY953" s="0"/>
      <c r="DZ953" s="0"/>
      <c r="EA953" s="0"/>
      <c r="EB953" s="0"/>
      <c r="EC953" s="0"/>
      <c r="ED953" s="0"/>
      <c r="EE953" s="0"/>
      <c r="EF953" s="0"/>
      <c r="EG953" s="0"/>
      <c r="EH953" s="0"/>
      <c r="EI953" s="0"/>
      <c r="EJ953" s="0"/>
      <c r="EK953" s="0"/>
      <c r="EL953" s="0"/>
      <c r="EM953" s="0"/>
      <c r="EN953" s="0"/>
      <c r="EO953" s="0"/>
      <c r="EP953" s="0"/>
      <c r="EQ953" s="0"/>
      <c r="ER953" s="0"/>
      <c r="ES953" s="0"/>
      <c r="ET953" s="0"/>
      <c r="EU953" s="0"/>
      <c r="EV953" s="0"/>
      <c r="EW953" s="0"/>
      <c r="EX953" s="0"/>
      <c r="EY953" s="0"/>
      <c r="EZ953" s="0"/>
      <c r="FA953" s="0"/>
      <c r="FB953" s="0"/>
      <c r="FC953" s="0"/>
      <c r="FD953" s="0"/>
      <c r="FE953" s="0"/>
      <c r="FF953" s="0"/>
      <c r="FG953" s="0"/>
      <c r="FH953" s="0"/>
      <c r="FI953" s="0"/>
      <c r="FJ953" s="0"/>
      <c r="FK953" s="0"/>
      <c r="FL953" s="0"/>
      <c r="FM953" s="0"/>
      <c r="FN953" s="0"/>
      <c r="FO953" s="0"/>
      <c r="FP953" s="0"/>
      <c r="FQ953" s="0"/>
      <c r="FR953" s="0"/>
      <c r="FS953" s="0"/>
      <c r="FT953" s="0"/>
      <c r="FU953" s="0"/>
      <c r="FV953" s="0"/>
      <c r="FW953" s="0"/>
      <c r="FX953" s="0"/>
      <c r="FY953" s="0"/>
      <c r="FZ953" s="0"/>
      <c r="GA953" s="0"/>
      <c r="GB953" s="0"/>
      <c r="GC953" s="0"/>
      <c r="GD953" s="0"/>
      <c r="GE953" s="0"/>
      <c r="GF953" s="0"/>
      <c r="GG953" s="0"/>
      <c r="GH953" s="0"/>
      <c r="GI953" s="0"/>
      <c r="GJ953" s="0"/>
      <c r="GK953" s="0"/>
      <c r="GL953" s="0"/>
      <c r="GM953" s="0"/>
      <c r="GN953" s="0"/>
      <c r="GO953" s="0"/>
      <c r="GP953" s="0"/>
      <c r="GQ953" s="0"/>
      <c r="GR953" s="0"/>
      <c r="GS953" s="0"/>
      <c r="GT953" s="0"/>
      <c r="GU953" s="0"/>
      <c r="GV953" s="0"/>
      <c r="GW953" s="0"/>
      <c r="GX953" s="0"/>
      <c r="GY953" s="0"/>
      <c r="GZ953" s="0"/>
      <c r="HA953" s="0"/>
      <c r="HB953" s="0"/>
      <c r="HC953" s="0"/>
      <c r="HD953" s="0"/>
      <c r="HE953" s="0"/>
      <c r="HF953" s="0"/>
      <c r="HG953" s="0"/>
      <c r="HH953" s="0"/>
      <c r="HI953" s="0"/>
      <c r="HJ953" s="0"/>
      <c r="HK953" s="0"/>
      <c r="HL953" s="0"/>
      <c r="HM953" s="0"/>
      <c r="HN953" s="0"/>
      <c r="HO953" s="0"/>
      <c r="HP953" s="0"/>
      <c r="HQ953" s="0"/>
      <c r="HR953" s="0"/>
      <c r="HS953" s="0"/>
      <c r="HT953" s="0"/>
      <c r="HU953" s="0"/>
      <c r="HV953" s="0"/>
      <c r="HW953" s="0"/>
      <c r="HX953" s="0"/>
      <c r="HY953" s="0"/>
      <c r="HZ953" s="0"/>
      <c r="IA953" s="0"/>
      <c r="IB953" s="0"/>
      <c r="IC953" s="0"/>
      <c r="ID953" s="0"/>
      <c r="IE953" s="0"/>
      <c r="IF953" s="0"/>
      <c r="IG953" s="0"/>
      <c r="IH953" s="0"/>
      <c r="II953" s="0"/>
      <c r="IJ953" s="0"/>
      <c r="IK953" s="0"/>
      <c r="IL953" s="0"/>
      <c r="IM953" s="0"/>
      <c r="IN953" s="0"/>
      <c r="IO953" s="0"/>
      <c r="IP953" s="0"/>
      <c r="IQ953" s="0"/>
      <c r="IR953" s="0"/>
      <c r="IS953" s="0"/>
      <c r="IT953" s="0"/>
      <c r="IU953" s="0"/>
      <c r="IV953" s="0"/>
    </row>
    <row r="954" customFormat="false" ht="15.75" hidden="false" customHeight="true" outlineLevel="0" collapsed="false">
      <c r="E954" s="0"/>
      <c r="F954" s="0"/>
      <c r="H954" s="0"/>
      <c r="I954" s="0"/>
      <c r="J954" s="0"/>
      <c r="K954" s="903"/>
      <c r="L954" s="877"/>
      <c r="M954" s="55"/>
      <c r="N954" s="0"/>
      <c r="O954" s="55"/>
      <c r="P954" s="55"/>
      <c r="Q954" s="0"/>
      <c r="R954" s="0"/>
      <c r="S954" s="0"/>
      <c r="T954" s="0"/>
      <c r="U954" s="0"/>
      <c r="V954" s="0"/>
      <c r="W954" s="0"/>
      <c r="X954" s="0"/>
      <c r="Y954" s="0"/>
      <c r="Z954" s="0"/>
      <c r="AA954" s="0"/>
      <c r="AB954" s="0"/>
      <c r="AC954" s="0"/>
      <c r="AD954" s="0"/>
      <c r="AE954" s="0"/>
      <c r="AF954" s="0"/>
      <c r="AG954" s="0"/>
      <c r="AH954" s="0"/>
      <c r="AI954" s="0"/>
      <c r="AJ954" s="0"/>
      <c r="AK954" s="0"/>
      <c r="AL954" s="0"/>
      <c r="AM954" s="0"/>
      <c r="AN954" s="0"/>
      <c r="AO954" s="0"/>
      <c r="AP954" s="0"/>
      <c r="AQ954" s="0"/>
      <c r="AR954" s="0"/>
      <c r="AS954" s="0"/>
      <c r="AT954" s="0"/>
      <c r="AU954" s="0"/>
      <c r="AV954" s="0"/>
      <c r="AW954" s="0"/>
      <c r="AX954" s="0"/>
      <c r="AY954" s="0"/>
      <c r="AZ954" s="0"/>
      <c r="BA954" s="0"/>
      <c r="BB954" s="0"/>
      <c r="BC954" s="0"/>
      <c r="BD954" s="0"/>
      <c r="BE954" s="0"/>
      <c r="BF954" s="0"/>
      <c r="BG954" s="0"/>
      <c r="BH954" s="0"/>
      <c r="BI954" s="0"/>
      <c r="BJ954" s="0"/>
      <c r="BK954" s="0"/>
      <c r="BL954" s="0"/>
      <c r="BM954" s="0"/>
      <c r="BN954" s="0"/>
      <c r="BO954" s="0"/>
      <c r="BP954" s="0"/>
      <c r="BQ954" s="0"/>
      <c r="BR954" s="0"/>
      <c r="BS954" s="0"/>
      <c r="BT954" s="0"/>
      <c r="BU954" s="0"/>
      <c r="BV954" s="0"/>
      <c r="BW954" s="0"/>
      <c r="BX954" s="0"/>
      <c r="BY954" s="0"/>
      <c r="BZ954" s="0"/>
      <c r="CA954" s="0"/>
      <c r="CB954" s="0"/>
      <c r="CC954" s="0"/>
      <c r="CD954" s="0"/>
      <c r="CE954" s="0"/>
      <c r="CF954" s="0"/>
      <c r="CG954" s="0"/>
      <c r="CH954" s="0"/>
      <c r="CI954" s="0"/>
      <c r="CJ954" s="0"/>
      <c r="CK954" s="0"/>
      <c r="CL954" s="0"/>
      <c r="CM954" s="0"/>
      <c r="CN954" s="0"/>
      <c r="CO954" s="0"/>
      <c r="CP954" s="0"/>
      <c r="CQ954" s="0"/>
      <c r="CR954" s="0"/>
      <c r="CS954" s="0"/>
      <c r="CT954" s="0"/>
      <c r="CU954" s="0"/>
      <c r="CV954" s="0"/>
      <c r="CW954" s="0"/>
      <c r="CX954" s="0"/>
      <c r="CY954" s="0"/>
      <c r="CZ954" s="0"/>
      <c r="DA954" s="0"/>
      <c r="DB954" s="0"/>
      <c r="DC954" s="0"/>
      <c r="DD954" s="0"/>
      <c r="DE954" s="0"/>
      <c r="DF954" s="0"/>
      <c r="DG954" s="0"/>
      <c r="DH954" s="0"/>
      <c r="DI954" s="0"/>
      <c r="DJ954" s="0"/>
      <c r="DK954" s="0"/>
      <c r="DL954" s="0"/>
      <c r="DM954" s="0"/>
      <c r="DN954" s="0"/>
      <c r="DO954" s="0"/>
      <c r="DP954" s="0"/>
      <c r="DQ954" s="0"/>
      <c r="DR954" s="0"/>
      <c r="DS954" s="0"/>
      <c r="DT954" s="0"/>
      <c r="DU954" s="0"/>
      <c r="DV954" s="0"/>
      <c r="DW954" s="0"/>
      <c r="DX954" s="0"/>
      <c r="DY954" s="0"/>
      <c r="DZ954" s="0"/>
      <c r="EA954" s="0"/>
      <c r="EB954" s="0"/>
      <c r="EC954" s="0"/>
      <c r="ED954" s="0"/>
      <c r="EE954" s="0"/>
      <c r="EF954" s="0"/>
      <c r="EG954" s="0"/>
      <c r="EH954" s="0"/>
      <c r="EI954" s="0"/>
      <c r="EJ954" s="0"/>
      <c r="EK954" s="0"/>
      <c r="EL954" s="0"/>
      <c r="EM954" s="0"/>
      <c r="EN954" s="0"/>
      <c r="EO954" s="0"/>
      <c r="EP954" s="0"/>
      <c r="EQ954" s="0"/>
      <c r="ER954" s="0"/>
      <c r="ES954" s="0"/>
      <c r="ET954" s="0"/>
      <c r="EU954" s="0"/>
      <c r="EV954" s="0"/>
      <c r="EW954" s="0"/>
      <c r="EX954" s="0"/>
      <c r="EY954" s="0"/>
      <c r="EZ954" s="0"/>
      <c r="FA954" s="0"/>
      <c r="FB954" s="0"/>
      <c r="FC954" s="0"/>
      <c r="FD954" s="0"/>
      <c r="FE954" s="0"/>
      <c r="FF954" s="0"/>
      <c r="FG954" s="0"/>
      <c r="FH954" s="0"/>
      <c r="FI954" s="0"/>
      <c r="FJ954" s="0"/>
      <c r="FK954" s="0"/>
      <c r="FL954" s="0"/>
      <c r="FM954" s="0"/>
      <c r="FN954" s="0"/>
      <c r="FO954" s="0"/>
      <c r="FP954" s="0"/>
      <c r="FQ954" s="0"/>
      <c r="FR954" s="0"/>
      <c r="FS954" s="0"/>
      <c r="FT954" s="0"/>
      <c r="FU954" s="0"/>
      <c r="FV954" s="0"/>
      <c r="FW954" s="0"/>
      <c r="FX954" s="0"/>
      <c r="FY954" s="0"/>
      <c r="FZ954" s="0"/>
      <c r="GA954" s="0"/>
      <c r="GB954" s="0"/>
      <c r="GC954" s="0"/>
      <c r="GD954" s="0"/>
      <c r="GE954" s="0"/>
      <c r="GF954" s="0"/>
      <c r="GG954" s="0"/>
      <c r="GH954" s="0"/>
      <c r="GI954" s="0"/>
      <c r="GJ954" s="0"/>
      <c r="GK954" s="0"/>
      <c r="GL954" s="0"/>
      <c r="GM954" s="0"/>
      <c r="GN954" s="0"/>
      <c r="GO954" s="0"/>
      <c r="GP954" s="0"/>
      <c r="GQ954" s="0"/>
      <c r="GR954" s="0"/>
      <c r="GS954" s="0"/>
      <c r="GT954" s="0"/>
      <c r="GU954" s="0"/>
      <c r="GV954" s="0"/>
      <c r="GW954" s="0"/>
      <c r="GX954" s="0"/>
      <c r="GY954" s="0"/>
      <c r="GZ954" s="0"/>
      <c r="HA954" s="0"/>
      <c r="HB954" s="0"/>
      <c r="HC954" s="0"/>
      <c r="HD954" s="0"/>
      <c r="HE954" s="0"/>
      <c r="HF954" s="0"/>
      <c r="HG954" s="0"/>
      <c r="HH954" s="0"/>
      <c r="HI954" s="0"/>
      <c r="HJ954" s="0"/>
      <c r="HK954" s="0"/>
      <c r="HL954" s="0"/>
      <c r="HM954" s="0"/>
      <c r="HN954" s="0"/>
      <c r="HO954" s="0"/>
      <c r="HP954" s="0"/>
      <c r="HQ954" s="0"/>
      <c r="HR954" s="0"/>
      <c r="HS954" s="0"/>
      <c r="HT954" s="0"/>
      <c r="HU954" s="0"/>
      <c r="HV954" s="0"/>
      <c r="HW954" s="0"/>
      <c r="HX954" s="0"/>
      <c r="HY954" s="0"/>
      <c r="HZ954" s="0"/>
      <c r="IA954" s="0"/>
      <c r="IB954" s="0"/>
      <c r="IC954" s="0"/>
      <c r="ID954" s="0"/>
      <c r="IE954" s="0"/>
      <c r="IF954" s="0"/>
      <c r="IG954" s="0"/>
      <c r="IH954" s="0"/>
      <c r="II954" s="0"/>
      <c r="IJ954" s="0"/>
      <c r="IK954" s="0"/>
      <c r="IL954" s="0"/>
      <c r="IM954" s="0"/>
      <c r="IN954" s="0"/>
      <c r="IO954" s="0"/>
      <c r="IP954" s="0"/>
      <c r="IQ954" s="0"/>
      <c r="IR954" s="0"/>
      <c r="IS954" s="0"/>
      <c r="IT954" s="0"/>
      <c r="IU954" s="0"/>
      <c r="IV954" s="0"/>
    </row>
    <row r="955" customFormat="false" ht="15" hidden="false" customHeight="true" outlineLevel="0" collapsed="false">
      <c r="K955" s="55"/>
      <c r="L955" s="55"/>
      <c r="M955" s="55"/>
    </row>
    <row r="956" customFormat="false" ht="16.5" hidden="false" customHeight="true" outlineLevel="0" collapsed="false">
      <c r="A956" s="869" t="s">
        <v>1655</v>
      </c>
      <c r="B956" s="869"/>
      <c r="C956" s="869"/>
      <c r="D956" s="869"/>
      <c r="E956" s="869"/>
      <c r="F956" s="869"/>
      <c r="G956" s="869"/>
      <c r="H956" s="53"/>
      <c r="I956" s="53"/>
      <c r="J956" s="53"/>
      <c r="K956" s="870"/>
      <c r="L956" s="871" t="s">
        <v>1656</v>
      </c>
      <c r="M956" s="0"/>
      <c r="N956" s="0"/>
      <c r="O956" s="0"/>
      <c r="P956" s="0"/>
      <c r="Q956" s="0"/>
      <c r="R956" s="0"/>
      <c r="S956" s="0"/>
      <c r="T956" s="0"/>
      <c r="U956" s="0"/>
      <c r="V956" s="0"/>
      <c r="W956" s="0"/>
      <c r="X956" s="0"/>
      <c r="Y956" s="0"/>
      <c r="Z956" s="0"/>
      <c r="AA956" s="0"/>
      <c r="AB956" s="0"/>
      <c r="AC956" s="0"/>
      <c r="AD956" s="0"/>
      <c r="AE956" s="0"/>
      <c r="AF956" s="0"/>
      <c r="AG956" s="0"/>
      <c r="AH956" s="0"/>
      <c r="AI956" s="0"/>
      <c r="AJ956" s="0"/>
      <c r="AK956" s="0"/>
      <c r="AL956" s="0"/>
      <c r="AM956" s="0"/>
      <c r="AN956" s="0"/>
      <c r="AO956" s="0"/>
      <c r="AP956" s="0"/>
      <c r="AQ956" s="0"/>
      <c r="AR956" s="0"/>
      <c r="AS956" s="0"/>
      <c r="AT956" s="0"/>
      <c r="AU956" s="0"/>
      <c r="AV956" s="0"/>
      <c r="AW956" s="0"/>
      <c r="AX956" s="0"/>
      <c r="AY956" s="0"/>
      <c r="AZ956" s="0"/>
      <c r="BA956" s="0"/>
      <c r="BB956" s="0"/>
      <c r="BC956" s="0"/>
      <c r="BD956" s="0"/>
      <c r="BE956" s="0"/>
      <c r="BF956" s="0"/>
      <c r="BG956" s="0"/>
      <c r="BH956" s="0"/>
      <c r="BI956" s="0"/>
      <c r="BJ956" s="0"/>
      <c r="BK956" s="0"/>
      <c r="BL956" s="0"/>
      <c r="BM956" s="0"/>
      <c r="BN956" s="0"/>
      <c r="BO956" s="0"/>
      <c r="BP956" s="0"/>
      <c r="BQ956" s="0"/>
      <c r="BR956" s="0"/>
      <c r="BS956" s="0"/>
      <c r="BT956" s="0"/>
      <c r="BU956" s="0"/>
      <c r="BV956" s="0"/>
      <c r="BW956" s="0"/>
      <c r="BX956" s="0"/>
      <c r="BY956" s="0"/>
      <c r="BZ956" s="0"/>
      <c r="CA956" s="0"/>
      <c r="CB956" s="0"/>
      <c r="CC956" s="0"/>
      <c r="CD956" s="0"/>
      <c r="CE956" s="0"/>
      <c r="CF956" s="0"/>
      <c r="CG956" s="0"/>
      <c r="CH956" s="0"/>
      <c r="CI956" s="0"/>
      <c r="CJ956" s="0"/>
      <c r="CK956" s="0"/>
      <c r="CL956" s="0"/>
      <c r="CM956" s="0"/>
      <c r="CN956" s="0"/>
      <c r="CO956" s="0"/>
      <c r="CP956" s="0"/>
      <c r="CQ956" s="0"/>
      <c r="CR956" s="0"/>
      <c r="CS956" s="0"/>
      <c r="CT956" s="0"/>
      <c r="CU956" s="0"/>
      <c r="CV956" s="0"/>
      <c r="CW956" s="0"/>
      <c r="CX956" s="0"/>
      <c r="CY956" s="0"/>
      <c r="CZ956" s="0"/>
      <c r="DA956" s="0"/>
      <c r="DB956" s="0"/>
      <c r="DC956" s="0"/>
      <c r="DD956" s="0"/>
      <c r="DE956" s="0"/>
      <c r="DF956" s="0"/>
      <c r="DG956" s="0"/>
      <c r="DH956" s="0"/>
      <c r="DI956" s="0"/>
      <c r="DJ956" s="0"/>
      <c r="DK956" s="0"/>
      <c r="DL956" s="0"/>
      <c r="DM956" s="0"/>
      <c r="DN956" s="0"/>
      <c r="DO956" s="0"/>
      <c r="DP956" s="0"/>
      <c r="DQ956" s="0"/>
      <c r="DR956" s="0"/>
      <c r="DS956" s="0"/>
      <c r="DT956" s="0"/>
      <c r="DU956" s="0"/>
      <c r="DV956" s="0"/>
      <c r="DW956" s="0"/>
      <c r="DX956" s="0"/>
      <c r="DY956" s="0"/>
      <c r="DZ956" s="0"/>
      <c r="EA956" s="0"/>
      <c r="EB956" s="0"/>
      <c r="EC956" s="0"/>
      <c r="ED956" s="0"/>
      <c r="EE956" s="0"/>
      <c r="EF956" s="0"/>
      <c r="EG956" s="0"/>
      <c r="EH956" s="0"/>
      <c r="EI956" s="0"/>
      <c r="EJ956" s="0"/>
      <c r="EK956" s="0"/>
      <c r="EL956" s="0"/>
      <c r="EM956" s="0"/>
      <c r="EN956" s="0"/>
      <c r="EO956" s="0"/>
      <c r="EP956" s="0"/>
      <c r="EQ956" s="0"/>
      <c r="ER956" s="0"/>
      <c r="ES956" s="0"/>
      <c r="ET956" s="0"/>
      <c r="EU956" s="0"/>
      <c r="EV956" s="0"/>
      <c r="EW956" s="0"/>
      <c r="EX956" s="0"/>
      <c r="EY956" s="0"/>
      <c r="EZ956" s="0"/>
      <c r="FA956" s="0"/>
      <c r="FB956" s="0"/>
      <c r="FC956" s="0"/>
      <c r="FD956" s="0"/>
      <c r="FE956" s="0"/>
      <c r="FF956" s="0"/>
      <c r="FG956" s="0"/>
      <c r="FH956" s="0"/>
      <c r="FI956" s="0"/>
      <c r="FJ956" s="0"/>
      <c r="FK956" s="0"/>
      <c r="FL956" s="0"/>
      <c r="FM956" s="0"/>
      <c r="FN956" s="0"/>
      <c r="FO956" s="0"/>
      <c r="FP956" s="0"/>
      <c r="FQ956" s="0"/>
      <c r="FR956" s="0"/>
      <c r="FS956" s="0"/>
      <c r="FT956" s="0"/>
      <c r="FU956" s="0"/>
      <c r="FV956" s="0"/>
      <c r="FW956" s="0"/>
      <c r="FX956" s="0"/>
      <c r="FY956" s="0"/>
      <c r="FZ956" s="0"/>
      <c r="GA956" s="0"/>
      <c r="GB956" s="0"/>
      <c r="GC956" s="0"/>
      <c r="GD956" s="0"/>
      <c r="GE956" s="0"/>
      <c r="GF956" s="0"/>
      <c r="GG956" s="0"/>
      <c r="GH956" s="0"/>
      <c r="GI956" s="0"/>
      <c r="GJ956" s="0"/>
      <c r="GK956" s="0"/>
      <c r="GL956" s="0"/>
      <c r="GM956" s="0"/>
      <c r="GN956" s="0"/>
      <c r="GO956" s="0"/>
      <c r="GP956" s="0"/>
      <c r="GQ956" s="0"/>
      <c r="GR956" s="0"/>
      <c r="GS956" s="0"/>
      <c r="GT956" s="0"/>
      <c r="GU956" s="0"/>
      <c r="GV956" s="0"/>
      <c r="GW956" s="0"/>
      <c r="GX956" s="0"/>
      <c r="GY956" s="0"/>
      <c r="GZ956" s="0"/>
      <c r="HA956" s="0"/>
      <c r="HB956" s="0"/>
      <c r="HC956" s="0"/>
      <c r="HD956" s="0"/>
      <c r="HE956" s="0"/>
      <c r="HF956" s="0"/>
      <c r="HG956" s="0"/>
      <c r="HH956" s="0"/>
      <c r="HI956" s="0"/>
      <c r="HJ956" s="0"/>
      <c r="HK956" s="0"/>
      <c r="HL956" s="0"/>
      <c r="HM956" s="0"/>
      <c r="HN956" s="0"/>
      <c r="HO956" s="0"/>
      <c r="HP956" s="0"/>
      <c r="HQ956" s="0"/>
      <c r="HR956" s="0"/>
      <c r="HS956" s="0"/>
      <c r="HT956" s="0"/>
      <c r="HU956" s="0"/>
      <c r="HV956" s="0"/>
      <c r="HW956" s="0"/>
      <c r="HX956" s="0"/>
      <c r="HY956" s="0"/>
      <c r="HZ956" s="0"/>
      <c r="IA956" s="0"/>
      <c r="IB956" s="0"/>
      <c r="IC956" s="0"/>
      <c r="ID956" s="0"/>
      <c r="IE956" s="0"/>
      <c r="IF956" s="0"/>
      <c r="IG956" s="0"/>
      <c r="IH956" s="0"/>
      <c r="II956" s="0"/>
      <c r="IJ956" s="0"/>
      <c r="IK956" s="0"/>
      <c r="IL956" s="0"/>
      <c r="IM956" s="0"/>
      <c r="IN956" s="0"/>
      <c r="IO956" s="0"/>
      <c r="IP956" s="0"/>
      <c r="IQ956" s="0"/>
      <c r="IR956" s="0"/>
      <c r="IS956" s="0"/>
      <c r="IT956" s="0"/>
      <c r="IU956" s="0"/>
      <c r="IV956" s="0"/>
    </row>
    <row r="957" customFormat="false" ht="16.5" hidden="false" customHeight="true" outlineLevel="0" collapsed="false">
      <c r="A957" s="1005"/>
      <c r="B957" s="1005"/>
      <c r="C957" s="1005"/>
      <c r="D957" s="1005"/>
      <c r="E957" s="1005"/>
      <c r="F957" s="1005"/>
      <c r="G957" s="1005"/>
      <c r="H957" s="414"/>
      <c r="I957" s="414"/>
      <c r="J957" s="0"/>
      <c r="K957" s="903"/>
      <c r="L957" s="877"/>
      <c r="M957" s="0"/>
      <c r="N957" s="0"/>
      <c r="O957" s="0"/>
      <c r="P957" s="0"/>
      <c r="Q957" s="0"/>
      <c r="R957" s="0"/>
      <c r="S957" s="0"/>
      <c r="T957" s="0"/>
      <c r="U957" s="0"/>
      <c r="V957" s="0"/>
      <c r="W957" s="0"/>
      <c r="X957" s="0"/>
      <c r="Y957" s="0"/>
      <c r="Z957" s="0"/>
      <c r="AA957" s="0"/>
      <c r="AB957" s="0"/>
      <c r="AC957" s="0"/>
      <c r="AD957" s="0"/>
      <c r="AE957" s="0"/>
      <c r="AF957" s="0"/>
      <c r="AG957" s="0"/>
      <c r="AH957" s="0"/>
      <c r="AI957" s="0"/>
      <c r="AJ957" s="0"/>
      <c r="AK957" s="0"/>
      <c r="AL957" s="0"/>
      <c r="AM957" s="0"/>
      <c r="AN957" s="0"/>
      <c r="AO957" s="0"/>
      <c r="AP957" s="0"/>
      <c r="AQ957" s="0"/>
      <c r="AR957" s="0"/>
      <c r="AS957" s="0"/>
      <c r="AT957" s="0"/>
      <c r="AU957" s="0"/>
      <c r="AV957" s="0"/>
      <c r="AW957" s="0"/>
      <c r="AX957" s="0"/>
      <c r="AY957" s="0"/>
      <c r="AZ957" s="0"/>
      <c r="BA957" s="0"/>
      <c r="BB957" s="0"/>
      <c r="BC957" s="0"/>
      <c r="BD957" s="0"/>
      <c r="BE957" s="0"/>
      <c r="BF957" s="0"/>
      <c r="BG957" s="0"/>
      <c r="BH957" s="0"/>
      <c r="BI957" s="0"/>
      <c r="BJ957" s="0"/>
      <c r="BK957" s="0"/>
      <c r="BL957" s="0"/>
      <c r="BM957" s="0"/>
      <c r="BN957" s="0"/>
      <c r="BO957" s="0"/>
      <c r="BP957" s="0"/>
      <c r="BQ957" s="0"/>
      <c r="BR957" s="0"/>
      <c r="BS957" s="0"/>
      <c r="BT957" s="0"/>
      <c r="BU957" s="0"/>
      <c r="BV957" s="0"/>
      <c r="BW957" s="0"/>
      <c r="BX957" s="0"/>
      <c r="BY957" s="0"/>
      <c r="BZ957" s="0"/>
      <c r="CA957" s="0"/>
      <c r="CB957" s="0"/>
      <c r="CC957" s="0"/>
      <c r="CD957" s="0"/>
      <c r="CE957" s="0"/>
      <c r="CF957" s="0"/>
      <c r="CG957" s="0"/>
      <c r="CH957" s="0"/>
      <c r="CI957" s="0"/>
      <c r="CJ957" s="0"/>
      <c r="CK957" s="0"/>
      <c r="CL957" s="0"/>
      <c r="CM957" s="0"/>
      <c r="CN957" s="0"/>
      <c r="CO957" s="0"/>
      <c r="CP957" s="0"/>
      <c r="CQ957" s="0"/>
      <c r="CR957" s="0"/>
      <c r="CS957" s="0"/>
      <c r="CT957" s="0"/>
      <c r="CU957" s="0"/>
      <c r="CV957" s="0"/>
      <c r="CW957" s="0"/>
      <c r="CX957" s="0"/>
      <c r="CY957" s="0"/>
      <c r="CZ957" s="0"/>
      <c r="DA957" s="0"/>
      <c r="DB957" s="0"/>
      <c r="DC957" s="0"/>
      <c r="DD957" s="0"/>
      <c r="DE957" s="0"/>
      <c r="DF957" s="0"/>
      <c r="DG957" s="0"/>
      <c r="DH957" s="0"/>
      <c r="DI957" s="0"/>
      <c r="DJ957" s="0"/>
      <c r="DK957" s="0"/>
      <c r="DL957" s="0"/>
      <c r="DM957" s="0"/>
      <c r="DN957" s="0"/>
      <c r="DO957" s="0"/>
      <c r="DP957" s="0"/>
      <c r="DQ957" s="0"/>
      <c r="DR957" s="0"/>
      <c r="DS957" s="0"/>
      <c r="DT957" s="0"/>
      <c r="DU957" s="0"/>
      <c r="DV957" s="0"/>
      <c r="DW957" s="0"/>
      <c r="DX957" s="0"/>
      <c r="DY957" s="0"/>
      <c r="DZ957" s="0"/>
      <c r="EA957" s="0"/>
      <c r="EB957" s="0"/>
      <c r="EC957" s="0"/>
      <c r="ED957" s="0"/>
      <c r="EE957" s="0"/>
      <c r="EF957" s="0"/>
      <c r="EG957" s="0"/>
      <c r="EH957" s="0"/>
      <c r="EI957" s="0"/>
      <c r="EJ957" s="0"/>
      <c r="EK957" s="0"/>
      <c r="EL957" s="0"/>
      <c r="EM957" s="0"/>
      <c r="EN957" s="0"/>
      <c r="EO957" s="0"/>
      <c r="EP957" s="0"/>
      <c r="EQ957" s="0"/>
      <c r="ER957" s="0"/>
      <c r="ES957" s="0"/>
      <c r="ET957" s="0"/>
      <c r="EU957" s="0"/>
      <c r="EV957" s="0"/>
      <c r="EW957" s="0"/>
      <c r="EX957" s="0"/>
      <c r="EY957" s="0"/>
      <c r="EZ957" s="0"/>
      <c r="FA957" s="0"/>
      <c r="FB957" s="0"/>
      <c r="FC957" s="0"/>
      <c r="FD957" s="0"/>
      <c r="FE957" s="0"/>
      <c r="FF957" s="0"/>
      <c r="FG957" s="0"/>
      <c r="FH957" s="0"/>
      <c r="FI957" s="0"/>
      <c r="FJ957" s="0"/>
      <c r="FK957" s="0"/>
      <c r="FL957" s="0"/>
      <c r="FM957" s="0"/>
      <c r="FN957" s="0"/>
      <c r="FO957" s="0"/>
      <c r="FP957" s="0"/>
      <c r="FQ957" s="0"/>
      <c r="FR957" s="0"/>
      <c r="FS957" s="0"/>
      <c r="FT957" s="0"/>
      <c r="FU957" s="0"/>
      <c r="FV957" s="0"/>
      <c r="FW957" s="0"/>
      <c r="FX957" s="0"/>
      <c r="FY957" s="0"/>
      <c r="FZ957" s="0"/>
      <c r="GA957" s="0"/>
      <c r="GB957" s="0"/>
      <c r="GC957" s="0"/>
      <c r="GD957" s="0"/>
      <c r="GE957" s="0"/>
      <c r="GF957" s="0"/>
      <c r="GG957" s="0"/>
      <c r="GH957" s="0"/>
      <c r="GI957" s="0"/>
      <c r="GJ957" s="0"/>
      <c r="GK957" s="0"/>
      <c r="GL957" s="0"/>
      <c r="GM957" s="0"/>
      <c r="GN957" s="0"/>
      <c r="GO957" s="0"/>
      <c r="GP957" s="0"/>
      <c r="GQ957" s="0"/>
      <c r="GR957" s="0"/>
      <c r="GS957" s="0"/>
      <c r="GT957" s="0"/>
      <c r="GU957" s="0"/>
      <c r="GV957" s="0"/>
      <c r="GW957" s="0"/>
      <c r="GX957" s="0"/>
      <c r="GY957" s="0"/>
      <c r="GZ957" s="0"/>
      <c r="HA957" s="0"/>
      <c r="HB957" s="0"/>
      <c r="HC957" s="0"/>
      <c r="HD957" s="0"/>
      <c r="HE957" s="0"/>
      <c r="HF957" s="0"/>
      <c r="HG957" s="0"/>
      <c r="HH957" s="0"/>
      <c r="HI957" s="0"/>
      <c r="HJ957" s="0"/>
      <c r="HK957" s="0"/>
      <c r="HL957" s="0"/>
      <c r="HM957" s="0"/>
      <c r="HN957" s="0"/>
      <c r="HO957" s="0"/>
      <c r="HP957" s="0"/>
      <c r="HQ957" s="0"/>
      <c r="HR957" s="0"/>
      <c r="HS957" s="0"/>
      <c r="HT957" s="0"/>
      <c r="HU957" s="0"/>
      <c r="HV957" s="0"/>
      <c r="HW957" s="0"/>
      <c r="HX957" s="0"/>
      <c r="HY957" s="0"/>
      <c r="HZ957" s="0"/>
      <c r="IA957" s="0"/>
      <c r="IB957" s="0"/>
      <c r="IC957" s="0"/>
      <c r="ID957" s="0"/>
      <c r="IE957" s="0"/>
      <c r="IF957" s="0"/>
      <c r="IG957" s="0"/>
      <c r="IH957" s="0"/>
      <c r="II957" s="0"/>
      <c r="IJ957" s="0"/>
      <c r="IK957" s="0"/>
      <c r="IL957" s="0"/>
      <c r="IM957" s="0"/>
      <c r="IN957" s="0"/>
      <c r="IO957" s="0"/>
      <c r="IP957" s="0"/>
      <c r="IQ957" s="0"/>
      <c r="IR957" s="0"/>
      <c r="IS957" s="0"/>
      <c r="IT957" s="0"/>
      <c r="IU957" s="0"/>
      <c r="IV957" s="0"/>
    </row>
    <row r="958" customFormat="false" ht="15.75" hidden="false" customHeight="true" outlineLevel="0" collapsed="false">
      <c r="A958" s="1282" t="s">
        <v>1657</v>
      </c>
      <c r="B958" s="1282"/>
      <c r="C958" s="1282"/>
      <c r="D958" s="1240" t="n">
        <f aca="false">MIN(1,COUNTIF(D959:D960,"oui"))</f>
        <v>1</v>
      </c>
      <c r="E958" s="0"/>
      <c r="F958" s="14" t="s">
        <v>732</v>
      </c>
      <c r="G958" s="0"/>
      <c r="H958" s="0"/>
      <c r="I958" s="0"/>
      <c r="J958" s="1240" t="n">
        <f aca="false">MIN(1,COUNTIF(J959:J962,"oui"))</f>
        <v>1</v>
      </c>
      <c r="K958" s="0"/>
      <c r="L958" s="0" t="s">
        <v>1623</v>
      </c>
      <c r="M958" s="0"/>
      <c r="N958" s="0"/>
      <c r="O958" s="0"/>
      <c r="P958" s="0"/>
      <c r="Q958" s="0"/>
      <c r="R958" s="0"/>
      <c r="S958" s="0"/>
      <c r="T958" s="0"/>
      <c r="U958" s="0"/>
      <c r="V958" s="0"/>
      <c r="W958" s="0"/>
      <c r="X958" s="0"/>
      <c r="Y958" s="0"/>
      <c r="Z958" s="0"/>
      <c r="AA958" s="0"/>
      <c r="AB958" s="0"/>
      <c r="AC958" s="0"/>
      <c r="AD958" s="0"/>
      <c r="AE958" s="0"/>
      <c r="AF958" s="0"/>
      <c r="AG958" s="0"/>
      <c r="AH958" s="0"/>
      <c r="AI958" s="0"/>
      <c r="AJ958" s="0"/>
      <c r="AK958" s="0"/>
      <c r="AL958" s="0"/>
      <c r="AM958" s="0"/>
      <c r="AN958" s="0"/>
      <c r="AO958" s="0"/>
      <c r="AP958" s="0"/>
      <c r="AQ958" s="0"/>
      <c r="AR958" s="0"/>
      <c r="AS958" s="0"/>
      <c r="AT958" s="0"/>
      <c r="AU958" s="0"/>
      <c r="AV958" s="0"/>
      <c r="AW958" s="0"/>
      <c r="AX958" s="0"/>
      <c r="AY958" s="0"/>
      <c r="AZ958" s="0"/>
      <c r="BA958" s="0"/>
      <c r="BB958" s="0"/>
      <c r="BC958" s="0"/>
      <c r="BD958" s="0"/>
      <c r="BE958" s="0"/>
      <c r="BF958" s="0"/>
      <c r="BG958" s="0"/>
      <c r="BH958" s="0"/>
      <c r="BI958" s="0"/>
      <c r="BJ958" s="0"/>
      <c r="BK958" s="0"/>
      <c r="BL958" s="0"/>
      <c r="BM958" s="0"/>
      <c r="BN958" s="0"/>
      <c r="BO958" s="0"/>
      <c r="BP958" s="0"/>
      <c r="BQ958" s="0"/>
      <c r="BR958" s="0"/>
      <c r="BS958" s="0"/>
      <c r="BT958" s="0"/>
      <c r="BU958" s="0"/>
      <c r="BV958" s="0"/>
      <c r="BW958" s="0"/>
      <c r="BX958" s="0"/>
      <c r="BY958" s="0"/>
      <c r="BZ958" s="0"/>
      <c r="CA958" s="0"/>
      <c r="CB958" s="0"/>
      <c r="CC958" s="0"/>
      <c r="CD958" s="0"/>
      <c r="CE958" s="0"/>
      <c r="CF958" s="0"/>
      <c r="CG958" s="0"/>
      <c r="CH958" s="0"/>
      <c r="CI958" s="0"/>
      <c r="CJ958" s="0"/>
      <c r="CK958" s="0"/>
      <c r="CL958" s="0"/>
      <c r="CM958" s="0"/>
      <c r="CN958" s="0"/>
      <c r="CO958" s="0"/>
      <c r="CP958" s="0"/>
      <c r="CQ958" s="0"/>
      <c r="CR958" s="0"/>
      <c r="CS958" s="0"/>
      <c r="CT958" s="0"/>
      <c r="CU958" s="0"/>
      <c r="CV958" s="0"/>
      <c r="CW958" s="0"/>
      <c r="CX958" s="0"/>
      <c r="CY958" s="0"/>
      <c r="CZ958" s="0"/>
      <c r="DA958" s="0"/>
      <c r="DB958" s="0"/>
      <c r="DC958" s="0"/>
      <c r="DD958" s="0"/>
      <c r="DE958" s="0"/>
      <c r="DF958" s="0"/>
      <c r="DG958" s="0"/>
      <c r="DH958" s="0"/>
      <c r="DI958" s="0"/>
      <c r="DJ958" s="0"/>
      <c r="DK958" s="0"/>
      <c r="DL958" s="0"/>
      <c r="DM958" s="0"/>
      <c r="DN958" s="0"/>
      <c r="DO958" s="0"/>
      <c r="DP958" s="0"/>
      <c r="DQ958" s="0"/>
      <c r="DR958" s="0"/>
      <c r="DS958" s="0"/>
      <c r="DT958" s="0"/>
      <c r="DU958" s="0"/>
      <c r="DV958" s="0"/>
      <c r="DW958" s="0"/>
      <c r="DX958" s="0"/>
      <c r="DY958" s="0"/>
      <c r="DZ958" s="0"/>
      <c r="EA958" s="0"/>
      <c r="EB958" s="0"/>
      <c r="EC958" s="0"/>
      <c r="ED958" s="0"/>
      <c r="EE958" s="0"/>
      <c r="EF958" s="0"/>
      <c r="EG958" s="0"/>
      <c r="EH958" s="0"/>
      <c r="EI958" s="0"/>
      <c r="EJ958" s="0"/>
      <c r="EK958" s="0"/>
      <c r="EL958" s="0"/>
      <c r="EM958" s="0"/>
      <c r="EN958" s="0"/>
      <c r="EO958" s="0"/>
      <c r="EP958" s="0"/>
      <c r="EQ958" s="0"/>
      <c r="ER958" s="0"/>
      <c r="ES958" s="0"/>
      <c r="ET958" s="0"/>
      <c r="EU958" s="0"/>
      <c r="EV958" s="0"/>
      <c r="EW958" s="0"/>
      <c r="EX958" s="0"/>
      <c r="EY958" s="0"/>
      <c r="EZ958" s="0"/>
      <c r="FA958" s="0"/>
      <c r="FB958" s="0"/>
      <c r="FC958" s="0"/>
      <c r="FD958" s="0"/>
      <c r="FE958" s="0"/>
      <c r="FF958" s="0"/>
      <c r="FG958" s="0"/>
      <c r="FH958" s="0"/>
      <c r="FI958" s="0"/>
      <c r="FJ958" s="0"/>
      <c r="FK958" s="0"/>
      <c r="FL958" s="0"/>
      <c r="FM958" s="0"/>
      <c r="FN958" s="0"/>
      <c r="FO958" s="0"/>
      <c r="FP958" s="0"/>
      <c r="FQ958" s="0"/>
      <c r="FR958" s="0"/>
      <c r="FS958" s="0"/>
      <c r="FT958" s="0"/>
      <c r="FU958" s="0"/>
      <c r="FV958" s="0"/>
      <c r="FW958" s="0"/>
      <c r="FX958" s="0"/>
      <c r="FY958" s="0"/>
      <c r="FZ958" s="0"/>
      <c r="GA958" s="0"/>
      <c r="GB958" s="0"/>
      <c r="GC958" s="0"/>
      <c r="GD958" s="0"/>
      <c r="GE958" s="0"/>
      <c r="GF958" s="0"/>
      <c r="GG958" s="0"/>
      <c r="GH958" s="0"/>
      <c r="GI958" s="0"/>
      <c r="GJ958" s="0"/>
      <c r="GK958" s="0"/>
      <c r="GL958" s="0"/>
      <c r="GM958" s="0"/>
      <c r="GN958" s="0"/>
      <c r="GO958" s="0"/>
      <c r="GP958" s="0"/>
      <c r="GQ958" s="0"/>
      <c r="GR958" s="0"/>
      <c r="GS958" s="0"/>
      <c r="GT958" s="0"/>
      <c r="GU958" s="0"/>
      <c r="GV958" s="0"/>
      <c r="GW958" s="0"/>
      <c r="GX958" s="0"/>
      <c r="GY958" s="0"/>
      <c r="GZ958" s="0"/>
      <c r="HA958" s="0"/>
      <c r="HB958" s="0"/>
      <c r="HC958" s="0"/>
      <c r="HD958" s="0"/>
      <c r="HE958" s="0"/>
      <c r="HF958" s="0"/>
      <c r="HG958" s="0"/>
      <c r="HH958" s="0"/>
      <c r="HI958" s="0"/>
      <c r="HJ958" s="0"/>
      <c r="HK958" s="0"/>
      <c r="HL958" s="0"/>
      <c r="HM958" s="0"/>
      <c r="HN958" s="0"/>
      <c r="HO958" s="0"/>
      <c r="HP958" s="0"/>
      <c r="HQ958" s="0"/>
      <c r="HR958" s="0"/>
      <c r="HS958" s="0"/>
      <c r="HT958" s="0"/>
      <c r="HU958" s="0"/>
      <c r="HV958" s="0"/>
      <c r="HW958" s="0"/>
      <c r="HX958" s="0"/>
      <c r="HY958" s="0"/>
      <c r="HZ958" s="0"/>
      <c r="IA958" s="0"/>
      <c r="IB958" s="0"/>
      <c r="IC958" s="0"/>
      <c r="ID958" s="0"/>
      <c r="IE958" s="0"/>
      <c r="IF958" s="0"/>
      <c r="IG958" s="0"/>
      <c r="IH958" s="0"/>
      <c r="II958" s="0"/>
      <c r="IJ958" s="0"/>
      <c r="IK958" s="0"/>
      <c r="IL958" s="0"/>
      <c r="IM958" s="0"/>
      <c r="IN958" s="0"/>
      <c r="IO958" s="0"/>
      <c r="IP958" s="0"/>
      <c r="IQ958" s="0"/>
      <c r="IR958" s="0"/>
      <c r="IS958" s="0"/>
      <c r="IT958" s="0"/>
      <c r="IU958" s="0"/>
      <c r="IV958" s="0"/>
    </row>
    <row r="959" customFormat="false" ht="15.75" hidden="false" customHeight="true" outlineLevel="0" collapsed="false">
      <c r="A959" s="1283" t="s">
        <v>730</v>
      </c>
      <c r="B959" s="1283"/>
      <c r="C959" s="1283"/>
      <c r="D959" s="950" t="s">
        <v>253</v>
      </c>
      <c r="E959" s="1284"/>
      <c r="F959" s="1259" t="s">
        <v>1658</v>
      </c>
      <c r="G959" s="1259"/>
      <c r="H959" s="1259"/>
      <c r="I959" s="1259"/>
      <c r="J959" s="950" t="s">
        <v>253</v>
      </c>
      <c r="K959" s="1285"/>
      <c r="L959" s="877"/>
      <c r="M959" s="0"/>
      <c r="N959" s="0"/>
      <c r="O959" s="0"/>
      <c r="P959" s="0"/>
      <c r="Q959" s="0"/>
      <c r="R959" s="0"/>
      <c r="S959" s="0"/>
      <c r="T959" s="0"/>
      <c r="U959" s="0"/>
      <c r="V959" s="0"/>
      <c r="W959" s="0"/>
      <c r="X959" s="0"/>
      <c r="Y959" s="0"/>
      <c r="Z959" s="0"/>
      <c r="AA959" s="0"/>
      <c r="AB959" s="0"/>
      <c r="AC959" s="0"/>
      <c r="AD959" s="0"/>
      <c r="AE959" s="0"/>
      <c r="AF959" s="0"/>
      <c r="AG959" s="0"/>
      <c r="AH959" s="0"/>
      <c r="AI959" s="0"/>
      <c r="AJ959" s="0"/>
      <c r="AK959" s="0"/>
      <c r="AL959" s="0"/>
      <c r="AM959" s="0"/>
      <c r="AN959" s="0"/>
      <c r="AO959" s="0"/>
      <c r="AP959" s="0"/>
      <c r="AQ959" s="0"/>
      <c r="AR959" s="0"/>
      <c r="AS959" s="0"/>
      <c r="AT959" s="0"/>
      <c r="AU959" s="0"/>
      <c r="AV959" s="0"/>
      <c r="AW959" s="0"/>
      <c r="AX959" s="0"/>
      <c r="AY959" s="0"/>
      <c r="AZ959" s="0"/>
      <c r="BA959" s="0"/>
      <c r="BB959" s="0"/>
      <c r="BC959" s="0"/>
      <c r="BD959" s="0"/>
      <c r="BE959" s="0"/>
      <c r="BF959" s="0"/>
      <c r="BG959" s="0"/>
      <c r="BH959" s="0"/>
      <c r="BI959" s="0"/>
      <c r="BJ959" s="0"/>
      <c r="BK959" s="0"/>
      <c r="BL959" s="0"/>
      <c r="BM959" s="0"/>
      <c r="BN959" s="0"/>
      <c r="BO959" s="0"/>
      <c r="BP959" s="0"/>
      <c r="BQ959" s="0"/>
      <c r="BR959" s="0"/>
      <c r="BS959" s="0"/>
      <c r="BT959" s="0"/>
      <c r="BU959" s="0"/>
      <c r="BV959" s="0"/>
      <c r="BW959" s="0"/>
      <c r="BX959" s="0"/>
      <c r="BY959" s="0"/>
      <c r="BZ959" s="0"/>
      <c r="CA959" s="0"/>
      <c r="CB959" s="0"/>
      <c r="CC959" s="0"/>
      <c r="CD959" s="0"/>
      <c r="CE959" s="0"/>
      <c r="CF959" s="0"/>
      <c r="CG959" s="0"/>
      <c r="CH959" s="0"/>
      <c r="CI959" s="0"/>
      <c r="CJ959" s="0"/>
      <c r="CK959" s="0"/>
      <c r="CL959" s="0"/>
      <c r="CM959" s="0"/>
      <c r="CN959" s="0"/>
      <c r="CO959" s="0"/>
      <c r="CP959" s="0"/>
      <c r="CQ959" s="0"/>
      <c r="CR959" s="0"/>
      <c r="CS959" s="0"/>
      <c r="CT959" s="0"/>
      <c r="CU959" s="0"/>
      <c r="CV959" s="0"/>
      <c r="CW959" s="0"/>
      <c r="CX959" s="0"/>
      <c r="CY959" s="0"/>
      <c r="CZ959" s="0"/>
      <c r="DA959" s="0"/>
      <c r="DB959" s="0"/>
      <c r="DC959" s="0"/>
      <c r="DD959" s="0"/>
      <c r="DE959" s="0"/>
      <c r="DF959" s="0"/>
      <c r="DG959" s="0"/>
      <c r="DH959" s="0"/>
      <c r="DI959" s="0"/>
      <c r="DJ959" s="0"/>
      <c r="DK959" s="0"/>
      <c r="DL959" s="0"/>
      <c r="DM959" s="0"/>
      <c r="DN959" s="0"/>
      <c r="DO959" s="0"/>
      <c r="DP959" s="0"/>
      <c r="DQ959" s="0"/>
      <c r="DR959" s="0"/>
      <c r="DS959" s="0"/>
      <c r="DT959" s="0"/>
      <c r="DU959" s="0"/>
      <c r="DV959" s="0"/>
      <c r="DW959" s="0"/>
      <c r="DX959" s="0"/>
      <c r="DY959" s="0"/>
      <c r="DZ959" s="0"/>
      <c r="EA959" s="0"/>
      <c r="EB959" s="0"/>
      <c r="EC959" s="0"/>
      <c r="ED959" s="0"/>
      <c r="EE959" s="0"/>
      <c r="EF959" s="0"/>
      <c r="EG959" s="0"/>
      <c r="EH959" s="0"/>
      <c r="EI959" s="0"/>
      <c r="EJ959" s="0"/>
      <c r="EK959" s="0"/>
      <c r="EL959" s="0"/>
      <c r="EM959" s="0"/>
      <c r="EN959" s="0"/>
      <c r="EO959" s="0"/>
      <c r="EP959" s="0"/>
      <c r="EQ959" s="0"/>
      <c r="ER959" s="0"/>
      <c r="ES959" s="0"/>
      <c r="ET959" s="0"/>
      <c r="EU959" s="0"/>
      <c r="EV959" s="0"/>
      <c r="EW959" s="0"/>
      <c r="EX959" s="0"/>
      <c r="EY959" s="0"/>
      <c r="EZ959" s="0"/>
      <c r="FA959" s="0"/>
      <c r="FB959" s="0"/>
      <c r="FC959" s="0"/>
      <c r="FD959" s="0"/>
      <c r="FE959" s="0"/>
      <c r="FF959" s="0"/>
      <c r="FG959" s="0"/>
      <c r="FH959" s="0"/>
      <c r="FI959" s="0"/>
      <c r="FJ959" s="0"/>
      <c r="FK959" s="0"/>
      <c r="FL959" s="0"/>
      <c r="FM959" s="0"/>
      <c r="FN959" s="0"/>
      <c r="FO959" s="0"/>
      <c r="FP959" s="0"/>
      <c r="FQ959" s="0"/>
      <c r="FR959" s="0"/>
      <c r="FS959" s="0"/>
      <c r="FT959" s="0"/>
      <c r="FU959" s="0"/>
      <c r="FV959" s="0"/>
      <c r="FW959" s="0"/>
      <c r="FX959" s="0"/>
      <c r="FY959" s="0"/>
      <c r="FZ959" s="0"/>
      <c r="GA959" s="0"/>
      <c r="GB959" s="0"/>
      <c r="GC959" s="0"/>
      <c r="GD959" s="0"/>
      <c r="GE959" s="0"/>
      <c r="GF959" s="0"/>
      <c r="GG959" s="0"/>
      <c r="GH959" s="0"/>
      <c r="GI959" s="0"/>
      <c r="GJ959" s="0"/>
      <c r="GK959" s="0"/>
      <c r="GL959" s="0"/>
      <c r="GM959" s="0"/>
      <c r="GN959" s="0"/>
      <c r="GO959" s="0"/>
      <c r="GP959" s="0"/>
      <c r="GQ959" s="0"/>
      <c r="GR959" s="0"/>
      <c r="GS959" s="0"/>
      <c r="GT959" s="0"/>
      <c r="GU959" s="0"/>
      <c r="GV959" s="0"/>
      <c r="GW959" s="0"/>
      <c r="GX959" s="0"/>
      <c r="GY959" s="0"/>
      <c r="GZ959" s="0"/>
      <c r="HA959" s="0"/>
      <c r="HB959" s="0"/>
      <c r="HC959" s="0"/>
      <c r="HD959" s="0"/>
      <c r="HE959" s="0"/>
      <c r="HF959" s="0"/>
      <c r="HG959" s="0"/>
      <c r="HH959" s="0"/>
      <c r="HI959" s="0"/>
      <c r="HJ959" s="0"/>
      <c r="HK959" s="0"/>
      <c r="HL959" s="0"/>
      <c r="HM959" s="0"/>
      <c r="HN959" s="0"/>
      <c r="HO959" s="0"/>
      <c r="HP959" s="0"/>
      <c r="HQ959" s="0"/>
      <c r="HR959" s="0"/>
      <c r="HS959" s="0"/>
      <c r="HT959" s="0"/>
      <c r="HU959" s="0"/>
      <c r="HV959" s="0"/>
      <c r="HW959" s="0"/>
      <c r="HX959" s="0"/>
      <c r="HY959" s="0"/>
      <c r="HZ959" s="0"/>
      <c r="IA959" s="0"/>
      <c r="IB959" s="0"/>
      <c r="IC959" s="0"/>
      <c r="ID959" s="0"/>
      <c r="IE959" s="0"/>
      <c r="IF959" s="0"/>
      <c r="IG959" s="0"/>
      <c r="IH959" s="0"/>
      <c r="II959" s="0"/>
      <c r="IJ959" s="0"/>
      <c r="IK959" s="0"/>
      <c r="IL959" s="0"/>
      <c r="IM959" s="0"/>
      <c r="IN959" s="0"/>
      <c r="IO959" s="0"/>
      <c r="IP959" s="0"/>
      <c r="IQ959" s="0"/>
      <c r="IR959" s="0"/>
      <c r="IS959" s="0"/>
      <c r="IT959" s="0"/>
      <c r="IU959" s="0"/>
      <c r="IV959" s="0"/>
    </row>
    <row r="960" customFormat="false" ht="30" hidden="false" customHeight="true" outlineLevel="0" collapsed="false">
      <c r="A960" s="1286" t="s">
        <v>1659</v>
      </c>
      <c r="B960" s="1286"/>
      <c r="C960" s="1286"/>
      <c r="D960" s="950" t="s">
        <v>253</v>
      </c>
      <c r="E960" s="1284"/>
      <c r="F960" s="309" t="s">
        <v>1660</v>
      </c>
      <c r="G960" s="309"/>
      <c r="H960" s="309"/>
      <c r="I960" s="309"/>
      <c r="J960" s="950" t="s">
        <v>1661</v>
      </c>
      <c r="K960" s="1285"/>
      <c r="L960" s="877"/>
      <c r="M960" s="0"/>
      <c r="T960" s="0"/>
      <c r="U960" s="0"/>
      <c r="V960" s="0"/>
      <c r="W960" s="0"/>
      <c r="X960" s="0"/>
      <c r="Y960" s="0"/>
      <c r="Z960" s="0"/>
      <c r="AA960" s="0"/>
      <c r="AB960" s="0"/>
      <c r="AC960" s="0"/>
      <c r="AD960" s="0"/>
      <c r="AE960" s="0"/>
      <c r="AF960" s="0"/>
      <c r="AG960" s="0"/>
      <c r="AH960" s="0"/>
      <c r="AI960" s="0"/>
      <c r="AJ960" s="0"/>
      <c r="AK960" s="0"/>
      <c r="AL960" s="0"/>
      <c r="AM960" s="0"/>
      <c r="AN960" s="0"/>
      <c r="AO960" s="0"/>
      <c r="AP960" s="0"/>
      <c r="AQ960" s="0"/>
      <c r="AR960" s="0"/>
      <c r="AS960" s="0"/>
      <c r="AT960" s="0"/>
      <c r="AU960" s="0"/>
      <c r="AV960" s="0"/>
      <c r="AW960" s="0"/>
      <c r="AX960" s="0"/>
      <c r="AY960" s="0"/>
      <c r="AZ960" s="0"/>
      <c r="BA960" s="0"/>
      <c r="BB960" s="0"/>
      <c r="BC960" s="0"/>
      <c r="BD960" s="0"/>
      <c r="BE960" s="0"/>
      <c r="BF960" s="0"/>
      <c r="BG960" s="0"/>
      <c r="BH960" s="0"/>
      <c r="BI960" s="0"/>
      <c r="BJ960" s="0"/>
      <c r="BK960" s="0"/>
      <c r="BL960" s="0"/>
      <c r="BM960" s="0"/>
      <c r="BN960" s="0"/>
      <c r="BO960" s="0"/>
      <c r="BP960" s="0"/>
      <c r="BQ960" s="0"/>
      <c r="BR960" s="0"/>
      <c r="BS960" s="0"/>
      <c r="BT960" s="0"/>
      <c r="BU960" s="0"/>
      <c r="BV960" s="0"/>
      <c r="BW960" s="0"/>
      <c r="BX960" s="0"/>
      <c r="BY960" s="0"/>
      <c r="BZ960" s="0"/>
      <c r="CA960" s="0"/>
      <c r="CB960" s="0"/>
      <c r="CC960" s="0"/>
      <c r="CD960" s="0"/>
      <c r="CE960" s="0"/>
      <c r="CF960" s="0"/>
      <c r="CG960" s="0"/>
      <c r="CH960" s="0"/>
      <c r="CI960" s="0"/>
      <c r="CJ960" s="0"/>
      <c r="CK960" s="0"/>
      <c r="CL960" s="0"/>
      <c r="CM960" s="0"/>
      <c r="CN960" s="0"/>
      <c r="CO960" s="0"/>
      <c r="CP960" s="0"/>
      <c r="CQ960" s="0"/>
      <c r="CR960" s="0"/>
      <c r="CS960" s="0"/>
      <c r="CT960" s="0"/>
      <c r="CU960" s="0"/>
      <c r="CV960" s="0"/>
      <c r="CW960" s="0"/>
      <c r="CX960" s="0"/>
      <c r="CY960" s="0"/>
      <c r="CZ960" s="0"/>
      <c r="DA960" s="0"/>
      <c r="DB960" s="0"/>
      <c r="DC960" s="0"/>
      <c r="DD960" s="0"/>
      <c r="DE960" s="0"/>
      <c r="DF960" s="0"/>
      <c r="DG960" s="0"/>
      <c r="DH960" s="0"/>
      <c r="DI960" s="0"/>
      <c r="DJ960" s="0"/>
      <c r="DK960" s="0"/>
      <c r="DL960" s="0"/>
      <c r="DM960" s="0"/>
      <c r="DN960" s="0"/>
      <c r="DO960" s="0"/>
      <c r="DP960" s="0"/>
      <c r="DQ960" s="0"/>
      <c r="DR960" s="0"/>
      <c r="DS960" s="0"/>
      <c r="DT960" s="0"/>
      <c r="DU960" s="0"/>
      <c r="DV960" s="0"/>
      <c r="DW960" s="0"/>
      <c r="DX960" s="0"/>
      <c r="DY960" s="0"/>
      <c r="DZ960" s="0"/>
      <c r="EA960" s="0"/>
      <c r="EB960" s="0"/>
      <c r="EC960" s="0"/>
      <c r="ED960" s="0"/>
      <c r="EE960" s="0"/>
      <c r="EF960" s="0"/>
      <c r="EG960" s="0"/>
      <c r="EH960" s="0"/>
      <c r="EI960" s="0"/>
      <c r="EJ960" s="0"/>
      <c r="EK960" s="0"/>
      <c r="EL960" s="0"/>
      <c r="EM960" s="0"/>
      <c r="EN960" s="0"/>
      <c r="EO960" s="0"/>
      <c r="EP960" s="0"/>
      <c r="EQ960" s="0"/>
      <c r="ER960" s="0"/>
      <c r="ES960" s="0"/>
      <c r="ET960" s="0"/>
      <c r="EU960" s="0"/>
      <c r="EV960" s="0"/>
      <c r="EW960" s="0"/>
      <c r="EX960" s="0"/>
      <c r="EY960" s="0"/>
      <c r="EZ960" s="0"/>
      <c r="FA960" s="0"/>
      <c r="FB960" s="0"/>
      <c r="FC960" s="0"/>
      <c r="FD960" s="0"/>
      <c r="FE960" s="0"/>
      <c r="FF960" s="0"/>
      <c r="FG960" s="0"/>
      <c r="FH960" s="0"/>
      <c r="FI960" s="0"/>
      <c r="FJ960" s="0"/>
      <c r="FK960" s="0"/>
      <c r="FL960" s="0"/>
      <c r="FM960" s="0"/>
      <c r="FN960" s="0"/>
      <c r="FO960" s="0"/>
      <c r="FP960" s="0"/>
      <c r="FQ960" s="0"/>
      <c r="FR960" s="0"/>
      <c r="FS960" s="0"/>
      <c r="FT960" s="0"/>
      <c r="FU960" s="0"/>
      <c r="FV960" s="0"/>
      <c r="FW960" s="0"/>
      <c r="FX960" s="0"/>
      <c r="FY960" s="0"/>
      <c r="FZ960" s="0"/>
      <c r="GA960" s="0"/>
      <c r="GB960" s="0"/>
      <c r="GC960" s="0"/>
      <c r="GD960" s="0"/>
      <c r="GE960" s="0"/>
      <c r="GF960" s="0"/>
      <c r="GG960" s="0"/>
      <c r="GH960" s="0"/>
      <c r="GI960" s="0"/>
      <c r="GJ960" s="0"/>
      <c r="GK960" s="0"/>
      <c r="GL960" s="0"/>
      <c r="GM960" s="0"/>
      <c r="GN960" s="0"/>
      <c r="GO960" s="0"/>
      <c r="GP960" s="0"/>
      <c r="GQ960" s="0"/>
      <c r="GR960" s="0"/>
      <c r="GS960" s="0"/>
      <c r="GT960" s="0"/>
      <c r="GU960" s="0"/>
      <c r="GV960" s="0"/>
      <c r="GW960" s="0"/>
      <c r="GX960" s="0"/>
      <c r="GY960" s="0"/>
      <c r="GZ960" s="0"/>
      <c r="HA960" s="0"/>
      <c r="HB960" s="0"/>
      <c r="HC960" s="0"/>
      <c r="HD960" s="0"/>
      <c r="HE960" s="0"/>
      <c r="HF960" s="0"/>
      <c r="HG960" s="0"/>
      <c r="HH960" s="0"/>
      <c r="HI960" s="0"/>
      <c r="HJ960" s="0"/>
      <c r="HK960" s="0"/>
      <c r="HL960" s="0"/>
      <c r="HM960" s="0"/>
      <c r="HN960" s="0"/>
      <c r="HO960" s="0"/>
      <c r="HP960" s="0"/>
      <c r="HQ960" s="0"/>
      <c r="HR960" s="0"/>
      <c r="HS960" s="0"/>
      <c r="HT960" s="0"/>
      <c r="HU960" s="0"/>
      <c r="HV960" s="0"/>
      <c r="HW960" s="0"/>
      <c r="HX960" s="0"/>
      <c r="HY960" s="0"/>
      <c r="HZ960" s="0"/>
      <c r="IA960" s="0"/>
      <c r="IB960" s="0"/>
      <c r="IC960" s="0"/>
      <c r="ID960" s="0"/>
      <c r="IE960" s="0"/>
      <c r="IF960" s="0"/>
      <c r="IG960" s="0"/>
      <c r="IH960" s="0"/>
      <c r="II960" s="0"/>
      <c r="IJ960" s="0"/>
      <c r="IK960" s="0"/>
      <c r="IL960" s="0"/>
      <c r="IM960" s="0"/>
      <c r="IN960" s="0"/>
      <c r="IO960" s="0"/>
      <c r="IP960" s="0"/>
      <c r="IQ960" s="0"/>
      <c r="IR960" s="0"/>
      <c r="IS960" s="0"/>
      <c r="IT960" s="0"/>
      <c r="IU960" s="0"/>
      <c r="IV960" s="0"/>
    </row>
    <row r="961" customFormat="false" ht="19.5" hidden="false" customHeight="true" outlineLevel="0" collapsed="false">
      <c r="A961" s="1287"/>
      <c r="B961" s="1287"/>
      <c r="C961" s="1287"/>
      <c r="D961" s="1287"/>
      <c r="E961" s="1287"/>
      <c r="F961" s="309" t="s">
        <v>1662</v>
      </c>
      <c r="G961" s="309"/>
      <c r="H961" s="309"/>
      <c r="I961" s="309"/>
      <c r="J961" s="950" t="s">
        <v>253</v>
      </c>
      <c r="K961" s="1285"/>
      <c r="L961" s="877"/>
      <c r="M961" s="0"/>
      <c r="N961" s="0"/>
      <c r="O961" s="0"/>
      <c r="P961" s="0"/>
      <c r="Q961" s="0"/>
      <c r="R961" s="0"/>
      <c r="S961" s="0"/>
      <c r="T961" s="0"/>
      <c r="U961" s="0"/>
      <c r="V961" s="0"/>
      <c r="W961" s="0"/>
      <c r="X961" s="0"/>
      <c r="Y961" s="0"/>
      <c r="Z961" s="0"/>
      <c r="AA961" s="0"/>
      <c r="AB961" s="0"/>
      <c r="AC961" s="0"/>
      <c r="AD961" s="0"/>
      <c r="AE961" s="0"/>
      <c r="AF961" s="0"/>
      <c r="AG961" s="0"/>
      <c r="AH961" s="0"/>
      <c r="AI961" s="0"/>
      <c r="AJ961" s="0"/>
      <c r="AK961" s="0"/>
      <c r="AL961" s="0"/>
      <c r="AM961" s="0"/>
      <c r="AN961" s="0"/>
      <c r="AO961" s="0"/>
      <c r="AP961" s="0"/>
      <c r="AQ961" s="0"/>
      <c r="AR961" s="0"/>
      <c r="AS961" s="0"/>
      <c r="AT961" s="0"/>
      <c r="AU961" s="0"/>
      <c r="AV961" s="0"/>
      <c r="AW961" s="0"/>
      <c r="AX961" s="0"/>
      <c r="AY961" s="0"/>
      <c r="AZ961" s="0"/>
      <c r="BA961" s="0"/>
      <c r="BB961" s="0"/>
      <c r="BC961" s="0"/>
      <c r="BD961" s="0"/>
      <c r="BE961" s="0"/>
      <c r="BF961" s="0"/>
      <c r="BG961" s="0"/>
      <c r="BH961" s="0"/>
      <c r="BI961" s="0"/>
      <c r="BJ961" s="0"/>
      <c r="BK961" s="0"/>
      <c r="BL961" s="0"/>
      <c r="BM961" s="0"/>
      <c r="BN961" s="0"/>
      <c r="BO961" s="0"/>
      <c r="BP961" s="0"/>
      <c r="BQ961" s="0"/>
      <c r="BR961" s="0"/>
      <c r="BS961" s="0"/>
      <c r="BT961" s="0"/>
      <c r="BU961" s="0"/>
      <c r="BV961" s="0"/>
      <c r="BW961" s="0"/>
      <c r="BX961" s="0"/>
      <c r="BY961" s="0"/>
      <c r="BZ961" s="0"/>
      <c r="CA961" s="0"/>
      <c r="CB961" s="0"/>
      <c r="CC961" s="0"/>
      <c r="CD961" s="0"/>
      <c r="CE961" s="0"/>
      <c r="CF961" s="0"/>
      <c r="CG961" s="0"/>
      <c r="CH961" s="0"/>
      <c r="CI961" s="0"/>
      <c r="CJ961" s="0"/>
      <c r="CK961" s="0"/>
      <c r="CL961" s="0"/>
      <c r="CM961" s="0"/>
      <c r="CN961" s="0"/>
      <c r="CO961" s="0"/>
      <c r="CP961" s="0"/>
      <c r="CQ961" s="0"/>
      <c r="CR961" s="0"/>
      <c r="CS961" s="0"/>
      <c r="CT961" s="0"/>
      <c r="CU961" s="0"/>
      <c r="CV961" s="0"/>
      <c r="CW961" s="0"/>
      <c r="CX961" s="0"/>
      <c r="CY961" s="0"/>
      <c r="CZ961" s="0"/>
      <c r="DA961" s="0"/>
      <c r="DB961" s="0"/>
      <c r="DC961" s="0"/>
      <c r="DD961" s="0"/>
      <c r="DE961" s="0"/>
      <c r="DF961" s="0"/>
      <c r="DG961" s="0"/>
      <c r="DH961" s="0"/>
      <c r="DI961" s="0"/>
      <c r="DJ961" s="0"/>
      <c r="DK961" s="0"/>
      <c r="DL961" s="0"/>
      <c r="DM961" s="0"/>
      <c r="DN961" s="0"/>
      <c r="DO961" s="0"/>
      <c r="DP961" s="0"/>
      <c r="DQ961" s="0"/>
      <c r="DR961" s="0"/>
      <c r="DS961" s="0"/>
      <c r="DT961" s="0"/>
      <c r="DU961" s="0"/>
      <c r="DV961" s="0"/>
      <c r="DW961" s="0"/>
      <c r="DX961" s="0"/>
      <c r="DY961" s="0"/>
      <c r="DZ961" s="0"/>
      <c r="EA961" s="0"/>
      <c r="EB961" s="0"/>
      <c r="EC961" s="0"/>
      <c r="ED961" s="0"/>
      <c r="EE961" s="0"/>
      <c r="EF961" s="0"/>
      <c r="EG961" s="0"/>
      <c r="EH961" s="0"/>
      <c r="EI961" s="0"/>
      <c r="EJ961" s="0"/>
      <c r="EK961" s="0"/>
      <c r="EL961" s="0"/>
      <c r="EM961" s="0"/>
      <c r="EN961" s="0"/>
      <c r="EO961" s="0"/>
      <c r="EP961" s="0"/>
      <c r="EQ961" s="0"/>
      <c r="ER961" s="0"/>
      <c r="ES961" s="0"/>
      <c r="ET961" s="0"/>
      <c r="EU961" s="0"/>
      <c r="EV961" s="0"/>
      <c r="EW961" s="0"/>
      <c r="EX961" s="0"/>
      <c r="EY961" s="0"/>
      <c r="EZ961" s="0"/>
      <c r="FA961" s="0"/>
      <c r="FB961" s="0"/>
      <c r="FC961" s="0"/>
      <c r="FD961" s="0"/>
      <c r="FE961" s="0"/>
      <c r="FF961" s="0"/>
      <c r="FG961" s="0"/>
      <c r="FH961" s="0"/>
      <c r="FI961" s="0"/>
      <c r="FJ961" s="0"/>
      <c r="FK961" s="0"/>
      <c r="FL961" s="0"/>
      <c r="FM961" s="0"/>
      <c r="FN961" s="0"/>
      <c r="FO961" s="0"/>
      <c r="FP961" s="0"/>
      <c r="FQ961" s="0"/>
      <c r="FR961" s="0"/>
      <c r="FS961" s="0"/>
      <c r="FT961" s="0"/>
      <c r="FU961" s="0"/>
      <c r="FV961" s="0"/>
      <c r="FW961" s="0"/>
      <c r="FX961" s="0"/>
      <c r="FY961" s="0"/>
      <c r="FZ961" s="0"/>
      <c r="GA961" s="0"/>
      <c r="GB961" s="0"/>
      <c r="GC961" s="0"/>
      <c r="GD961" s="0"/>
      <c r="GE961" s="0"/>
      <c r="GF961" s="0"/>
      <c r="GG961" s="0"/>
      <c r="GH961" s="0"/>
      <c r="GI961" s="0"/>
      <c r="GJ961" s="0"/>
      <c r="GK961" s="0"/>
      <c r="GL961" s="0"/>
      <c r="GM961" s="0"/>
      <c r="GN961" s="0"/>
      <c r="GO961" s="0"/>
      <c r="GP961" s="0"/>
      <c r="GQ961" s="0"/>
      <c r="GR961" s="0"/>
      <c r="GS961" s="0"/>
      <c r="GT961" s="0"/>
      <c r="GU961" s="0"/>
      <c r="GV961" s="0"/>
      <c r="GW961" s="0"/>
      <c r="GX961" s="0"/>
      <c r="GY961" s="0"/>
      <c r="GZ961" s="0"/>
      <c r="HA961" s="0"/>
      <c r="HB961" s="0"/>
      <c r="HC961" s="0"/>
      <c r="HD961" s="0"/>
      <c r="HE961" s="0"/>
      <c r="HF961" s="0"/>
      <c r="HG961" s="0"/>
      <c r="HH961" s="0"/>
      <c r="HI961" s="0"/>
      <c r="HJ961" s="0"/>
      <c r="HK961" s="0"/>
      <c r="HL961" s="0"/>
      <c r="HM961" s="0"/>
      <c r="HN961" s="0"/>
      <c r="HO961" s="0"/>
      <c r="HP961" s="0"/>
      <c r="HQ961" s="0"/>
      <c r="HR961" s="0"/>
      <c r="HS961" s="0"/>
      <c r="HT961" s="0"/>
      <c r="HU961" s="0"/>
      <c r="HV961" s="0"/>
      <c r="HW961" s="0"/>
      <c r="HX961" s="0"/>
      <c r="HY961" s="0"/>
      <c r="HZ961" s="0"/>
      <c r="IA961" s="0"/>
      <c r="IB961" s="0"/>
      <c r="IC961" s="0"/>
      <c r="ID961" s="0"/>
      <c r="IE961" s="0"/>
      <c r="IF961" s="0"/>
      <c r="IG961" s="0"/>
      <c r="IH961" s="0"/>
      <c r="II961" s="0"/>
      <c r="IJ961" s="0"/>
      <c r="IK961" s="0"/>
      <c r="IL961" s="0"/>
      <c r="IM961" s="0"/>
      <c r="IN961" s="0"/>
      <c r="IO961" s="0"/>
      <c r="IP961" s="0"/>
      <c r="IQ961" s="0"/>
      <c r="IR961" s="0"/>
      <c r="IS961" s="0"/>
      <c r="IT961" s="0"/>
      <c r="IU961" s="0"/>
      <c r="IV961" s="0"/>
    </row>
    <row r="962" customFormat="false" ht="15.75" hidden="false" customHeight="true" outlineLevel="0" collapsed="false">
      <c r="A962" s="1287"/>
      <c r="B962" s="1287"/>
      <c r="C962" s="1287"/>
      <c r="D962" s="1287"/>
      <c r="E962" s="1287"/>
      <c r="F962" s="446" t="s">
        <v>1663</v>
      </c>
      <c r="J962" s="950" t="s">
        <v>253</v>
      </c>
      <c r="K962" s="1285"/>
      <c r="L962" s="877"/>
    </row>
    <row r="963" customFormat="false" ht="15.75" hidden="false" customHeight="true" outlineLevel="0" collapsed="false">
      <c r="A963" s="1287"/>
      <c r="B963" s="55"/>
      <c r="E963" s="55"/>
      <c r="F963" s="55"/>
      <c r="G963" s="55"/>
      <c r="H963" s="0"/>
      <c r="I963" s="0"/>
      <c r="J963" s="877"/>
      <c r="K963" s="1285"/>
      <c r="L963" s="877"/>
      <c r="M963" s="0"/>
      <c r="N963" s="0"/>
      <c r="O963" s="0"/>
      <c r="P963" s="0"/>
      <c r="Q963" s="0"/>
      <c r="R963" s="0"/>
      <c r="S963" s="0"/>
      <c r="T963" s="0"/>
      <c r="U963" s="0"/>
      <c r="V963" s="0"/>
      <c r="W963" s="0"/>
      <c r="X963" s="0"/>
      <c r="Y963" s="0"/>
      <c r="Z963" s="0"/>
      <c r="AA963" s="0"/>
      <c r="AB963" s="0"/>
      <c r="AC963" s="0"/>
      <c r="AD963" s="0"/>
      <c r="AE963" s="0"/>
      <c r="AF963" s="0"/>
      <c r="AG963" s="0"/>
      <c r="AH963" s="0"/>
      <c r="AI963" s="0"/>
      <c r="AJ963" s="0"/>
      <c r="AK963" s="0"/>
      <c r="AL963" s="0"/>
      <c r="AM963" s="0"/>
      <c r="AN963" s="0"/>
      <c r="AO963" s="0"/>
      <c r="AP963" s="0"/>
      <c r="AQ963" s="0"/>
      <c r="AR963" s="0"/>
      <c r="AS963" s="0"/>
      <c r="AT963" s="0"/>
      <c r="AU963" s="0"/>
      <c r="AV963" s="0"/>
      <c r="AW963" s="0"/>
      <c r="AX963" s="0"/>
      <c r="AY963" s="0"/>
      <c r="AZ963" s="0"/>
      <c r="BA963" s="0"/>
      <c r="BB963" s="0"/>
      <c r="BC963" s="0"/>
      <c r="BD963" s="0"/>
      <c r="BE963" s="0"/>
      <c r="BF963" s="0"/>
      <c r="BG963" s="0"/>
      <c r="BH963" s="0"/>
      <c r="BI963" s="0"/>
      <c r="BJ963" s="0"/>
      <c r="BK963" s="0"/>
      <c r="BL963" s="0"/>
      <c r="BM963" s="0"/>
      <c r="BN963" s="0"/>
      <c r="BO963" s="0"/>
      <c r="BP963" s="0"/>
      <c r="BQ963" s="0"/>
      <c r="BR963" s="0"/>
      <c r="BS963" s="0"/>
      <c r="BT963" s="0"/>
      <c r="BU963" s="0"/>
      <c r="BV963" s="0"/>
      <c r="BW963" s="0"/>
      <c r="BX963" s="0"/>
      <c r="BY963" s="0"/>
      <c r="BZ963" s="0"/>
      <c r="CA963" s="0"/>
      <c r="CB963" s="0"/>
      <c r="CC963" s="0"/>
      <c r="CD963" s="0"/>
      <c r="CE963" s="0"/>
      <c r="CF963" s="0"/>
      <c r="CG963" s="0"/>
      <c r="CH963" s="0"/>
      <c r="CI963" s="0"/>
      <c r="CJ963" s="0"/>
      <c r="CK963" s="0"/>
      <c r="CL963" s="0"/>
      <c r="CM963" s="0"/>
      <c r="CN963" s="0"/>
      <c r="CO963" s="0"/>
      <c r="CP963" s="0"/>
      <c r="CQ963" s="0"/>
      <c r="CR963" s="0"/>
      <c r="CS963" s="0"/>
      <c r="CT963" s="0"/>
      <c r="CU963" s="0"/>
      <c r="CV963" s="0"/>
      <c r="CW963" s="0"/>
      <c r="CX963" s="0"/>
      <c r="CY963" s="0"/>
      <c r="CZ963" s="0"/>
      <c r="DA963" s="0"/>
      <c r="DB963" s="0"/>
      <c r="DC963" s="0"/>
      <c r="DD963" s="0"/>
      <c r="DE963" s="0"/>
      <c r="DF963" s="0"/>
      <c r="DG963" s="0"/>
      <c r="DH963" s="0"/>
      <c r="DI963" s="0"/>
      <c r="DJ963" s="0"/>
      <c r="DK963" s="0"/>
      <c r="DL963" s="0"/>
      <c r="DM963" s="0"/>
      <c r="DN963" s="0"/>
      <c r="DO963" s="0"/>
      <c r="DP963" s="0"/>
      <c r="DQ963" s="0"/>
      <c r="DR963" s="0"/>
      <c r="DS963" s="0"/>
      <c r="DT963" s="0"/>
      <c r="DU963" s="0"/>
      <c r="DV963" s="0"/>
      <c r="DW963" s="0"/>
      <c r="DX963" s="0"/>
      <c r="DY963" s="0"/>
      <c r="DZ963" s="0"/>
      <c r="EA963" s="0"/>
      <c r="EB963" s="0"/>
      <c r="EC963" s="0"/>
      <c r="ED963" s="0"/>
      <c r="EE963" s="0"/>
      <c r="EF963" s="0"/>
      <c r="EG963" s="0"/>
      <c r="EH963" s="0"/>
      <c r="EI963" s="0"/>
      <c r="EJ963" s="0"/>
      <c r="EK963" s="0"/>
      <c r="EL963" s="0"/>
      <c r="EM963" s="0"/>
      <c r="EN963" s="0"/>
      <c r="EO963" s="0"/>
      <c r="EP963" s="0"/>
      <c r="EQ963" s="0"/>
      <c r="ER963" s="0"/>
      <c r="ES963" s="0"/>
      <c r="ET963" s="0"/>
      <c r="EU963" s="0"/>
      <c r="EV963" s="0"/>
      <c r="EW963" s="0"/>
      <c r="EX963" s="0"/>
      <c r="EY963" s="0"/>
      <c r="EZ963" s="0"/>
      <c r="FA963" s="0"/>
      <c r="FB963" s="0"/>
      <c r="FC963" s="0"/>
      <c r="FD963" s="0"/>
      <c r="FE963" s="0"/>
      <c r="FF963" s="0"/>
      <c r="FG963" s="0"/>
      <c r="FH963" s="0"/>
      <c r="FI963" s="0"/>
      <c r="FJ963" s="0"/>
      <c r="FK963" s="0"/>
      <c r="FL963" s="0"/>
      <c r="FM963" s="0"/>
      <c r="FN963" s="0"/>
      <c r="FO963" s="0"/>
      <c r="FP963" s="0"/>
      <c r="FQ963" s="0"/>
      <c r="FR963" s="0"/>
      <c r="FS963" s="0"/>
      <c r="FT963" s="0"/>
      <c r="FU963" s="0"/>
      <c r="FV963" s="0"/>
      <c r="FW963" s="0"/>
      <c r="FX963" s="0"/>
      <c r="FY963" s="0"/>
      <c r="FZ963" s="0"/>
      <c r="GA963" s="0"/>
      <c r="GB963" s="0"/>
      <c r="GC963" s="0"/>
      <c r="GD963" s="0"/>
      <c r="GE963" s="0"/>
      <c r="GF963" s="0"/>
      <c r="GG963" s="0"/>
      <c r="GH963" s="0"/>
      <c r="GI963" s="0"/>
      <c r="GJ963" s="0"/>
      <c r="GK963" s="0"/>
      <c r="GL963" s="0"/>
      <c r="GM963" s="0"/>
      <c r="GN963" s="0"/>
      <c r="GO963" s="0"/>
      <c r="GP963" s="0"/>
      <c r="GQ963" s="0"/>
      <c r="GR963" s="0"/>
      <c r="GS963" s="0"/>
      <c r="GT963" s="0"/>
      <c r="GU963" s="0"/>
      <c r="GV963" s="0"/>
      <c r="GW963" s="0"/>
      <c r="GX963" s="0"/>
      <c r="GY963" s="0"/>
      <c r="GZ963" s="0"/>
      <c r="HA963" s="0"/>
      <c r="HB963" s="0"/>
      <c r="HC963" s="0"/>
      <c r="HD963" s="0"/>
      <c r="HE963" s="0"/>
      <c r="HF963" s="0"/>
      <c r="HG963" s="0"/>
      <c r="HH963" s="0"/>
      <c r="HI963" s="0"/>
      <c r="HJ963" s="0"/>
      <c r="HK963" s="0"/>
      <c r="HL963" s="0"/>
      <c r="HM963" s="0"/>
      <c r="HN963" s="0"/>
      <c r="HO963" s="0"/>
      <c r="HP963" s="0"/>
      <c r="HQ963" s="0"/>
      <c r="HR963" s="0"/>
      <c r="HS963" s="0"/>
      <c r="HT963" s="0"/>
      <c r="HU963" s="0"/>
      <c r="HV963" s="0"/>
      <c r="HW963" s="0"/>
      <c r="HX963" s="0"/>
      <c r="HY963" s="0"/>
      <c r="HZ963" s="0"/>
      <c r="IA963" s="0"/>
      <c r="IB963" s="0"/>
      <c r="IC963" s="0"/>
      <c r="ID963" s="0"/>
      <c r="IE963" s="0"/>
      <c r="IF963" s="0"/>
      <c r="IG963" s="0"/>
      <c r="IH963" s="0"/>
      <c r="II963" s="0"/>
      <c r="IJ963" s="0"/>
      <c r="IK963" s="0"/>
      <c r="IL963" s="0"/>
      <c r="IM963" s="0"/>
      <c r="IN963" s="0"/>
      <c r="IO963" s="0"/>
      <c r="IP963" s="0"/>
      <c r="IQ963" s="0"/>
      <c r="IR963" s="0"/>
      <c r="IS963" s="0"/>
      <c r="IT963" s="0"/>
      <c r="IU963" s="0"/>
      <c r="IV963" s="0"/>
    </row>
    <row r="964" customFormat="false" ht="15.75" hidden="false" customHeight="true" outlineLevel="0" collapsed="false">
      <c r="A964" s="14" t="s">
        <v>738</v>
      </c>
      <c r="D964" s="1257" t="s">
        <v>253</v>
      </c>
      <c r="F964" s="15" t="s">
        <v>1664</v>
      </c>
      <c r="G964" s="1258"/>
      <c r="H964" s="1258"/>
      <c r="K964" s="903"/>
      <c r="L964" s="877"/>
      <c r="M964" s="0"/>
      <c r="N964" s="0"/>
      <c r="O964" s="0"/>
      <c r="P964" s="0"/>
      <c r="Q964" s="0"/>
      <c r="R964" s="0"/>
      <c r="S964" s="0"/>
      <c r="T964" s="0"/>
      <c r="U964" s="0"/>
      <c r="V964" s="0"/>
      <c r="W964" s="0"/>
      <c r="X964" s="0"/>
      <c r="Y964" s="0"/>
      <c r="Z964" s="0"/>
      <c r="AA964" s="0"/>
      <c r="AB964" s="0"/>
      <c r="AC964" s="0"/>
      <c r="AD964" s="0"/>
      <c r="AE964" s="0"/>
      <c r="AF964" s="0"/>
      <c r="AG964" s="0"/>
      <c r="AH964" s="0"/>
      <c r="AI964" s="0"/>
      <c r="AJ964" s="0"/>
      <c r="AK964" s="0"/>
      <c r="AL964" s="0"/>
      <c r="AM964" s="0"/>
      <c r="AN964" s="0"/>
      <c r="AO964" s="0"/>
      <c r="AP964" s="0"/>
      <c r="AQ964" s="0"/>
      <c r="AR964" s="0"/>
      <c r="AS964" s="0"/>
      <c r="AT964" s="0"/>
      <c r="AU964" s="0"/>
      <c r="AV964" s="0"/>
      <c r="AW964" s="0"/>
      <c r="AX964" s="0"/>
      <c r="AY964" s="0"/>
      <c r="AZ964" s="0"/>
      <c r="BA964" s="0"/>
      <c r="BB964" s="0"/>
      <c r="BC964" s="0"/>
      <c r="BD964" s="0"/>
      <c r="BE964" s="0"/>
      <c r="BF964" s="0"/>
      <c r="BG964" s="0"/>
      <c r="BH964" s="0"/>
      <c r="BI964" s="0"/>
      <c r="BJ964" s="0"/>
      <c r="BK964" s="0"/>
      <c r="BL964" s="0"/>
      <c r="BM964" s="0"/>
      <c r="BN964" s="0"/>
      <c r="BO964" s="0"/>
      <c r="BP964" s="0"/>
      <c r="BQ964" s="0"/>
      <c r="BR964" s="0"/>
      <c r="BS964" s="0"/>
      <c r="BT964" s="0"/>
      <c r="BU964" s="0"/>
      <c r="BV964" s="0"/>
      <c r="BW964" s="0"/>
      <c r="BX964" s="0"/>
      <c r="BY964" s="0"/>
      <c r="BZ964" s="0"/>
      <c r="CA964" s="0"/>
      <c r="CB964" s="0"/>
      <c r="CC964" s="0"/>
      <c r="CD964" s="0"/>
      <c r="CE964" s="0"/>
      <c r="CF964" s="0"/>
      <c r="CG964" s="0"/>
      <c r="CH964" s="0"/>
      <c r="CI964" s="0"/>
      <c r="CJ964" s="0"/>
      <c r="CK964" s="0"/>
      <c r="CL964" s="0"/>
      <c r="CM964" s="0"/>
      <c r="CN964" s="0"/>
      <c r="CO964" s="0"/>
      <c r="CP964" s="0"/>
      <c r="CQ964" s="0"/>
      <c r="CR964" s="0"/>
      <c r="CS964" s="0"/>
      <c r="CT964" s="0"/>
      <c r="CU964" s="0"/>
      <c r="CV964" s="0"/>
      <c r="CW964" s="0"/>
      <c r="CX964" s="0"/>
      <c r="CY964" s="0"/>
      <c r="CZ964" s="0"/>
      <c r="DA964" s="0"/>
      <c r="DB964" s="0"/>
      <c r="DC964" s="0"/>
      <c r="DD964" s="0"/>
      <c r="DE964" s="0"/>
      <c r="DF964" s="0"/>
      <c r="DG964" s="0"/>
      <c r="DH964" s="0"/>
      <c r="DI964" s="0"/>
      <c r="DJ964" s="0"/>
      <c r="DK964" s="0"/>
      <c r="DL964" s="0"/>
      <c r="DM964" s="0"/>
      <c r="DN964" s="0"/>
      <c r="DO964" s="0"/>
      <c r="DP964" s="0"/>
      <c r="DQ964" s="0"/>
      <c r="DR964" s="0"/>
      <c r="DS964" s="0"/>
      <c r="DT964" s="0"/>
      <c r="DU964" s="0"/>
      <c r="DV964" s="0"/>
      <c r="DW964" s="0"/>
      <c r="DX964" s="0"/>
      <c r="DY964" s="0"/>
      <c r="DZ964" s="0"/>
      <c r="EA964" s="0"/>
      <c r="EB964" s="0"/>
      <c r="EC964" s="0"/>
      <c r="ED964" s="0"/>
      <c r="EE964" s="0"/>
      <c r="EF964" s="0"/>
      <c r="EG964" s="0"/>
      <c r="EH964" s="0"/>
      <c r="EI964" s="0"/>
      <c r="EJ964" s="0"/>
      <c r="EK964" s="0"/>
      <c r="EL964" s="0"/>
      <c r="EM964" s="0"/>
      <c r="EN964" s="0"/>
      <c r="EO964" s="0"/>
      <c r="EP964" s="0"/>
      <c r="EQ964" s="0"/>
      <c r="ER964" s="0"/>
      <c r="ES964" s="0"/>
      <c r="ET964" s="0"/>
      <c r="EU964" s="0"/>
      <c r="EV964" s="0"/>
      <c r="EW964" s="0"/>
      <c r="EX964" s="0"/>
      <c r="EY964" s="0"/>
      <c r="EZ964" s="0"/>
      <c r="FA964" s="0"/>
      <c r="FB964" s="0"/>
      <c r="FC964" s="0"/>
      <c r="FD964" s="0"/>
      <c r="FE964" s="0"/>
      <c r="FF964" s="0"/>
      <c r="FG964" s="0"/>
      <c r="FH964" s="0"/>
      <c r="FI964" s="0"/>
      <c r="FJ964" s="0"/>
      <c r="FK964" s="0"/>
      <c r="FL964" s="0"/>
      <c r="FM964" s="0"/>
      <c r="FN964" s="0"/>
      <c r="FO964" s="0"/>
      <c r="FP964" s="0"/>
      <c r="FQ964" s="0"/>
      <c r="FR964" s="0"/>
      <c r="FS964" s="0"/>
      <c r="FT964" s="0"/>
      <c r="FU964" s="0"/>
      <c r="FV964" s="0"/>
      <c r="FW964" s="0"/>
      <c r="FX964" s="0"/>
      <c r="FY964" s="0"/>
      <c r="FZ964" s="0"/>
      <c r="GA964" s="0"/>
      <c r="GB964" s="0"/>
      <c r="GC964" s="0"/>
      <c r="GD964" s="0"/>
      <c r="GE964" s="0"/>
      <c r="GF964" s="0"/>
      <c r="GG964" s="0"/>
      <c r="GH964" s="0"/>
      <c r="GI964" s="0"/>
      <c r="GJ964" s="0"/>
      <c r="GK964" s="0"/>
      <c r="GL964" s="0"/>
      <c r="GM964" s="0"/>
      <c r="GN964" s="0"/>
      <c r="GO964" s="0"/>
      <c r="GP964" s="0"/>
      <c r="GQ964" s="0"/>
      <c r="GR964" s="0"/>
      <c r="GS964" s="0"/>
      <c r="GT964" s="0"/>
      <c r="GU964" s="0"/>
      <c r="GV964" s="0"/>
      <c r="GW964" s="0"/>
      <c r="GX964" s="0"/>
      <c r="GY964" s="0"/>
      <c r="GZ964" s="0"/>
      <c r="HA964" s="0"/>
      <c r="HB964" s="0"/>
      <c r="HC964" s="0"/>
      <c r="HD964" s="0"/>
      <c r="HE964" s="0"/>
      <c r="HF964" s="0"/>
      <c r="HG964" s="0"/>
      <c r="HH964" s="0"/>
      <c r="HI964" s="0"/>
      <c r="HJ964" s="0"/>
      <c r="HK964" s="0"/>
      <c r="HL964" s="0"/>
      <c r="HM964" s="0"/>
      <c r="HN964" s="0"/>
      <c r="HO964" s="0"/>
      <c r="HP964" s="0"/>
      <c r="HQ964" s="0"/>
      <c r="HR964" s="0"/>
      <c r="HS964" s="0"/>
      <c r="HT964" s="0"/>
      <c r="HU964" s="0"/>
      <c r="HV964" s="0"/>
      <c r="HW964" s="0"/>
      <c r="HX964" s="0"/>
      <c r="HY964" s="0"/>
      <c r="HZ964" s="0"/>
      <c r="IA964" s="0"/>
      <c r="IB964" s="0"/>
      <c r="IC964" s="0"/>
      <c r="ID964" s="0"/>
      <c r="IE964" s="0"/>
      <c r="IF964" s="0"/>
      <c r="IG964" s="0"/>
      <c r="IH964" s="0"/>
      <c r="II964" s="0"/>
      <c r="IJ964" s="0"/>
      <c r="IK964" s="0"/>
      <c r="IL964" s="0"/>
      <c r="IM964" s="0"/>
      <c r="IN964" s="0"/>
      <c r="IO964" s="0"/>
      <c r="IP964" s="0"/>
      <c r="IQ964" s="0"/>
      <c r="IR964" s="0"/>
      <c r="IS964" s="0"/>
      <c r="IT964" s="0"/>
      <c r="IU964" s="0"/>
      <c r="IV964" s="0"/>
    </row>
    <row r="965" customFormat="false" ht="15.75" hidden="false" customHeight="true" outlineLevel="0" collapsed="false">
      <c r="A965" s="0"/>
      <c r="B965" s="0"/>
      <c r="C965" s="0"/>
      <c r="D965" s="0"/>
      <c r="E965" s="414"/>
      <c r="F965" s="414"/>
      <c r="G965" s="414"/>
      <c r="H965" s="414"/>
      <c r="I965" s="414"/>
      <c r="J965" s="1253"/>
      <c r="K965" s="903"/>
      <c r="L965" s="877"/>
      <c r="M965" s="0"/>
      <c r="N965" s="0"/>
      <c r="O965" s="0"/>
      <c r="P965" s="0"/>
      <c r="Q965" s="0"/>
      <c r="R965" s="0"/>
      <c r="S965" s="0"/>
      <c r="T965" s="0"/>
      <c r="U965" s="0"/>
      <c r="V965" s="0"/>
      <c r="W965" s="0"/>
      <c r="X965" s="0"/>
      <c r="Y965" s="0"/>
      <c r="Z965" s="0"/>
      <c r="AA965" s="0"/>
      <c r="AB965" s="0"/>
      <c r="AC965" s="0"/>
      <c r="AD965" s="0"/>
      <c r="AE965" s="0"/>
      <c r="AF965" s="0"/>
      <c r="AG965" s="0"/>
      <c r="AH965" s="0"/>
      <c r="AI965" s="0"/>
      <c r="AJ965" s="0"/>
      <c r="AK965" s="0"/>
      <c r="AL965" s="0"/>
      <c r="AM965" s="0"/>
      <c r="AN965" s="0"/>
      <c r="AO965" s="0"/>
      <c r="AP965" s="0"/>
      <c r="AQ965" s="0"/>
      <c r="AR965" s="0"/>
      <c r="AS965" s="0"/>
      <c r="AT965" s="0"/>
      <c r="AU965" s="0"/>
      <c r="AV965" s="0"/>
      <c r="AW965" s="0"/>
      <c r="AX965" s="0"/>
      <c r="AY965" s="0"/>
      <c r="AZ965" s="0"/>
      <c r="BA965" s="0"/>
      <c r="BB965" s="0"/>
      <c r="BC965" s="0"/>
      <c r="BD965" s="0"/>
      <c r="BE965" s="0"/>
      <c r="BF965" s="0"/>
      <c r="BG965" s="0"/>
      <c r="BH965" s="0"/>
      <c r="BI965" s="0"/>
      <c r="BJ965" s="0"/>
      <c r="BK965" s="0"/>
      <c r="BL965" s="0"/>
      <c r="BM965" s="0"/>
      <c r="BN965" s="0"/>
      <c r="BO965" s="0"/>
      <c r="BP965" s="0"/>
      <c r="BQ965" s="0"/>
      <c r="BR965" s="0"/>
      <c r="BS965" s="0"/>
      <c r="BT965" s="0"/>
      <c r="BU965" s="0"/>
      <c r="BV965" s="0"/>
      <c r="BW965" s="0"/>
      <c r="BX965" s="0"/>
      <c r="BY965" s="0"/>
      <c r="BZ965" s="0"/>
      <c r="CA965" s="0"/>
      <c r="CB965" s="0"/>
      <c r="CC965" s="0"/>
      <c r="CD965" s="0"/>
      <c r="CE965" s="0"/>
      <c r="CF965" s="0"/>
      <c r="CG965" s="0"/>
      <c r="CH965" s="0"/>
      <c r="CI965" s="0"/>
      <c r="CJ965" s="0"/>
      <c r="CK965" s="0"/>
      <c r="CL965" s="0"/>
      <c r="CM965" s="0"/>
      <c r="CN965" s="0"/>
      <c r="CO965" s="0"/>
      <c r="CP965" s="0"/>
      <c r="CQ965" s="0"/>
      <c r="CR965" s="0"/>
      <c r="CS965" s="0"/>
      <c r="CT965" s="0"/>
      <c r="CU965" s="0"/>
      <c r="CV965" s="0"/>
      <c r="CW965" s="0"/>
      <c r="CX965" s="0"/>
      <c r="CY965" s="0"/>
      <c r="CZ965" s="0"/>
      <c r="DA965" s="0"/>
      <c r="DB965" s="0"/>
      <c r="DC965" s="0"/>
      <c r="DD965" s="0"/>
      <c r="DE965" s="0"/>
      <c r="DF965" s="0"/>
      <c r="DG965" s="0"/>
      <c r="DH965" s="0"/>
      <c r="DI965" s="0"/>
      <c r="DJ965" s="0"/>
      <c r="DK965" s="0"/>
      <c r="DL965" s="0"/>
      <c r="DM965" s="0"/>
      <c r="DN965" s="0"/>
      <c r="DO965" s="0"/>
      <c r="DP965" s="0"/>
      <c r="DQ965" s="0"/>
      <c r="DR965" s="0"/>
      <c r="DS965" s="0"/>
      <c r="DT965" s="0"/>
      <c r="DU965" s="0"/>
      <c r="DV965" s="0"/>
      <c r="DW965" s="0"/>
      <c r="DX965" s="0"/>
      <c r="DY965" s="0"/>
      <c r="DZ965" s="0"/>
      <c r="EA965" s="0"/>
      <c r="EB965" s="0"/>
      <c r="EC965" s="0"/>
      <c r="ED965" s="0"/>
      <c r="EE965" s="0"/>
      <c r="EF965" s="0"/>
      <c r="EG965" s="0"/>
      <c r="EH965" s="0"/>
      <c r="EI965" s="0"/>
      <c r="EJ965" s="0"/>
      <c r="EK965" s="0"/>
      <c r="EL965" s="0"/>
      <c r="EM965" s="0"/>
      <c r="EN965" s="0"/>
      <c r="EO965" s="0"/>
      <c r="EP965" s="0"/>
      <c r="EQ965" s="0"/>
      <c r="ER965" s="0"/>
      <c r="ES965" s="0"/>
      <c r="ET965" s="0"/>
      <c r="EU965" s="0"/>
      <c r="EV965" s="0"/>
      <c r="EW965" s="0"/>
      <c r="EX965" s="0"/>
      <c r="EY965" s="0"/>
      <c r="EZ965" s="0"/>
      <c r="FA965" s="0"/>
      <c r="FB965" s="0"/>
      <c r="FC965" s="0"/>
      <c r="FD965" s="0"/>
      <c r="FE965" s="0"/>
      <c r="FF965" s="0"/>
      <c r="FG965" s="0"/>
      <c r="FH965" s="0"/>
      <c r="FI965" s="0"/>
      <c r="FJ965" s="0"/>
      <c r="FK965" s="0"/>
      <c r="FL965" s="0"/>
      <c r="FM965" s="0"/>
      <c r="FN965" s="0"/>
      <c r="FO965" s="0"/>
      <c r="FP965" s="0"/>
      <c r="FQ965" s="0"/>
      <c r="FR965" s="0"/>
      <c r="FS965" s="0"/>
      <c r="FT965" s="0"/>
      <c r="FU965" s="0"/>
      <c r="FV965" s="0"/>
      <c r="FW965" s="0"/>
      <c r="FX965" s="0"/>
      <c r="FY965" s="0"/>
      <c r="FZ965" s="0"/>
      <c r="GA965" s="0"/>
      <c r="GB965" s="0"/>
      <c r="GC965" s="0"/>
      <c r="GD965" s="0"/>
      <c r="GE965" s="0"/>
      <c r="GF965" s="0"/>
      <c r="GG965" s="0"/>
      <c r="GH965" s="0"/>
      <c r="GI965" s="0"/>
      <c r="GJ965" s="0"/>
      <c r="GK965" s="0"/>
      <c r="GL965" s="0"/>
      <c r="GM965" s="0"/>
      <c r="GN965" s="0"/>
      <c r="GO965" s="0"/>
      <c r="GP965" s="0"/>
      <c r="GQ965" s="0"/>
      <c r="GR965" s="0"/>
      <c r="GS965" s="0"/>
      <c r="GT965" s="0"/>
      <c r="GU965" s="0"/>
      <c r="GV965" s="0"/>
      <c r="GW965" s="0"/>
      <c r="GX965" s="0"/>
      <c r="GY965" s="0"/>
      <c r="GZ965" s="0"/>
      <c r="HA965" s="0"/>
      <c r="HB965" s="0"/>
      <c r="HC965" s="0"/>
      <c r="HD965" s="0"/>
      <c r="HE965" s="0"/>
      <c r="HF965" s="0"/>
      <c r="HG965" s="0"/>
      <c r="HH965" s="0"/>
      <c r="HI965" s="0"/>
      <c r="HJ965" s="0"/>
      <c r="HK965" s="0"/>
      <c r="HL965" s="0"/>
      <c r="HM965" s="0"/>
      <c r="HN965" s="0"/>
      <c r="HO965" s="0"/>
      <c r="HP965" s="0"/>
      <c r="HQ965" s="0"/>
      <c r="HR965" s="0"/>
      <c r="HS965" s="0"/>
      <c r="HT965" s="0"/>
      <c r="HU965" s="0"/>
      <c r="HV965" s="0"/>
      <c r="HW965" s="0"/>
      <c r="HX965" s="0"/>
      <c r="HY965" s="0"/>
      <c r="HZ965" s="0"/>
      <c r="IA965" s="0"/>
      <c r="IB965" s="0"/>
      <c r="IC965" s="0"/>
      <c r="ID965" s="0"/>
      <c r="IE965" s="0"/>
      <c r="IF965" s="0"/>
      <c r="IG965" s="0"/>
      <c r="IH965" s="0"/>
      <c r="II965" s="0"/>
      <c r="IJ965" s="0"/>
      <c r="IK965" s="0"/>
      <c r="IL965" s="0"/>
      <c r="IM965" s="0"/>
      <c r="IN965" s="0"/>
      <c r="IO965" s="0"/>
      <c r="IP965" s="0"/>
      <c r="IQ965" s="0"/>
      <c r="IR965" s="0"/>
      <c r="IS965" s="0"/>
      <c r="IT965" s="0"/>
      <c r="IU965" s="0"/>
      <c r="IV965" s="0"/>
    </row>
    <row r="966" customFormat="false" ht="15.75" hidden="false" customHeight="true" outlineLevel="0" collapsed="false">
      <c r="A966" s="14" t="s">
        <v>1665</v>
      </c>
      <c r="B966" s="0"/>
      <c r="C966" s="0"/>
      <c r="D966" s="1240" t="n">
        <f aca="false">IF(D967="oui",1,0)</f>
        <v>0</v>
      </c>
      <c r="E966" s="0"/>
      <c r="G966" s="0"/>
      <c r="H966" s="0"/>
      <c r="I966" s="0"/>
      <c r="J966" s="0"/>
      <c r="K966" s="903"/>
      <c r="L966" s="877" t="s">
        <v>1319</v>
      </c>
      <c r="M966" s="0"/>
      <c r="N966" s="0"/>
      <c r="O966" s="0"/>
      <c r="P966" s="0"/>
      <c r="Q966" s="0"/>
      <c r="R966" s="0"/>
      <c r="S966" s="0"/>
      <c r="T966" s="0"/>
      <c r="U966" s="0"/>
      <c r="V966" s="0"/>
      <c r="W966" s="0"/>
      <c r="X966" s="0"/>
      <c r="Y966" s="0"/>
      <c r="Z966" s="0"/>
      <c r="AA966" s="0"/>
      <c r="AB966" s="0"/>
      <c r="AC966" s="0"/>
      <c r="AD966" s="0"/>
      <c r="AE966" s="0"/>
      <c r="AF966" s="0"/>
      <c r="AG966" s="0"/>
      <c r="AH966" s="0"/>
      <c r="AI966" s="0"/>
      <c r="AJ966" s="0"/>
      <c r="AK966" s="0"/>
      <c r="AL966" s="0"/>
      <c r="AM966" s="0"/>
      <c r="AN966" s="0"/>
      <c r="AO966" s="0"/>
      <c r="AP966" s="0"/>
      <c r="AQ966" s="0"/>
      <c r="AR966" s="0"/>
      <c r="AS966" s="0"/>
      <c r="AT966" s="0"/>
      <c r="AU966" s="0"/>
      <c r="AV966" s="0"/>
      <c r="AW966" s="0"/>
      <c r="AX966" s="0"/>
      <c r="AY966" s="0"/>
      <c r="AZ966" s="0"/>
      <c r="BA966" s="0"/>
      <c r="BB966" s="0"/>
      <c r="BC966" s="0"/>
      <c r="BD966" s="0"/>
      <c r="BE966" s="0"/>
      <c r="BF966" s="0"/>
      <c r="BG966" s="0"/>
      <c r="BH966" s="0"/>
      <c r="BI966" s="0"/>
      <c r="BJ966" s="0"/>
      <c r="BK966" s="0"/>
      <c r="BL966" s="0"/>
      <c r="BM966" s="0"/>
      <c r="BN966" s="0"/>
      <c r="BO966" s="0"/>
      <c r="BP966" s="0"/>
      <c r="BQ966" s="0"/>
      <c r="BR966" s="0"/>
      <c r="BS966" s="0"/>
      <c r="BT966" s="0"/>
      <c r="BU966" s="0"/>
      <c r="BV966" s="0"/>
      <c r="BW966" s="0"/>
      <c r="BX966" s="0"/>
      <c r="BY966" s="0"/>
      <c r="BZ966" s="0"/>
      <c r="CA966" s="0"/>
      <c r="CB966" s="0"/>
      <c r="CC966" s="0"/>
      <c r="CD966" s="0"/>
      <c r="CE966" s="0"/>
      <c r="CF966" s="0"/>
      <c r="CG966" s="0"/>
      <c r="CH966" s="0"/>
      <c r="CI966" s="0"/>
      <c r="CJ966" s="0"/>
      <c r="CK966" s="0"/>
      <c r="CL966" s="0"/>
      <c r="CM966" s="0"/>
      <c r="CN966" s="0"/>
      <c r="CO966" s="0"/>
      <c r="CP966" s="0"/>
      <c r="CQ966" s="0"/>
      <c r="CR966" s="0"/>
      <c r="CS966" s="0"/>
      <c r="CT966" s="0"/>
      <c r="CU966" s="0"/>
      <c r="CV966" s="0"/>
      <c r="CW966" s="0"/>
      <c r="CX966" s="0"/>
      <c r="CY966" s="0"/>
      <c r="CZ966" s="0"/>
      <c r="DA966" s="0"/>
      <c r="DB966" s="0"/>
      <c r="DC966" s="0"/>
      <c r="DD966" s="0"/>
      <c r="DE966" s="0"/>
      <c r="DF966" s="0"/>
      <c r="DG966" s="0"/>
      <c r="DH966" s="0"/>
      <c r="DI966" s="0"/>
      <c r="DJ966" s="0"/>
      <c r="DK966" s="0"/>
      <c r="DL966" s="0"/>
      <c r="DM966" s="0"/>
      <c r="DN966" s="0"/>
      <c r="DO966" s="0"/>
      <c r="DP966" s="0"/>
      <c r="DQ966" s="0"/>
      <c r="DR966" s="0"/>
      <c r="DS966" s="0"/>
      <c r="DT966" s="0"/>
      <c r="DU966" s="0"/>
      <c r="DV966" s="0"/>
      <c r="DW966" s="0"/>
      <c r="DX966" s="0"/>
      <c r="DY966" s="0"/>
      <c r="DZ966" s="0"/>
      <c r="EA966" s="0"/>
      <c r="EB966" s="0"/>
      <c r="EC966" s="0"/>
      <c r="ED966" s="0"/>
      <c r="EE966" s="0"/>
      <c r="EF966" s="0"/>
      <c r="EG966" s="0"/>
      <c r="EH966" s="0"/>
      <c r="EI966" s="0"/>
      <c r="EJ966" s="0"/>
      <c r="EK966" s="0"/>
      <c r="EL966" s="0"/>
      <c r="EM966" s="0"/>
      <c r="EN966" s="0"/>
      <c r="EO966" s="0"/>
      <c r="EP966" s="0"/>
      <c r="EQ966" s="0"/>
      <c r="ER966" s="0"/>
      <c r="ES966" s="0"/>
      <c r="ET966" s="0"/>
      <c r="EU966" s="0"/>
      <c r="EV966" s="0"/>
      <c r="EW966" s="0"/>
      <c r="EX966" s="0"/>
      <c r="EY966" s="0"/>
      <c r="EZ966" s="0"/>
      <c r="FA966" s="0"/>
      <c r="FB966" s="0"/>
      <c r="FC966" s="0"/>
      <c r="FD966" s="0"/>
      <c r="FE966" s="0"/>
      <c r="FF966" s="0"/>
      <c r="FG966" s="0"/>
      <c r="FH966" s="0"/>
      <c r="FI966" s="0"/>
      <c r="FJ966" s="0"/>
      <c r="FK966" s="0"/>
      <c r="FL966" s="0"/>
      <c r="FM966" s="0"/>
      <c r="FN966" s="0"/>
      <c r="FO966" s="0"/>
      <c r="FP966" s="0"/>
      <c r="FQ966" s="0"/>
      <c r="FR966" s="0"/>
      <c r="FS966" s="0"/>
      <c r="FT966" s="0"/>
      <c r="FU966" s="0"/>
      <c r="FV966" s="0"/>
      <c r="FW966" s="0"/>
      <c r="FX966" s="0"/>
      <c r="FY966" s="0"/>
      <c r="FZ966" s="0"/>
      <c r="GA966" s="0"/>
      <c r="GB966" s="0"/>
      <c r="GC966" s="0"/>
      <c r="GD966" s="0"/>
      <c r="GE966" s="0"/>
      <c r="GF966" s="0"/>
      <c r="GG966" s="0"/>
      <c r="GH966" s="0"/>
      <c r="GI966" s="0"/>
      <c r="GJ966" s="0"/>
      <c r="GK966" s="0"/>
      <c r="GL966" s="0"/>
      <c r="GM966" s="0"/>
      <c r="GN966" s="0"/>
      <c r="GO966" s="0"/>
      <c r="GP966" s="0"/>
      <c r="GQ966" s="0"/>
      <c r="GR966" s="0"/>
      <c r="GS966" s="0"/>
      <c r="GT966" s="0"/>
      <c r="GU966" s="0"/>
      <c r="GV966" s="0"/>
      <c r="GW966" s="0"/>
      <c r="GX966" s="0"/>
      <c r="GY966" s="0"/>
      <c r="GZ966" s="0"/>
      <c r="HA966" s="0"/>
      <c r="HB966" s="0"/>
      <c r="HC966" s="0"/>
      <c r="HD966" s="0"/>
      <c r="HE966" s="0"/>
      <c r="HF966" s="0"/>
      <c r="HG966" s="0"/>
      <c r="HH966" s="0"/>
      <c r="HI966" s="0"/>
      <c r="HJ966" s="0"/>
      <c r="HK966" s="0"/>
      <c r="HL966" s="0"/>
      <c r="HM966" s="0"/>
      <c r="HN966" s="0"/>
      <c r="HO966" s="0"/>
      <c r="HP966" s="0"/>
      <c r="HQ966" s="0"/>
      <c r="HR966" s="0"/>
      <c r="HS966" s="0"/>
      <c r="HT966" s="0"/>
      <c r="HU966" s="0"/>
      <c r="HV966" s="0"/>
      <c r="HW966" s="0"/>
      <c r="HX966" s="0"/>
      <c r="HY966" s="0"/>
      <c r="HZ966" s="0"/>
      <c r="IA966" s="0"/>
      <c r="IB966" s="0"/>
      <c r="IC966" s="0"/>
      <c r="ID966" s="0"/>
      <c r="IE966" s="0"/>
      <c r="IF966" s="0"/>
      <c r="IG966" s="0"/>
      <c r="IH966" s="0"/>
      <c r="II966" s="0"/>
      <c r="IJ966" s="0"/>
      <c r="IK966" s="0"/>
      <c r="IL966" s="0"/>
      <c r="IM966" s="0"/>
      <c r="IN966" s="0"/>
      <c r="IO966" s="0"/>
      <c r="IP966" s="0"/>
      <c r="IQ966" s="0"/>
      <c r="IR966" s="0"/>
      <c r="IS966" s="0"/>
      <c r="IT966" s="0"/>
      <c r="IU966" s="0"/>
      <c r="IV966" s="0"/>
    </row>
    <row r="967" customFormat="false" ht="15.75" hidden="false" customHeight="true" outlineLevel="0" collapsed="false">
      <c r="A967" s="446" t="s">
        <v>1666</v>
      </c>
      <c r="B967" s="0"/>
      <c r="C967" s="0"/>
      <c r="D967" s="950"/>
      <c r="E967" s="15" t="s">
        <v>1667</v>
      </c>
      <c r="F967" s="1288"/>
      <c r="G967" s="1288"/>
      <c r="H967" s="1288"/>
      <c r="I967" s="1288"/>
      <c r="J967" s="1288"/>
      <c r="K967" s="903"/>
      <c r="L967" s="877" t="s">
        <v>1475</v>
      </c>
      <c r="M967" s="0"/>
      <c r="N967" s="0"/>
      <c r="O967" s="0"/>
      <c r="P967" s="0"/>
      <c r="Q967" s="0"/>
      <c r="R967" s="0"/>
      <c r="S967" s="0"/>
      <c r="T967" s="0"/>
      <c r="U967" s="0"/>
      <c r="V967" s="0"/>
      <c r="W967" s="0"/>
      <c r="X967" s="0"/>
      <c r="Y967" s="0"/>
      <c r="Z967" s="0"/>
      <c r="AA967" s="0"/>
      <c r="AB967" s="0"/>
      <c r="AC967" s="0"/>
      <c r="AD967" s="0"/>
      <c r="AE967" s="0"/>
      <c r="AF967" s="0"/>
      <c r="AG967" s="0"/>
      <c r="AH967" s="0"/>
      <c r="AI967" s="0"/>
      <c r="AJ967" s="0"/>
      <c r="AK967" s="0"/>
      <c r="AL967" s="0"/>
      <c r="AM967" s="0"/>
      <c r="AN967" s="0"/>
      <c r="AO967" s="0"/>
      <c r="AP967" s="0"/>
      <c r="AQ967" s="0"/>
      <c r="AR967" s="0"/>
      <c r="AS967" s="0"/>
      <c r="AT967" s="0"/>
      <c r="AU967" s="0"/>
      <c r="AV967" s="0"/>
      <c r="AW967" s="0"/>
      <c r="AX967" s="0"/>
      <c r="AY967" s="0"/>
      <c r="AZ967" s="0"/>
      <c r="BA967" s="0"/>
      <c r="BB967" s="0"/>
      <c r="BC967" s="0"/>
      <c r="BD967" s="0"/>
      <c r="BE967" s="0"/>
      <c r="BF967" s="0"/>
      <c r="BG967" s="0"/>
      <c r="BH967" s="0"/>
      <c r="BI967" s="0"/>
      <c r="BJ967" s="0"/>
      <c r="BK967" s="0"/>
      <c r="BL967" s="0"/>
      <c r="BM967" s="0"/>
      <c r="BN967" s="0"/>
      <c r="BO967" s="0"/>
      <c r="BP967" s="0"/>
      <c r="BQ967" s="0"/>
      <c r="BR967" s="0"/>
      <c r="BS967" s="0"/>
      <c r="BT967" s="0"/>
      <c r="BU967" s="0"/>
      <c r="BV967" s="0"/>
      <c r="BW967" s="0"/>
      <c r="BX967" s="0"/>
      <c r="BY967" s="0"/>
      <c r="BZ967" s="0"/>
      <c r="CA967" s="0"/>
      <c r="CB967" s="0"/>
      <c r="CC967" s="0"/>
      <c r="CD967" s="0"/>
      <c r="CE967" s="0"/>
      <c r="CF967" s="0"/>
      <c r="CG967" s="0"/>
      <c r="CH967" s="0"/>
      <c r="CI967" s="0"/>
      <c r="CJ967" s="0"/>
      <c r="CK967" s="0"/>
      <c r="CL967" s="0"/>
      <c r="CM967" s="0"/>
      <c r="CN967" s="0"/>
      <c r="CO967" s="0"/>
      <c r="CP967" s="0"/>
      <c r="CQ967" s="0"/>
      <c r="CR967" s="0"/>
      <c r="CS967" s="0"/>
      <c r="CT967" s="0"/>
      <c r="CU967" s="0"/>
      <c r="CV967" s="0"/>
      <c r="CW967" s="0"/>
      <c r="CX967" s="0"/>
      <c r="CY967" s="0"/>
      <c r="CZ967" s="0"/>
      <c r="DA967" s="0"/>
      <c r="DB967" s="0"/>
      <c r="DC967" s="0"/>
      <c r="DD967" s="0"/>
      <c r="DE967" s="0"/>
      <c r="DF967" s="0"/>
      <c r="DG967" s="0"/>
      <c r="DH967" s="0"/>
      <c r="DI967" s="0"/>
      <c r="DJ967" s="0"/>
      <c r="DK967" s="0"/>
      <c r="DL967" s="0"/>
      <c r="DM967" s="0"/>
      <c r="DN967" s="0"/>
      <c r="DO967" s="0"/>
      <c r="DP967" s="0"/>
      <c r="DQ967" s="0"/>
      <c r="DR967" s="0"/>
      <c r="DS967" s="0"/>
      <c r="DT967" s="0"/>
      <c r="DU967" s="0"/>
      <c r="DV967" s="0"/>
      <c r="DW967" s="0"/>
      <c r="DX967" s="0"/>
      <c r="DY967" s="0"/>
      <c r="DZ967" s="0"/>
      <c r="EA967" s="0"/>
      <c r="EB967" s="0"/>
      <c r="EC967" s="0"/>
      <c r="ED967" s="0"/>
      <c r="EE967" s="0"/>
      <c r="EF967" s="0"/>
      <c r="EG967" s="0"/>
      <c r="EH967" s="0"/>
      <c r="EI967" s="0"/>
      <c r="EJ967" s="0"/>
      <c r="EK967" s="0"/>
      <c r="EL967" s="0"/>
      <c r="EM967" s="0"/>
      <c r="EN967" s="0"/>
      <c r="EO967" s="0"/>
      <c r="EP967" s="0"/>
      <c r="EQ967" s="0"/>
      <c r="ER967" s="0"/>
      <c r="ES967" s="0"/>
      <c r="ET967" s="0"/>
      <c r="EU967" s="0"/>
      <c r="EV967" s="0"/>
      <c r="EW967" s="0"/>
      <c r="EX967" s="0"/>
      <c r="EY967" s="0"/>
      <c r="EZ967" s="0"/>
      <c r="FA967" s="0"/>
      <c r="FB967" s="0"/>
      <c r="FC967" s="0"/>
      <c r="FD967" s="0"/>
      <c r="FE967" s="0"/>
      <c r="FF967" s="0"/>
      <c r="FG967" s="0"/>
      <c r="FH967" s="0"/>
      <c r="FI967" s="0"/>
      <c r="FJ967" s="0"/>
      <c r="FK967" s="0"/>
      <c r="FL967" s="0"/>
      <c r="FM967" s="0"/>
      <c r="FN967" s="0"/>
      <c r="FO967" s="0"/>
      <c r="FP967" s="0"/>
      <c r="FQ967" s="0"/>
      <c r="FR967" s="0"/>
      <c r="FS967" s="0"/>
      <c r="FT967" s="0"/>
      <c r="FU967" s="0"/>
      <c r="FV967" s="0"/>
      <c r="FW967" s="0"/>
      <c r="FX967" s="0"/>
      <c r="FY967" s="0"/>
      <c r="FZ967" s="0"/>
      <c r="GA967" s="0"/>
      <c r="GB967" s="0"/>
      <c r="GC967" s="0"/>
      <c r="GD967" s="0"/>
      <c r="GE967" s="0"/>
      <c r="GF967" s="0"/>
      <c r="GG967" s="0"/>
      <c r="GH967" s="0"/>
      <c r="GI967" s="0"/>
      <c r="GJ967" s="0"/>
      <c r="GK967" s="0"/>
      <c r="GL967" s="0"/>
      <c r="GM967" s="0"/>
      <c r="GN967" s="0"/>
      <c r="GO967" s="0"/>
      <c r="GP967" s="0"/>
      <c r="GQ967" s="0"/>
      <c r="GR967" s="0"/>
      <c r="GS967" s="0"/>
      <c r="GT967" s="0"/>
      <c r="GU967" s="0"/>
      <c r="GV967" s="0"/>
      <c r="GW967" s="0"/>
      <c r="GX967" s="0"/>
      <c r="GY967" s="0"/>
      <c r="GZ967" s="0"/>
      <c r="HA967" s="0"/>
      <c r="HB967" s="0"/>
      <c r="HC967" s="0"/>
      <c r="HD967" s="0"/>
      <c r="HE967" s="0"/>
      <c r="HF967" s="0"/>
      <c r="HG967" s="0"/>
      <c r="HH967" s="0"/>
      <c r="HI967" s="0"/>
      <c r="HJ967" s="0"/>
      <c r="HK967" s="0"/>
      <c r="HL967" s="0"/>
      <c r="HM967" s="0"/>
      <c r="HN967" s="0"/>
      <c r="HO967" s="0"/>
      <c r="HP967" s="0"/>
      <c r="HQ967" s="0"/>
      <c r="HR967" s="0"/>
      <c r="HS967" s="0"/>
      <c r="HT967" s="0"/>
      <c r="HU967" s="0"/>
      <c r="HV967" s="0"/>
      <c r="HW967" s="0"/>
      <c r="HX967" s="0"/>
      <c r="HY967" s="0"/>
      <c r="HZ967" s="0"/>
      <c r="IA967" s="0"/>
      <c r="IB967" s="0"/>
      <c r="IC967" s="0"/>
      <c r="ID967" s="0"/>
      <c r="IE967" s="0"/>
      <c r="IF967" s="0"/>
      <c r="IG967" s="0"/>
      <c r="IH967" s="0"/>
      <c r="II967" s="0"/>
      <c r="IJ967" s="0"/>
      <c r="IK967" s="0"/>
      <c r="IL967" s="0"/>
      <c r="IM967" s="0"/>
      <c r="IN967" s="0"/>
      <c r="IO967" s="0"/>
      <c r="IP967" s="0"/>
      <c r="IQ967" s="0"/>
      <c r="IR967" s="0"/>
      <c r="IS967" s="0"/>
      <c r="IT967" s="0"/>
      <c r="IU967" s="0"/>
      <c r="IV967" s="0"/>
    </row>
    <row r="968" customFormat="false" ht="15.75" hidden="false" customHeight="true" outlineLevel="0" collapsed="false">
      <c r="A968" s="0"/>
      <c r="B968" s="0"/>
      <c r="C968" s="0"/>
      <c r="D968" s="0"/>
      <c r="E968" s="15" t="s">
        <v>1668</v>
      </c>
      <c r="F968" s="1288"/>
      <c r="G968" s="1288"/>
      <c r="H968" s="1288"/>
      <c r="I968" s="1288"/>
      <c r="J968" s="1288"/>
      <c r="K968" s="903"/>
      <c r="L968" s="877"/>
      <c r="M968" s="0"/>
      <c r="N968" s="0"/>
      <c r="O968" s="0"/>
      <c r="P968" s="0"/>
      <c r="Q968" s="0"/>
      <c r="R968" s="0"/>
      <c r="S968" s="0"/>
      <c r="T968" s="0"/>
      <c r="U968" s="0"/>
      <c r="V968" s="0"/>
      <c r="W968" s="0"/>
      <c r="X968" s="0"/>
      <c r="Y968" s="0"/>
      <c r="Z968" s="0"/>
      <c r="AA968" s="0"/>
      <c r="AB968" s="0"/>
      <c r="AC968" s="0"/>
      <c r="AD968" s="0"/>
      <c r="AE968" s="0"/>
      <c r="AF968" s="0"/>
      <c r="AG968" s="0"/>
      <c r="AH968" s="0"/>
      <c r="AI968" s="0"/>
      <c r="AJ968" s="0"/>
      <c r="AK968" s="0"/>
      <c r="AL968" s="0"/>
      <c r="AM968" s="0"/>
      <c r="AN968" s="0"/>
      <c r="AO968" s="0"/>
      <c r="AP968" s="0"/>
      <c r="AQ968" s="0"/>
      <c r="AR968" s="0"/>
      <c r="AS968" s="0"/>
      <c r="AT968" s="0"/>
      <c r="AU968" s="0"/>
      <c r="AV968" s="0"/>
      <c r="AW968" s="0"/>
      <c r="AX968" s="0"/>
      <c r="AY968" s="0"/>
      <c r="AZ968" s="0"/>
      <c r="BA968" s="0"/>
      <c r="BB968" s="0"/>
      <c r="BC968" s="0"/>
      <c r="BD968" s="0"/>
      <c r="BE968" s="0"/>
      <c r="BF968" s="0"/>
      <c r="BG968" s="0"/>
      <c r="BH968" s="0"/>
      <c r="BI968" s="0"/>
      <c r="BJ968" s="0"/>
      <c r="BK968" s="0"/>
      <c r="BL968" s="0"/>
      <c r="BM968" s="0"/>
      <c r="BN968" s="0"/>
      <c r="BO968" s="0"/>
      <c r="BP968" s="0"/>
      <c r="BQ968" s="0"/>
      <c r="BR968" s="0"/>
      <c r="BS968" s="0"/>
      <c r="BT968" s="0"/>
      <c r="BU968" s="0"/>
      <c r="BV968" s="0"/>
      <c r="BW968" s="0"/>
      <c r="BX968" s="0"/>
      <c r="BY968" s="0"/>
      <c r="BZ968" s="0"/>
      <c r="CA968" s="0"/>
      <c r="CB968" s="0"/>
      <c r="CC968" s="0"/>
      <c r="CD968" s="0"/>
      <c r="CE968" s="0"/>
      <c r="CF968" s="0"/>
      <c r="CG968" s="0"/>
      <c r="CH968" s="0"/>
      <c r="CI968" s="0"/>
      <c r="CJ968" s="0"/>
      <c r="CK968" s="0"/>
      <c r="CL968" s="0"/>
      <c r="CM968" s="0"/>
      <c r="CN968" s="0"/>
      <c r="CO968" s="0"/>
      <c r="CP968" s="0"/>
      <c r="CQ968" s="0"/>
      <c r="CR968" s="0"/>
      <c r="CS968" s="0"/>
      <c r="CT968" s="0"/>
      <c r="CU968" s="0"/>
      <c r="CV968" s="0"/>
      <c r="CW968" s="0"/>
      <c r="CX968" s="0"/>
      <c r="CY968" s="0"/>
      <c r="CZ968" s="0"/>
      <c r="DA968" s="0"/>
      <c r="DB968" s="0"/>
      <c r="DC968" s="0"/>
      <c r="DD968" s="0"/>
      <c r="DE968" s="0"/>
      <c r="DF968" s="0"/>
      <c r="DG968" s="0"/>
      <c r="DH968" s="0"/>
      <c r="DI968" s="0"/>
      <c r="DJ968" s="0"/>
      <c r="DK968" s="0"/>
      <c r="DL968" s="0"/>
      <c r="DM968" s="0"/>
      <c r="DN968" s="0"/>
      <c r="DO968" s="0"/>
      <c r="DP968" s="0"/>
      <c r="DQ968" s="0"/>
      <c r="DR968" s="0"/>
      <c r="DS968" s="0"/>
      <c r="DT968" s="0"/>
      <c r="DU968" s="0"/>
      <c r="DV968" s="0"/>
      <c r="DW968" s="0"/>
      <c r="DX968" s="0"/>
      <c r="DY968" s="0"/>
      <c r="DZ968" s="0"/>
      <c r="EA968" s="0"/>
      <c r="EB968" s="0"/>
      <c r="EC968" s="0"/>
      <c r="ED968" s="0"/>
      <c r="EE968" s="0"/>
      <c r="EF968" s="0"/>
      <c r="EG968" s="0"/>
      <c r="EH968" s="0"/>
      <c r="EI968" s="0"/>
      <c r="EJ968" s="0"/>
      <c r="EK968" s="0"/>
      <c r="EL968" s="0"/>
      <c r="EM968" s="0"/>
      <c r="EN968" s="0"/>
      <c r="EO968" s="0"/>
      <c r="EP968" s="0"/>
      <c r="EQ968" s="0"/>
      <c r="ER968" s="0"/>
      <c r="ES968" s="0"/>
      <c r="ET968" s="0"/>
      <c r="EU968" s="0"/>
      <c r="EV968" s="0"/>
      <c r="EW968" s="0"/>
      <c r="EX968" s="0"/>
      <c r="EY968" s="0"/>
      <c r="EZ968" s="0"/>
      <c r="FA968" s="0"/>
      <c r="FB968" s="0"/>
      <c r="FC968" s="0"/>
      <c r="FD968" s="0"/>
      <c r="FE968" s="0"/>
      <c r="FF968" s="0"/>
      <c r="FG968" s="0"/>
      <c r="FH968" s="0"/>
      <c r="FI968" s="0"/>
      <c r="FJ968" s="0"/>
      <c r="FK968" s="0"/>
      <c r="FL968" s="0"/>
      <c r="FM968" s="0"/>
      <c r="FN968" s="0"/>
      <c r="FO968" s="0"/>
      <c r="FP968" s="0"/>
      <c r="FQ968" s="0"/>
      <c r="FR968" s="0"/>
      <c r="FS968" s="0"/>
      <c r="FT968" s="0"/>
      <c r="FU968" s="0"/>
      <c r="FV968" s="0"/>
      <c r="FW968" s="0"/>
      <c r="FX968" s="0"/>
      <c r="FY968" s="0"/>
      <c r="FZ968" s="0"/>
      <c r="GA968" s="0"/>
      <c r="GB968" s="0"/>
      <c r="GC968" s="0"/>
      <c r="GD968" s="0"/>
      <c r="GE968" s="0"/>
      <c r="GF968" s="0"/>
      <c r="GG968" s="0"/>
      <c r="GH968" s="0"/>
      <c r="GI968" s="0"/>
      <c r="GJ968" s="0"/>
      <c r="GK968" s="0"/>
      <c r="GL968" s="0"/>
      <c r="GM968" s="0"/>
      <c r="GN968" s="0"/>
      <c r="GO968" s="0"/>
      <c r="GP968" s="0"/>
      <c r="GQ968" s="0"/>
      <c r="GR968" s="0"/>
      <c r="GS968" s="0"/>
      <c r="GT968" s="0"/>
      <c r="GU968" s="0"/>
      <c r="GV968" s="0"/>
      <c r="GW968" s="0"/>
      <c r="GX968" s="0"/>
      <c r="GY968" s="0"/>
      <c r="GZ968" s="0"/>
      <c r="HA968" s="0"/>
      <c r="HB968" s="0"/>
      <c r="HC968" s="0"/>
      <c r="HD968" s="0"/>
      <c r="HE968" s="0"/>
      <c r="HF968" s="0"/>
      <c r="HG968" s="0"/>
      <c r="HH968" s="0"/>
      <c r="HI968" s="0"/>
      <c r="HJ968" s="0"/>
      <c r="HK968" s="0"/>
      <c r="HL968" s="0"/>
      <c r="HM968" s="0"/>
      <c r="HN968" s="0"/>
      <c r="HO968" s="0"/>
      <c r="HP968" s="0"/>
      <c r="HQ968" s="0"/>
      <c r="HR968" s="0"/>
      <c r="HS968" s="0"/>
      <c r="HT968" s="0"/>
      <c r="HU968" s="0"/>
      <c r="HV968" s="0"/>
      <c r="HW968" s="0"/>
      <c r="HX968" s="0"/>
      <c r="HY968" s="0"/>
      <c r="HZ968" s="0"/>
      <c r="IA968" s="0"/>
      <c r="IB968" s="0"/>
      <c r="IC968" s="0"/>
      <c r="ID968" s="0"/>
      <c r="IE968" s="0"/>
      <c r="IF968" s="0"/>
      <c r="IG968" s="0"/>
      <c r="IH968" s="0"/>
      <c r="II968" s="0"/>
      <c r="IJ968" s="0"/>
      <c r="IK968" s="0"/>
      <c r="IL968" s="0"/>
      <c r="IM968" s="0"/>
      <c r="IN968" s="0"/>
      <c r="IO968" s="0"/>
      <c r="IP968" s="0"/>
      <c r="IQ968" s="0"/>
      <c r="IR968" s="0"/>
      <c r="IS968" s="0"/>
      <c r="IT968" s="0"/>
      <c r="IU968" s="0"/>
      <c r="IV968" s="0"/>
    </row>
    <row r="969" customFormat="false" ht="15" hidden="false" customHeight="true" outlineLevel="0" collapsed="false">
      <c r="A969" s="0"/>
      <c r="B969" s="0"/>
      <c r="C969" s="0"/>
      <c r="D969" s="0"/>
      <c r="E969" s="414"/>
      <c r="F969" s="414"/>
      <c r="G969" s="414"/>
      <c r="H969" s="414"/>
      <c r="I969" s="414"/>
      <c r="J969" s="1253"/>
      <c r="K969" s="903"/>
      <c r="L969" s="877"/>
      <c r="M969" s="0"/>
      <c r="N969" s="0"/>
      <c r="O969" s="0"/>
      <c r="P969" s="0"/>
      <c r="Q969" s="0"/>
      <c r="R969" s="0"/>
      <c r="S969" s="0"/>
      <c r="T969" s="0"/>
      <c r="U969" s="0"/>
      <c r="V969" s="0"/>
      <c r="W969" s="0"/>
      <c r="X969" s="0"/>
      <c r="Y969" s="0"/>
      <c r="Z969" s="0"/>
      <c r="AA969" s="0"/>
      <c r="AB969" s="0"/>
      <c r="AC969" s="0"/>
      <c r="AD969" s="0"/>
      <c r="AE969" s="0"/>
      <c r="AF969" s="0"/>
      <c r="AG969" s="0"/>
      <c r="AH969" s="0"/>
      <c r="AI969" s="0"/>
      <c r="AJ969" s="0"/>
      <c r="AK969" s="0"/>
      <c r="AL969" s="0"/>
      <c r="AM969" s="0"/>
      <c r="AN969" s="0"/>
      <c r="AO969" s="0"/>
      <c r="AP969" s="0"/>
      <c r="AQ969" s="0"/>
      <c r="AR969" s="0"/>
      <c r="AS969" s="0"/>
      <c r="AT969" s="0"/>
      <c r="AU969" s="0"/>
      <c r="AV969" s="0"/>
      <c r="AW969" s="0"/>
      <c r="AX969" s="0"/>
      <c r="AY969" s="0"/>
      <c r="AZ969" s="0"/>
      <c r="BA969" s="0"/>
      <c r="BB969" s="0"/>
      <c r="BC969" s="0"/>
      <c r="BD969" s="0"/>
      <c r="BE969" s="0"/>
      <c r="BF969" s="0"/>
      <c r="BG969" s="0"/>
      <c r="BH969" s="0"/>
      <c r="BI969" s="0"/>
      <c r="BJ969" s="0"/>
      <c r="BK969" s="0"/>
      <c r="BL969" s="0"/>
      <c r="BM969" s="0"/>
      <c r="BN969" s="0"/>
      <c r="BO969" s="0"/>
      <c r="BP969" s="0"/>
      <c r="BQ969" s="0"/>
      <c r="BR969" s="0"/>
      <c r="BS969" s="0"/>
      <c r="BT969" s="0"/>
      <c r="BU969" s="0"/>
      <c r="BV969" s="0"/>
      <c r="BW969" s="0"/>
      <c r="BX969" s="0"/>
      <c r="BY969" s="0"/>
      <c r="BZ969" s="0"/>
      <c r="CA969" s="0"/>
      <c r="CB969" s="0"/>
      <c r="CC969" s="0"/>
      <c r="CD969" s="0"/>
      <c r="CE969" s="0"/>
      <c r="CF969" s="0"/>
      <c r="CG969" s="0"/>
      <c r="CH969" s="0"/>
      <c r="CI969" s="0"/>
      <c r="CJ969" s="0"/>
      <c r="CK969" s="0"/>
      <c r="CL969" s="0"/>
      <c r="CM969" s="0"/>
      <c r="CN969" s="0"/>
      <c r="CO969" s="0"/>
      <c r="CP969" s="0"/>
      <c r="CQ969" s="0"/>
      <c r="CR969" s="0"/>
      <c r="CS969" s="0"/>
      <c r="CT969" s="0"/>
      <c r="CU969" s="0"/>
      <c r="CV969" s="0"/>
      <c r="CW969" s="0"/>
      <c r="CX969" s="0"/>
      <c r="CY969" s="0"/>
      <c r="CZ969" s="0"/>
      <c r="DA969" s="0"/>
      <c r="DB969" s="0"/>
      <c r="DC969" s="0"/>
      <c r="DD969" s="0"/>
      <c r="DE969" s="0"/>
      <c r="DF969" s="0"/>
      <c r="DG969" s="0"/>
      <c r="DH969" s="0"/>
      <c r="DI969" s="0"/>
      <c r="DJ969" s="0"/>
      <c r="DK969" s="0"/>
      <c r="DL969" s="0"/>
      <c r="DM969" s="0"/>
      <c r="DN969" s="0"/>
      <c r="DO969" s="0"/>
      <c r="DP969" s="0"/>
      <c r="DQ969" s="0"/>
      <c r="DR969" s="0"/>
      <c r="DS969" s="0"/>
      <c r="DT969" s="0"/>
      <c r="DU969" s="0"/>
      <c r="DV969" s="0"/>
      <c r="DW969" s="0"/>
      <c r="DX969" s="0"/>
      <c r="DY969" s="0"/>
      <c r="DZ969" s="0"/>
      <c r="EA969" s="0"/>
      <c r="EB969" s="0"/>
      <c r="EC969" s="0"/>
      <c r="ED969" s="0"/>
      <c r="EE969" s="0"/>
      <c r="EF969" s="0"/>
      <c r="EG969" s="0"/>
      <c r="EH969" s="0"/>
      <c r="EI969" s="0"/>
      <c r="EJ969" s="0"/>
      <c r="EK969" s="0"/>
      <c r="EL969" s="0"/>
      <c r="EM969" s="0"/>
      <c r="EN969" s="0"/>
      <c r="EO969" s="0"/>
      <c r="EP969" s="0"/>
      <c r="EQ969" s="0"/>
      <c r="ER969" s="0"/>
      <c r="ES969" s="0"/>
      <c r="ET969" s="0"/>
      <c r="EU969" s="0"/>
      <c r="EV969" s="0"/>
      <c r="EW969" s="0"/>
      <c r="EX969" s="0"/>
      <c r="EY969" s="0"/>
      <c r="EZ969" s="0"/>
      <c r="FA969" s="0"/>
      <c r="FB969" s="0"/>
      <c r="FC969" s="0"/>
      <c r="FD969" s="0"/>
      <c r="FE969" s="0"/>
      <c r="FF969" s="0"/>
      <c r="FG969" s="0"/>
      <c r="FH969" s="0"/>
      <c r="FI969" s="0"/>
      <c r="FJ969" s="0"/>
      <c r="FK969" s="0"/>
      <c r="FL969" s="0"/>
      <c r="FM969" s="0"/>
      <c r="FN969" s="0"/>
      <c r="FO969" s="0"/>
      <c r="FP969" s="0"/>
      <c r="FQ969" s="0"/>
      <c r="FR969" s="0"/>
      <c r="FS969" s="0"/>
      <c r="FT969" s="0"/>
      <c r="FU969" s="0"/>
      <c r="FV969" s="0"/>
      <c r="FW969" s="0"/>
      <c r="FX969" s="0"/>
      <c r="FY969" s="0"/>
      <c r="FZ969" s="0"/>
      <c r="GA969" s="0"/>
      <c r="GB969" s="0"/>
      <c r="GC969" s="0"/>
      <c r="GD969" s="0"/>
      <c r="GE969" s="0"/>
      <c r="GF969" s="0"/>
      <c r="GG969" s="0"/>
      <c r="GH969" s="0"/>
      <c r="GI969" s="0"/>
      <c r="GJ969" s="0"/>
      <c r="GK969" s="0"/>
      <c r="GL969" s="0"/>
      <c r="GM969" s="0"/>
      <c r="GN969" s="0"/>
      <c r="GO969" s="0"/>
      <c r="GP969" s="0"/>
      <c r="GQ969" s="0"/>
      <c r="GR969" s="0"/>
      <c r="GS969" s="0"/>
      <c r="GT969" s="0"/>
      <c r="GU969" s="0"/>
      <c r="GV969" s="0"/>
      <c r="GW969" s="0"/>
      <c r="GX969" s="0"/>
      <c r="GY969" s="0"/>
      <c r="GZ969" s="0"/>
      <c r="HA969" s="0"/>
      <c r="HB969" s="0"/>
      <c r="HC969" s="0"/>
      <c r="HD969" s="0"/>
      <c r="HE969" s="0"/>
      <c r="HF969" s="0"/>
      <c r="HG969" s="0"/>
      <c r="HH969" s="0"/>
      <c r="HI969" s="0"/>
      <c r="HJ969" s="0"/>
      <c r="HK969" s="0"/>
      <c r="HL969" s="0"/>
      <c r="HM969" s="0"/>
      <c r="HN969" s="0"/>
      <c r="HO969" s="0"/>
      <c r="HP969" s="0"/>
      <c r="HQ969" s="0"/>
      <c r="HR969" s="0"/>
      <c r="HS969" s="0"/>
      <c r="HT969" s="0"/>
      <c r="HU969" s="0"/>
      <c r="HV969" s="0"/>
      <c r="HW969" s="0"/>
      <c r="HX969" s="0"/>
      <c r="HY969" s="0"/>
      <c r="HZ969" s="0"/>
      <c r="IA969" s="0"/>
      <c r="IB969" s="0"/>
      <c r="IC969" s="0"/>
      <c r="ID969" s="0"/>
      <c r="IE969" s="0"/>
      <c r="IF969" s="0"/>
      <c r="IG969" s="0"/>
      <c r="IH969" s="0"/>
      <c r="II969" s="0"/>
      <c r="IJ969" s="0"/>
      <c r="IK969" s="0"/>
      <c r="IL969" s="0"/>
      <c r="IM969" s="0"/>
      <c r="IN969" s="0"/>
      <c r="IO969" s="0"/>
      <c r="IP969" s="0"/>
      <c r="IQ969" s="0"/>
      <c r="IR969" s="0"/>
      <c r="IS969" s="0"/>
      <c r="IT969" s="0"/>
      <c r="IU969" s="0"/>
      <c r="IV969" s="0"/>
    </row>
    <row r="970" customFormat="false" ht="20.1" hidden="false" customHeight="true" outlineLevel="0" collapsed="false">
      <c r="E970" s="414"/>
      <c r="F970" s="414"/>
      <c r="G970" s="414"/>
      <c r="H970" s="414"/>
      <c r="I970" s="414"/>
      <c r="J970" s="1253"/>
      <c r="K970" s="903"/>
      <c r="L970" s="877"/>
    </row>
    <row r="971" customFormat="false" ht="16.5" hidden="false" customHeight="true" outlineLevel="0" collapsed="false">
      <c r="A971" s="869" t="s">
        <v>1669</v>
      </c>
      <c r="B971" s="869"/>
      <c r="C971" s="869"/>
      <c r="D971" s="869"/>
      <c r="E971" s="869"/>
      <c r="F971" s="869"/>
      <c r="G971" s="869"/>
      <c r="H971" s="53"/>
      <c r="I971" s="53"/>
      <c r="J971" s="53"/>
      <c r="K971" s="870"/>
      <c r="L971" s="871" t="s">
        <v>1623</v>
      </c>
      <c r="M971" s="0"/>
      <c r="N971" s="0"/>
      <c r="O971" s="0"/>
      <c r="P971" s="0"/>
      <c r="Q971" s="0"/>
      <c r="R971" s="0"/>
      <c r="S971" s="0"/>
      <c r="T971" s="0"/>
      <c r="U971" s="0"/>
      <c r="V971" s="0"/>
      <c r="W971" s="0"/>
      <c r="X971" s="0"/>
      <c r="Y971" s="0"/>
      <c r="Z971" s="0"/>
      <c r="AA971" s="0"/>
      <c r="AB971" s="0"/>
      <c r="AC971" s="0"/>
      <c r="AD971" s="0"/>
      <c r="AE971" s="0"/>
      <c r="AF971" s="0"/>
      <c r="AG971" s="0"/>
      <c r="AH971" s="0"/>
      <c r="AI971" s="0"/>
      <c r="AJ971" s="0"/>
      <c r="AK971" s="0"/>
      <c r="AL971" s="0"/>
      <c r="AM971" s="0"/>
      <c r="AN971" s="0"/>
      <c r="AO971" s="0"/>
      <c r="AP971" s="0"/>
      <c r="AQ971" s="0"/>
      <c r="AR971" s="0"/>
      <c r="AS971" s="0"/>
      <c r="AT971" s="0"/>
      <c r="AU971" s="0"/>
      <c r="AV971" s="0"/>
      <c r="AW971" s="0"/>
      <c r="AX971" s="0"/>
      <c r="AY971" s="0"/>
      <c r="AZ971" s="0"/>
      <c r="BA971" s="0"/>
      <c r="BB971" s="0"/>
      <c r="BC971" s="0"/>
      <c r="BD971" s="0"/>
      <c r="BE971" s="0"/>
      <c r="BF971" s="0"/>
      <c r="BG971" s="0"/>
      <c r="BH971" s="0"/>
      <c r="BI971" s="0"/>
      <c r="BJ971" s="0"/>
      <c r="BK971" s="0"/>
      <c r="BL971" s="0"/>
      <c r="BM971" s="0"/>
      <c r="BN971" s="0"/>
      <c r="BO971" s="0"/>
      <c r="BP971" s="0"/>
      <c r="BQ971" s="0"/>
      <c r="BR971" s="0"/>
      <c r="BS971" s="0"/>
      <c r="BT971" s="0"/>
      <c r="BU971" s="0"/>
      <c r="BV971" s="0"/>
      <c r="BW971" s="0"/>
      <c r="BX971" s="0"/>
      <c r="BY971" s="0"/>
      <c r="BZ971" s="0"/>
      <c r="CA971" s="0"/>
      <c r="CB971" s="0"/>
      <c r="CC971" s="0"/>
      <c r="CD971" s="0"/>
      <c r="CE971" s="0"/>
      <c r="CF971" s="0"/>
      <c r="CG971" s="0"/>
      <c r="CH971" s="0"/>
      <c r="CI971" s="0"/>
      <c r="CJ971" s="0"/>
      <c r="CK971" s="0"/>
      <c r="CL971" s="0"/>
      <c r="CM971" s="0"/>
      <c r="CN971" s="0"/>
      <c r="CO971" s="0"/>
      <c r="CP971" s="0"/>
      <c r="CQ971" s="0"/>
      <c r="CR971" s="0"/>
      <c r="CS971" s="0"/>
      <c r="CT971" s="0"/>
      <c r="CU971" s="0"/>
      <c r="CV971" s="0"/>
      <c r="CW971" s="0"/>
      <c r="CX971" s="0"/>
      <c r="CY971" s="0"/>
      <c r="CZ971" s="0"/>
      <c r="DA971" s="0"/>
      <c r="DB971" s="0"/>
      <c r="DC971" s="0"/>
      <c r="DD971" s="0"/>
      <c r="DE971" s="0"/>
      <c r="DF971" s="0"/>
      <c r="DG971" s="0"/>
      <c r="DH971" s="0"/>
      <c r="DI971" s="0"/>
      <c r="DJ971" s="0"/>
      <c r="DK971" s="0"/>
      <c r="DL971" s="0"/>
      <c r="DM971" s="0"/>
      <c r="DN971" s="0"/>
      <c r="DO971" s="0"/>
      <c r="DP971" s="0"/>
      <c r="DQ971" s="0"/>
      <c r="DR971" s="0"/>
      <c r="DS971" s="0"/>
      <c r="DT971" s="0"/>
      <c r="DU971" s="0"/>
      <c r="DV971" s="0"/>
      <c r="DW971" s="0"/>
      <c r="DX971" s="0"/>
      <c r="DY971" s="0"/>
      <c r="DZ971" s="0"/>
      <c r="EA971" s="0"/>
      <c r="EB971" s="0"/>
      <c r="EC971" s="0"/>
      <c r="ED971" s="0"/>
      <c r="EE971" s="0"/>
      <c r="EF971" s="0"/>
      <c r="EG971" s="0"/>
      <c r="EH971" s="0"/>
      <c r="EI971" s="0"/>
      <c r="EJ971" s="0"/>
      <c r="EK971" s="0"/>
      <c r="EL971" s="0"/>
      <c r="EM971" s="0"/>
      <c r="EN971" s="0"/>
      <c r="EO971" s="0"/>
      <c r="EP971" s="0"/>
      <c r="EQ971" s="0"/>
      <c r="ER971" s="0"/>
      <c r="ES971" s="0"/>
      <c r="ET971" s="0"/>
      <c r="EU971" s="0"/>
      <c r="EV971" s="0"/>
      <c r="EW971" s="0"/>
      <c r="EX971" s="0"/>
      <c r="EY971" s="0"/>
      <c r="EZ971" s="0"/>
      <c r="FA971" s="0"/>
      <c r="FB971" s="0"/>
      <c r="FC971" s="0"/>
      <c r="FD971" s="0"/>
      <c r="FE971" s="0"/>
      <c r="FF971" s="0"/>
      <c r="FG971" s="0"/>
      <c r="FH971" s="0"/>
      <c r="FI971" s="0"/>
      <c r="FJ971" s="0"/>
      <c r="FK971" s="0"/>
      <c r="FL971" s="0"/>
      <c r="FM971" s="0"/>
      <c r="FN971" s="0"/>
      <c r="FO971" s="0"/>
      <c r="FP971" s="0"/>
      <c r="FQ971" s="0"/>
      <c r="FR971" s="0"/>
      <c r="FS971" s="0"/>
      <c r="FT971" s="0"/>
      <c r="FU971" s="0"/>
      <c r="FV971" s="0"/>
      <c r="FW971" s="0"/>
      <c r="FX971" s="0"/>
      <c r="FY971" s="0"/>
      <c r="FZ971" s="0"/>
      <c r="GA971" s="0"/>
      <c r="GB971" s="0"/>
      <c r="GC971" s="0"/>
      <c r="GD971" s="0"/>
      <c r="GE971" s="0"/>
      <c r="GF971" s="0"/>
      <c r="GG971" s="0"/>
      <c r="GH971" s="0"/>
      <c r="GI971" s="0"/>
      <c r="GJ971" s="0"/>
      <c r="GK971" s="0"/>
      <c r="GL971" s="0"/>
      <c r="GM971" s="0"/>
      <c r="GN971" s="0"/>
      <c r="GO971" s="0"/>
      <c r="GP971" s="0"/>
      <c r="GQ971" s="0"/>
      <c r="GR971" s="0"/>
      <c r="GS971" s="0"/>
      <c r="GT971" s="0"/>
      <c r="GU971" s="0"/>
      <c r="GV971" s="0"/>
      <c r="GW971" s="0"/>
      <c r="GX971" s="0"/>
      <c r="GY971" s="0"/>
      <c r="GZ971" s="0"/>
      <c r="HA971" s="0"/>
      <c r="HB971" s="0"/>
      <c r="HC971" s="0"/>
      <c r="HD971" s="0"/>
      <c r="HE971" s="0"/>
      <c r="HF971" s="0"/>
      <c r="HG971" s="0"/>
      <c r="HH971" s="0"/>
      <c r="HI971" s="0"/>
      <c r="HJ971" s="0"/>
      <c r="HK971" s="0"/>
      <c r="HL971" s="0"/>
      <c r="HM971" s="0"/>
      <c r="HN971" s="0"/>
      <c r="HO971" s="0"/>
      <c r="HP971" s="0"/>
      <c r="HQ971" s="0"/>
      <c r="HR971" s="0"/>
      <c r="HS971" s="0"/>
      <c r="HT971" s="0"/>
      <c r="HU971" s="0"/>
      <c r="HV971" s="0"/>
      <c r="HW971" s="0"/>
      <c r="HX971" s="0"/>
      <c r="HY971" s="0"/>
      <c r="HZ971" s="0"/>
      <c r="IA971" s="0"/>
      <c r="IB971" s="0"/>
      <c r="IC971" s="0"/>
      <c r="ID971" s="0"/>
      <c r="IE971" s="0"/>
      <c r="IF971" s="0"/>
      <c r="IG971" s="0"/>
      <c r="IH971" s="0"/>
      <c r="II971" s="0"/>
      <c r="IJ971" s="0"/>
      <c r="IK971" s="0"/>
      <c r="IL971" s="0"/>
      <c r="IM971" s="0"/>
      <c r="IN971" s="0"/>
      <c r="IO971" s="0"/>
      <c r="IP971" s="0"/>
      <c r="IQ971" s="0"/>
      <c r="IR971" s="0"/>
      <c r="IS971" s="0"/>
      <c r="IT971" s="0"/>
      <c r="IU971" s="0"/>
      <c r="IV971" s="0"/>
    </row>
    <row r="972" customFormat="false" ht="16.5" hidden="false" customHeight="true" outlineLevel="0" collapsed="false">
      <c r="A972" s="1005"/>
      <c r="B972" s="1005"/>
      <c r="C972" s="1005"/>
      <c r="D972" s="1005"/>
      <c r="E972" s="1005"/>
      <c r="F972" s="1005"/>
      <c r="G972" s="1005"/>
      <c r="H972" s="0"/>
      <c r="I972" s="0"/>
      <c r="J972" s="1270"/>
      <c r="K972" s="903"/>
      <c r="L972" s="877"/>
      <c r="M972" s="0"/>
      <c r="N972" s="0"/>
      <c r="O972" s="0"/>
      <c r="P972" s="0"/>
      <c r="Q972" s="0"/>
      <c r="R972" s="0"/>
      <c r="S972" s="0"/>
      <c r="T972" s="0"/>
      <c r="U972" s="0"/>
      <c r="V972" s="0"/>
      <c r="W972" s="0"/>
      <c r="X972" s="0"/>
      <c r="Y972" s="0"/>
      <c r="Z972" s="0"/>
      <c r="AA972" s="0"/>
      <c r="AB972" s="0"/>
      <c r="AC972" s="0"/>
      <c r="AD972" s="0"/>
      <c r="AE972" s="0"/>
      <c r="AF972" s="0"/>
      <c r="AG972" s="0"/>
      <c r="AH972" s="0"/>
      <c r="AI972" s="0"/>
      <c r="AJ972" s="0"/>
      <c r="AK972" s="0"/>
      <c r="AL972" s="0"/>
      <c r="AM972" s="0"/>
      <c r="AN972" s="0"/>
      <c r="AO972" s="0"/>
      <c r="AP972" s="0"/>
      <c r="AQ972" s="0"/>
      <c r="AR972" s="0"/>
      <c r="AS972" s="0"/>
      <c r="AT972" s="0"/>
      <c r="AU972" s="0"/>
      <c r="AV972" s="0"/>
      <c r="AW972" s="0"/>
      <c r="AX972" s="0"/>
      <c r="AY972" s="0"/>
      <c r="AZ972" s="0"/>
      <c r="BA972" s="0"/>
      <c r="BB972" s="0"/>
      <c r="BC972" s="0"/>
      <c r="BD972" s="0"/>
      <c r="BE972" s="0"/>
      <c r="BF972" s="0"/>
      <c r="BG972" s="0"/>
      <c r="BH972" s="0"/>
      <c r="BI972" s="0"/>
      <c r="BJ972" s="0"/>
      <c r="BK972" s="0"/>
      <c r="BL972" s="0"/>
      <c r="BM972" s="0"/>
      <c r="BN972" s="0"/>
      <c r="BO972" s="0"/>
      <c r="BP972" s="0"/>
      <c r="BQ972" s="0"/>
      <c r="BR972" s="0"/>
      <c r="BS972" s="0"/>
      <c r="BT972" s="0"/>
      <c r="BU972" s="0"/>
      <c r="BV972" s="0"/>
      <c r="BW972" s="0"/>
      <c r="BX972" s="0"/>
      <c r="BY972" s="0"/>
      <c r="BZ972" s="0"/>
      <c r="CA972" s="0"/>
      <c r="CB972" s="0"/>
      <c r="CC972" s="0"/>
      <c r="CD972" s="0"/>
      <c r="CE972" s="0"/>
      <c r="CF972" s="0"/>
      <c r="CG972" s="0"/>
      <c r="CH972" s="0"/>
      <c r="CI972" s="0"/>
      <c r="CJ972" s="0"/>
      <c r="CK972" s="0"/>
      <c r="CL972" s="0"/>
      <c r="CM972" s="0"/>
      <c r="CN972" s="0"/>
      <c r="CO972" s="0"/>
      <c r="CP972" s="0"/>
      <c r="CQ972" s="0"/>
      <c r="CR972" s="0"/>
      <c r="CS972" s="0"/>
      <c r="CT972" s="0"/>
      <c r="CU972" s="0"/>
      <c r="CV972" s="0"/>
      <c r="CW972" s="0"/>
      <c r="CX972" s="0"/>
      <c r="CY972" s="0"/>
      <c r="CZ972" s="0"/>
      <c r="DA972" s="0"/>
      <c r="DB972" s="0"/>
      <c r="DC972" s="0"/>
      <c r="DD972" s="0"/>
      <c r="DE972" s="0"/>
      <c r="DF972" s="0"/>
      <c r="DG972" s="0"/>
      <c r="DH972" s="0"/>
      <c r="DI972" s="0"/>
      <c r="DJ972" s="0"/>
      <c r="DK972" s="0"/>
      <c r="DL972" s="0"/>
      <c r="DM972" s="0"/>
      <c r="DN972" s="0"/>
      <c r="DO972" s="0"/>
      <c r="DP972" s="0"/>
      <c r="DQ972" s="0"/>
      <c r="DR972" s="0"/>
      <c r="DS972" s="0"/>
      <c r="DT972" s="0"/>
      <c r="DU972" s="0"/>
      <c r="DV972" s="0"/>
      <c r="DW972" s="0"/>
      <c r="DX972" s="0"/>
      <c r="DY972" s="0"/>
      <c r="DZ972" s="0"/>
      <c r="EA972" s="0"/>
      <c r="EB972" s="0"/>
      <c r="EC972" s="0"/>
      <c r="ED972" s="0"/>
      <c r="EE972" s="0"/>
      <c r="EF972" s="0"/>
      <c r="EG972" s="0"/>
      <c r="EH972" s="0"/>
      <c r="EI972" s="0"/>
      <c r="EJ972" s="0"/>
      <c r="EK972" s="0"/>
      <c r="EL972" s="0"/>
      <c r="EM972" s="0"/>
      <c r="EN972" s="0"/>
      <c r="EO972" s="0"/>
      <c r="EP972" s="0"/>
      <c r="EQ972" s="0"/>
      <c r="ER972" s="0"/>
      <c r="ES972" s="0"/>
      <c r="ET972" s="0"/>
      <c r="EU972" s="0"/>
      <c r="EV972" s="0"/>
      <c r="EW972" s="0"/>
      <c r="EX972" s="0"/>
      <c r="EY972" s="0"/>
      <c r="EZ972" s="0"/>
      <c r="FA972" s="0"/>
      <c r="FB972" s="0"/>
      <c r="FC972" s="0"/>
      <c r="FD972" s="0"/>
      <c r="FE972" s="0"/>
      <c r="FF972" s="0"/>
      <c r="FG972" s="0"/>
      <c r="FH972" s="0"/>
      <c r="FI972" s="0"/>
      <c r="FJ972" s="0"/>
      <c r="FK972" s="0"/>
      <c r="FL972" s="0"/>
      <c r="FM972" s="0"/>
      <c r="FN972" s="0"/>
      <c r="FO972" s="0"/>
      <c r="FP972" s="0"/>
      <c r="FQ972" s="0"/>
      <c r="FR972" s="0"/>
      <c r="FS972" s="0"/>
      <c r="FT972" s="0"/>
      <c r="FU972" s="0"/>
      <c r="FV972" s="0"/>
      <c r="FW972" s="0"/>
      <c r="FX972" s="0"/>
      <c r="FY972" s="0"/>
      <c r="FZ972" s="0"/>
      <c r="GA972" s="0"/>
      <c r="GB972" s="0"/>
      <c r="GC972" s="0"/>
      <c r="GD972" s="0"/>
      <c r="GE972" s="0"/>
      <c r="GF972" s="0"/>
      <c r="GG972" s="0"/>
      <c r="GH972" s="0"/>
      <c r="GI972" s="0"/>
      <c r="GJ972" s="0"/>
      <c r="GK972" s="0"/>
      <c r="GL972" s="0"/>
      <c r="GM972" s="0"/>
      <c r="GN972" s="0"/>
      <c r="GO972" s="0"/>
      <c r="GP972" s="0"/>
      <c r="GQ972" s="0"/>
      <c r="GR972" s="0"/>
      <c r="GS972" s="0"/>
      <c r="GT972" s="0"/>
      <c r="GU972" s="0"/>
      <c r="GV972" s="0"/>
      <c r="GW972" s="0"/>
      <c r="GX972" s="0"/>
      <c r="GY972" s="0"/>
      <c r="GZ972" s="0"/>
      <c r="HA972" s="0"/>
      <c r="HB972" s="0"/>
      <c r="HC972" s="0"/>
      <c r="HD972" s="0"/>
      <c r="HE972" s="0"/>
      <c r="HF972" s="0"/>
      <c r="HG972" s="0"/>
      <c r="HH972" s="0"/>
      <c r="HI972" s="0"/>
      <c r="HJ972" s="0"/>
      <c r="HK972" s="0"/>
      <c r="HL972" s="0"/>
      <c r="HM972" s="0"/>
      <c r="HN972" s="0"/>
      <c r="HO972" s="0"/>
      <c r="HP972" s="0"/>
      <c r="HQ972" s="0"/>
      <c r="HR972" s="0"/>
      <c r="HS972" s="0"/>
      <c r="HT972" s="0"/>
      <c r="HU972" s="0"/>
      <c r="HV972" s="0"/>
      <c r="HW972" s="0"/>
      <c r="HX972" s="0"/>
      <c r="HY972" s="0"/>
      <c r="HZ972" s="0"/>
      <c r="IA972" s="0"/>
      <c r="IB972" s="0"/>
      <c r="IC972" s="0"/>
      <c r="ID972" s="0"/>
      <c r="IE972" s="0"/>
      <c r="IF972" s="0"/>
      <c r="IG972" s="0"/>
      <c r="IH972" s="0"/>
      <c r="II972" s="0"/>
      <c r="IJ972" s="0"/>
      <c r="IK972" s="0"/>
      <c r="IL972" s="0"/>
      <c r="IM972" s="0"/>
      <c r="IN972" s="0"/>
      <c r="IO972" s="0"/>
      <c r="IP972" s="0"/>
      <c r="IQ972" s="0"/>
      <c r="IR972" s="0"/>
      <c r="IS972" s="0"/>
      <c r="IT972" s="0"/>
      <c r="IU972" s="0"/>
      <c r="IV972" s="0"/>
    </row>
    <row r="973" customFormat="false" ht="15.75" hidden="false" customHeight="true" outlineLevel="0" collapsed="false">
      <c r="A973" s="537" t="s">
        <v>723</v>
      </c>
      <c r="B973" s="906" t="s">
        <v>253</v>
      </c>
      <c r="D973" s="537" t="s">
        <v>725</v>
      </c>
      <c r="E973" s="906" t="s">
        <v>254</v>
      </c>
      <c r="F973" s="0"/>
      <c r="I973" s="537" t="s">
        <v>727</v>
      </c>
      <c r="J973" s="966" t="s">
        <v>253</v>
      </c>
      <c r="K973" s="0"/>
      <c r="L973" s="0"/>
      <c r="M973" s="0"/>
      <c r="T973" s="0"/>
      <c r="U973" s="0"/>
      <c r="V973" s="0"/>
      <c r="W973" s="0"/>
      <c r="X973" s="0"/>
      <c r="Y973" s="0"/>
      <c r="Z973" s="0"/>
      <c r="AA973" s="0"/>
      <c r="AB973" s="0"/>
      <c r="AC973" s="0"/>
      <c r="AD973" s="0"/>
      <c r="AE973" s="0"/>
      <c r="AF973" s="0"/>
      <c r="AG973" s="0"/>
      <c r="AH973" s="0"/>
      <c r="AI973" s="0"/>
      <c r="AJ973" s="0"/>
      <c r="AK973" s="0"/>
      <c r="AL973" s="0"/>
      <c r="AM973" s="0"/>
      <c r="AN973" s="0"/>
      <c r="AO973" s="0"/>
      <c r="AP973" s="0"/>
      <c r="AQ973" s="0"/>
      <c r="AR973" s="0"/>
      <c r="AS973" s="0"/>
      <c r="AT973" s="0"/>
      <c r="AU973" s="0"/>
      <c r="AV973" s="0"/>
      <c r="AW973" s="0"/>
      <c r="AX973" s="0"/>
      <c r="AY973" s="0"/>
      <c r="AZ973" s="0"/>
      <c r="BA973" s="0"/>
      <c r="BB973" s="0"/>
      <c r="BC973" s="0"/>
      <c r="BD973" s="0"/>
      <c r="BE973" s="0"/>
      <c r="BF973" s="0"/>
      <c r="BG973" s="0"/>
      <c r="BH973" s="0"/>
      <c r="BI973" s="0"/>
      <c r="BJ973" s="0"/>
      <c r="BK973" s="0"/>
      <c r="BL973" s="0"/>
      <c r="BM973" s="0"/>
      <c r="BN973" s="0"/>
      <c r="BO973" s="0"/>
      <c r="BP973" s="0"/>
      <c r="BQ973" s="0"/>
      <c r="BR973" s="0"/>
      <c r="BS973" s="0"/>
      <c r="BT973" s="0"/>
      <c r="BU973" s="0"/>
      <c r="BV973" s="0"/>
      <c r="BW973" s="0"/>
      <c r="BX973" s="0"/>
      <c r="BY973" s="0"/>
      <c r="BZ973" s="0"/>
      <c r="CA973" s="0"/>
      <c r="CB973" s="0"/>
      <c r="CC973" s="0"/>
      <c r="CD973" s="0"/>
      <c r="CE973" s="0"/>
      <c r="CF973" s="0"/>
      <c r="CG973" s="0"/>
      <c r="CH973" s="0"/>
      <c r="CI973" s="0"/>
      <c r="CJ973" s="0"/>
      <c r="CK973" s="0"/>
      <c r="CL973" s="0"/>
      <c r="CM973" s="0"/>
      <c r="CN973" s="0"/>
      <c r="CO973" s="0"/>
      <c r="CP973" s="0"/>
      <c r="CQ973" s="0"/>
      <c r="CR973" s="0"/>
      <c r="CS973" s="0"/>
      <c r="CT973" s="0"/>
      <c r="CU973" s="0"/>
      <c r="CV973" s="0"/>
      <c r="CW973" s="0"/>
      <c r="CX973" s="0"/>
      <c r="CY973" s="0"/>
      <c r="CZ973" s="0"/>
      <c r="DA973" s="0"/>
      <c r="DB973" s="0"/>
      <c r="DC973" s="0"/>
      <c r="DD973" s="0"/>
      <c r="DE973" s="0"/>
      <c r="DF973" s="0"/>
      <c r="DG973" s="0"/>
      <c r="DH973" s="0"/>
      <c r="DI973" s="0"/>
      <c r="DJ973" s="0"/>
      <c r="DK973" s="0"/>
      <c r="DL973" s="0"/>
      <c r="DM973" s="0"/>
      <c r="DN973" s="0"/>
      <c r="DO973" s="0"/>
      <c r="DP973" s="0"/>
      <c r="DQ973" s="0"/>
      <c r="DR973" s="0"/>
      <c r="DS973" s="0"/>
      <c r="DT973" s="0"/>
      <c r="DU973" s="0"/>
      <c r="DV973" s="0"/>
      <c r="DW973" s="0"/>
      <c r="DX973" s="0"/>
      <c r="DY973" s="0"/>
      <c r="DZ973" s="0"/>
      <c r="EA973" s="0"/>
      <c r="EB973" s="0"/>
      <c r="EC973" s="0"/>
      <c r="ED973" s="0"/>
      <c r="EE973" s="0"/>
      <c r="EF973" s="0"/>
      <c r="EG973" s="0"/>
      <c r="EH973" s="0"/>
      <c r="EI973" s="0"/>
      <c r="EJ973" s="0"/>
      <c r="EK973" s="0"/>
      <c r="EL973" s="0"/>
      <c r="EM973" s="0"/>
      <c r="EN973" s="0"/>
      <c r="EO973" s="0"/>
      <c r="EP973" s="0"/>
      <c r="EQ973" s="0"/>
      <c r="ER973" s="0"/>
      <c r="ES973" s="0"/>
      <c r="ET973" s="0"/>
      <c r="EU973" s="0"/>
      <c r="EV973" s="0"/>
      <c r="EW973" s="0"/>
      <c r="EX973" s="0"/>
      <c r="EY973" s="0"/>
      <c r="EZ973" s="0"/>
      <c r="FA973" s="0"/>
      <c r="FB973" s="0"/>
      <c r="FC973" s="0"/>
      <c r="FD973" s="0"/>
      <c r="FE973" s="0"/>
      <c r="FF973" s="0"/>
      <c r="FG973" s="0"/>
      <c r="FH973" s="0"/>
      <c r="FI973" s="0"/>
      <c r="FJ973" s="0"/>
      <c r="FK973" s="0"/>
      <c r="FL973" s="0"/>
      <c r="FM973" s="0"/>
      <c r="FN973" s="0"/>
      <c r="FO973" s="0"/>
      <c r="FP973" s="0"/>
      <c r="FQ973" s="0"/>
      <c r="FR973" s="0"/>
      <c r="FS973" s="0"/>
      <c r="FT973" s="0"/>
      <c r="FU973" s="0"/>
      <c r="FV973" s="0"/>
      <c r="FW973" s="0"/>
      <c r="FX973" s="0"/>
      <c r="FY973" s="0"/>
      <c r="FZ973" s="0"/>
      <c r="GA973" s="0"/>
      <c r="GB973" s="0"/>
      <c r="GC973" s="0"/>
      <c r="GD973" s="0"/>
      <c r="GE973" s="0"/>
      <c r="GF973" s="0"/>
      <c r="GG973" s="0"/>
      <c r="GH973" s="0"/>
      <c r="GI973" s="0"/>
      <c r="GJ973" s="0"/>
      <c r="GK973" s="0"/>
      <c r="GL973" s="0"/>
      <c r="GM973" s="0"/>
      <c r="GN973" s="0"/>
      <c r="GO973" s="0"/>
      <c r="GP973" s="0"/>
      <c r="GQ973" s="0"/>
      <c r="GR973" s="0"/>
      <c r="GS973" s="0"/>
      <c r="GT973" s="0"/>
      <c r="GU973" s="0"/>
      <c r="GV973" s="0"/>
      <c r="GW973" s="0"/>
      <c r="GX973" s="0"/>
      <c r="GY973" s="0"/>
      <c r="GZ973" s="0"/>
      <c r="HA973" s="0"/>
      <c r="HB973" s="0"/>
      <c r="HC973" s="0"/>
      <c r="HD973" s="0"/>
      <c r="HE973" s="0"/>
      <c r="HF973" s="0"/>
      <c r="HG973" s="0"/>
      <c r="HH973" s="0"/>
      <c r="HI973" s="0"/>
      <c r="HJ973" s="0"/>
      <c r="HK973" s="0"/>
      <c r="HL973" s="0"/>
      <c r="HM973" s="0"/>
      <c r="HN973" s="0"/>
      <c r="HO973" s="0"/>
      <c r="HP973" s="0"/>
      <c r="HQ973" s="0"/>
      <c r="HR973" s="0"/>
      <c r="HS973" s="0"/>
      <c r="HT973" s="0"/>
      <c r="HU973" s="0"/>
      <c r="HV973" s="0"/>
      <c r="HW973" s="0"/>
      <c r="HX973" s="0"/>
      <c r="HY973" s="0"/>
      <c r="HZ973" s="0"/>
      <c r="IA973" s="0"/>
      <c r="IB973" s="0"/>
      <c r="IC973" s="0"/>
      <c r="ID973" s="0"/>
      <c r="IE973" s="0"/>
      <c r="IF973" s="0"/>
      <c r="IG973" s="0"/>
      <c r="IH973" s="0"/>
      <c r="II973" s="0"/>
      <c r="IJ973" s="0"/>
      <c r="IK973" s="0"/>
      <c r="IL973" s="0"/>
      <c r="IM973" s="0"/>
      <c r="IN973" s="0"/>
      <c r="IO973" s="0"/>
      <c r="IP973" s="0"/>
      <c r="IQ973" s="0"/>
      <c r="IR973" s="0"/>
      <c r="IS973" s="0"/>
      <c r="IT973" s="0"/>
      <c r="IU973" s="0"/>
      <c r="IV973" s="0"/>
    </row>
    <row r="974" customFormat="false" ht="15" hidden="false" customHeight="true" outlineLevel="0" collapsed="false">
      <c r="A974" s="0"/>
      <c r="B974" s="0"/>
      <c r="C974" s="0"/>
      <c r="D974" s="0"/>
      <c r="E974" s="0"/>
      <c r="F974" s="1289"/>
      <c r="G974" s="0"/>
      <c r="H974" s="0"/>
      <c r="I974" s="0"/>
      <c r="J974" s="0"/>
      <c r="K974" s="903"/>
      <c r="L974" s="877"/>
      <c r="M974" s="0"/>
      <c r="N974" s="0"/>
      <c r="O974" s="0"/>
      <c r="P974" s="0"/>
      <c r="Q974" s="0"/>
      <c r="R974" s="0"/>
      <c r="S974" s="0"/>
      <c r="T974" s="0"/>
      <c r="U974" s="0"/>
      <c r="V974" s="0"/>
      <c r="W974" s="0"/>
      <c r="X974" s="0"/>
      <c r="Y974" s="0"/>
      <c r="Z974" s="0"/>
      <c r="AA974" s="0"/>
      <c r="AB974" s="0"/>
      <c r="AC974" s="0"/>
      <c r="AD974" s="0"/>
      <c r="AE974" s="0"/>
      <c r="AF974" s="0"/>
      <c r="AG974" s="0"/>
      <c r="AH974" s="0"/>
      <c r="AI974" s="0"/>
      <c r="AJ974" s="0"/>
      <c r="AK974" s="0"/>
      <c r="AL974" s="0"/>
      <c r="AM974" s="0"/>
      <c r="AN974" s="0"/>
      <c r="AO974" s="0"/>
      <c r="AP974" s="0"/>
      <c r="AQ974" s="0"/>
      <c r="AR974" s="0"/>
      <c r="AS974" s="0"/>
      <c r="AT974" s="0"/>
      <c r="AU974" s="0"/>
      <c r="AV974" s="0"/>
      <c r="AW974" s="0"/>
      <c r="AX974" s="0"/>
      <c r="AY974" s="0"/>
      <c r="AZ974" s="0"/>
      <c r="BA974" s="0"/>
      <c r="BB974" s="0"/>
      <c r="BC974" s="0"/>
      <c r="BD974" s="0"/>
      <c r="BE974" s="0"/>
      <c r="BF974" s="0"/>
      <c r="BG974" s="0"/>
      <c r="BH974" s="0"/>
      <c r="BI974" s="0"/>
      <c r="BJ974" s="0"/>
      <c r="BK974" s="0"/>
      <c r="BL974" s="0"/>
      <c r="BM974" s="0"/>
      <c r="BN974" s="0"/>
      <c r="BO974" s="0"/>
      <c r="BP974" s="0"/>
      <c r="BQ974" s="0"/>
      <c r="BR974" s="0"/>
      <c r="BS974" s="0"/>
      <c r="BT974" s="0"/>
      <c r="BU974" s="0"/>
      <c r="BV974" s="0"/>
      <c r="BW974" s="0"/>
      <c r="BX974" s="0"/>
      <c r="BY974" s="0"/>
      <c r="BZ974" s="0"/>
      <c r="CA974" s="0"/>
      <c r="CB974" s="0"/>
      <c r="CC974" s="0"/>
      <c r="CD974" s="0"/>
      <c r="CE974" s="0"/>
      <c r="CF974" s="0"/>
      <c r="CG974" s="0"/>
      <c r="CH974" s="0"/>
      <c r="CI974" s="0"/>
      <c r="CJ974" s="0"/>
      <c r="CK974" s="0"/>
      <c r="CL974" s="0"/>
      <c r="CM974" s="0"/>
      <c r="CN974" s="0"/>
      <c r="CO974" s="0"/>
      <c r="CP974" s="0"/>
      <c r="CQ974" s="0"/>
      <c r="CR974" s="0"/>
      <c r="CS974" s="0"/>
      <c r="CT974" s="0"/>
      <c r="CU974" s="0"/>
      <c r="CV974" s="0"/>
      <c r="CW974" s="0"/>
      <c r="CX974" s="0"/>
      <c r="CY974" s="0"/>
      <c r="CZ974" s="0"/>
      <c r="DA974" s="0"/>
      <c r="DB974" s="0"/>
      <c r="DC974" s="0"/>
      <c r="DD974" s="0"/>
      <c r="DE974" s="0"/>
      <c r="DF974" s="0"/>
      <c r="DG974" s="0"/>
      <c r="DH974" s="0"/>
      <c r="DI974" s="0"/>
      <c r="DJ974" s="0"/>
      <c r="DK974" s="0"/>
      <c r="DL974" s="0"/>
      <c r="DM974" s="0"/>
      <c r="DN974" s="0"/>
      <c r="DO974" s="0"/>
      <c r="DP974" s="0"/>
      <c r="DQ974" s="0"/>
      <c r="DR974" s="0"/>
      <c r="DS974" s="0"/>
      <c r="DT974" s="0"/>
      <c r="DU974" s="0"/>
      <c r="DV974" s="0"/>
      <c r="DW974" s="0"/>
      <c r="DX974" s="0"/>
      <c r="DY974" s="0"/>
      <c r="DZ974" s="0"/>
      <c r="EA974" s="0"/>
      <c r="EB974" s="0"/>
      <c r="EC974" s="0"/>
      <c r="ED974" s="0"/>
      <c r="EE974" s="0"/>
      <c r="EF974" s="0"/>
      <c r="EG974" s="0"/>
      <c r="EH974" s="0"/>
      <c r="EI974" s="0"/>
      <c r="EJ974" s="0"/>
      <c r="EK974" s="0"/>
      <c r="EL974" s="0"/>
      <c r="EM974" s="0"/>
      <c r="EN974" s="0"/>
      <c r="EO974" s="0"/>
      <c r="EP974" s="0"/>
      <c r="EQ974" s="0"/>
      <c r="ER974" s="0"/>
      <c r="ES974" s="0"/>
      <c r="ET974" s="0"/>
      <c r="EU974" s="0"/>
      <c r="EV974" s="0"/>
      <c r="EW974" s="0"/>
      <c r="EX974" s="0"/>
      <c r="EY974" s="0"/>
      <c r="EZ974" s="0"/>
      <c r="FA974" s="0"/>
      <c r="FB974" s="0"/>
      <c r="FC974" s="0"/>
      <c r="FD974" s="0"/>
      <c r="FE974" s="0"/>
      <c r="FF974" s="0"/>
      <c r="FG974" s="0"/>
      <c r="FH974" s="0"/>
      <c r="FI974" s="0"/>
      <c r="FJ974" s="0"/>
      <c r="FK974" s="0"/>
      <c r="FL974" s="0"/>
      <c r="FM974" s="0"/>
      <c r="FN974" s="0"/>
      <c r="FO974" s="0"/>
      <c r="FP974" s="0"/>
      <c r="FQ974" s="0"/>
      <c r="FR974" s="0"/>
      <c r="FS974" s="0"/>
      <c r="FT974" s="0"/>
      <c r="FU974" s="0"/>
      <c r="FV974" s="0"/>
      <c r="FW974" s="0"/>
      <c r="FX974" s="0"/>
      <c r="FY974" s="0"/>
      <c r="FZ974" s="0"/>
      <c r="GA974" s="0"/>
      <c r="GB974" s="0"/>
      <c r="GC974" s="0"/>
      <c r="GD974" s="0"/>
      <c r="GE974" s="0"/>
      <c r="GF974" s="0"/>
      <c r="GG974" s="0"/>
      <c r="GH974" s="0"/>
      <c r="GI974" s="0"/>
      <c r="GJ974" s="0"/>
      <c r="GK974" s="0"/>
      <c r="GL974" s="0"/>
      <c r="GM974" s="0"/>
      <c r="GN974" s="0"/>
      <c r="GO974" s="0"/>
      <c r="GP974" s="0"/>
      <c r="GQ974" s="0"/>
      <c r="GR974" s="0"/>
      <c r="GS974" s="0"/>
      <c r="GT974" s="0"/>
      <c r="GU974" s="0"/>
      <c r="GV974" s="0"/>
      <c r="GW974" s="0"/>
      <c r="GX974" s="0"/>
      <c r="GY974" s="0"/>
      <c r="GZ974" s="0"/>
      <c r="HA974" s="0"/>
      <c r="HB974" s="0"/>
      <c r="HC974" s="0"/>
      <c r="HD974" s="0"/>
      <c r="HE974" s="0"/>
      <c r="HF974" s="0"/>
      <c r="HG974" s="0"/>
      <c r="HH974" s="0"/>
      <c r="HI974" s="0"/>
      <c r="HJ974" s="0"/>
      <c r="HK974" s="0"/>
      <c r="HL974" s="0"/>
      <c r="HM974" s="0"/>
      <c r="HN974" s="0"/>
      <c r="HO974" s="0"/>
      <c r="HP974" s="0"/>
      <c r="HQ974" s="0"/>
      <c r="HR974" s="0"/>
      <c r="HS974" s="0"/>
      <c r="HT974" s="0"/>
      <c r="HU974" s="0"/>
      <c r="HV974" s="0"/>
      <c r="HW974" s="0"/>
      <c r="HX974" s="0"/>
      <c r="HY974" s="0"/>
      <c r="HZ974" s="0"/>
      <c r="IA974" s="0"/>
      <c r="IB974" s="0"/>
      <c r="IC974" s="0"/>
      <c r="ID974" s="0"/>
      <c r="IE974" s="0"/>
      <c r="IF974" s="0"/>
      <c r="IG974" s="0"/>
      <c r="IH974" s="0"/>
      <c r="II974" s="0"/>
      <c r="IJ974" s="0"/>
      <c r="IK974" s="0"/>
      <c r="IL974" s="0"/>
      <c r="IM974" s="0"/>
      <c r="IN974" s="0"/>
      <c r="IO974" s="0"/>
      <c r="IP974" s="0"/>
      <c r="IQ974" s="0"/>
      <c r="IR974" s="0"/>
      <c r="IS974" s="0"/>
      <c r="IT974" s="0"/>
      <c r="IU974" s="0"/>
      <c r="IV974" s="0"/>
    </row>
    <row r="975" customFormat="false" ht="15" hidden="false" customHeight="true" outlineLevel="0" collapsed="false">
      <c r="F975" s="1289"/>
      <c r="K975" s="903"/>
      <c r="L975" s="877"/>
    </row>
    <row r="976" customFormat="false" ht="15.75" hidden="false" customHeight="true" outlineLevel="0" collapsed="false">
      <c r="A976" s="869" t="s">
        <v>1670</v>
      </c>
      <c r="B976" s="869"/>
      <c r="C976" s="869"/>
      <c r="D976" s="869"/>
      <c r="E976" s="869"/>
      <c r="F976" s="869"/>
      <c r="G976" s="869"/>
      <c r="H976" s="53"/>
      <c r="I976" s="53"/>
      <c r="J976" s="53"/>
      <c r="K976" s="870"/>
      <c r="L976" s="871" t="s">
        <v>1613</v>
      </c>
    </row>
    <row r="977" customFormat="false" ht="15.75" hidden="false" customHeight="true" outlineLevel="0" collapsed="false">
      <c r="A977" s="0"/>
      <c r="B977" s="0"/>
      <c r="C977" s="0"/>
      <c r="D977" s="0"/>
      <c r="E977" s="0"/>
      <c r="F977" s="0"/>
      <c r="G977" s="0"/>
      <c r="J977" s="0"/>
      <c r="K977" s="0"/>
      <c r="L977" s="1290"/>
    </row>
    <row r="978" customFormat="false" ht="15.75" hidden="false" customHeight="true" outlineLevel="0" collapsed="false">
      <c r="A978" s="0"/>
      <c r="B978" s="0"/>
      <c r="C978" s="0"/>
      <c r="D978" s="0"/>
      <c r="E978" s="0"/>
      <c r="F978" s="1154" t="s">
        <v>699</v>
      </c>
      <c r="G978" s="1154" t="s">
        <v>700</v>
      </c>
      <c r="J978" s="0"/>
      <c r="K978" s="0"/>
      <c r="L978" s="19"/>
      <c r="M978" s="0"/>
      <c r="N978" s="0"/>
      <c r="O978" s="0"/>
      <c r="P978" s="0"/>
      <c r="Q978" s="0"/>
      <c r="R978" s="0"/>
      <c r="S978" s="0"/>
      <c r="T978" s="0"/>
      <c r="U978" s="0"/>
      <c r="V978" s="0"/>
      <c r="W978" s="0"/>
      <c r="X978" s="0"/>
      <c r="Y978" s="0"/>
      <c r="Z978" s="0"/>
      <c r="AA978" s="0"/>
      <c r="AB978" s="0"/>
      <c r="AC978" s="0"/>
      <c r="AD978" s="0"/>
      <c r="AE978" s="0"/>
      <c r="AF978" s="0"/>
      <c r="AG978" s="0"/>
      <c r="AH978" s="0"/>
      <c r="AI978" s="0"/>
      <c r="AJ978" s="0"/>
      <c r="AK978" s="0"/>
      <c r="AL978" s="0"/>
      <c r="AM978" s="0"/>
      <c r="AN978" s="0"/>
      <c r="AO978" s="0"/>
      <c r="AP978" s="0"/>
      <c r="AQ978" s="0"/>
      <c r="AR978" s="0"/>
      <c r="AS978" s="0"/>
      <c r="AT978" s="0"/>
      <c r="AU978" s="0"/>
      <c r="AV978" s="0"/>
      <c r="AW978" s="0"/>
      <c r="AX978" s="0"/>
      <c r="AY978" s="0"/>
      <c r="AZ978" s="0"/>
      <c r="BA978" s="0"/>
      <c r="BB978" s="0"/>
      <c r="BC978" s="0"/>
      <c r="BD978" s="0"/>
      <c r="BE978" s="0"/>
      <c r="BF978" s="0"/>
      <c r="BG978" s="0"/>
      <c r="BH978" s="0"/>
      <c r="BI978" s="0"/>
      <c r="BJ978" s="0"/>
      <c r="BK978" s="0"/>
      <c r="BL978" s="0"/>
      <c r="BM978" s="0"/>
      <c r="BN978" s="0"/>
      <c r="BO978" s="0"/>
      <c r="BP978" s="0"/>
      <c r="BQ978" s="0"/>
      <c r="BR978" s="0"/>
      <c r="BS978" s="0"/>
      <c r="BT978" s="0"/>
      <c r="BU978" s="0"/>
      <c r="BV978" s="0"/>
      <c r="BW978" s="0"/>
      <c r="BX978" s="0"/>
      <c r="BY978" s="0"/>
      <c r="BZ978" s="0"/>
      <c r="CA978" s="0"/>
      <c r="CB978" s="0"/>
      <c r="CC978" s="0"/>
      <c r="CD978" s="0"/>
      <c r="CE978" s="0"/>
      <c r="CF978" s="0"/>
      <c r="CG978" s="0"/>
      <c r="CH978" s="0"/>
      <c r="CI978" s="0"/>
      <c r="CJ978" s="0"/>
      <c r="CK978" s="0"/>
      <c r="CL978" s="0"/>
      <c r="CM978" s="0"/>
      <c r="CN978" s="0"/>
      <c r="CO978" s="0"/>
      <c r="CP978" s="0"/>
      <c r="CQ978" s="0"/>
      <c r="CR978" s="0"/>
      <c r="CS978" s="0"/>
      <c r="CT978" s="0"/>
      <c r="CU978" s="0"/>
      <c r="CV978" s="0"/>
      <c r="CW978" s="0"/>
      <c r="CX978" s="0"/>
      <c r="CY978" s="0"/>
      <c r="CZ978" s="0"/>
      <c r="DA978" s="0"/>
      <c r="DB978" s="0"/>
      <c r="DC978" s="0"/>
      <c r="DD978" s="0"/>
      <c r="DE978" s="0"/>
      <c r="DF978" s="0"/>
      <c r="DG978" s="0"/>
      <c r="DH978" s="0"/>
      <c r="DI978" s="0"/>
      <c r="DJ978" s="0"/>
      <c r="DK978" s="0"/>
      <c r="DL978" s="0"/>
      <c r="DM978" s="0"/>
      <c r="DN978" s="0"/>
      <c r="DO978" s="0"/>
      <c r="DP978" s="0"/>
      <c r="DQ978" s="0"/>
      <c r="DR978" s="0"/>
      <c r="DS978" s="0"/>
      <c r="DT978" s="0"/>
      <c r="DU978" s="0"/>
      <c r="DV978" s="0"/>
      <c r="DW978" s="0"/>
      <c r="DX978" s="0"/>
      <c r="DY978" s="0"/>
      <c r="DZ978" s="0"/>
      <c r="EA978" s="0"/>
      <c r="EB978" s="0"/>
      <c r="EC978" s="0"/>
      <c r="ED978" s="0"/>
      <c r="EE978" s="0"/>
      <c r="EF978" s="0"/>
      <c r="EG978" s="0"/>
      <c r="EH978" s="0"/>
      <c r="EI978" s="0"/>
      <c r="EJ978" s="0"/>
      <c r="EK978" s="0"/>
      <c r="EL978" s="0"/>
      <c r="EM978" s="0"/>
      <c r="EN978" s="0"/>
      <c r="EO978" s="0"/>
      <c r="EP978" s="0"/>
      <c r="EQ978" s="0"/>
      <c r="ER978" s="0"/>
      <c r="ES978" s="0"/>
      <c r="ET978" s="0"/>
      <c r="EU978" s="0"/>
      <c r="EV978" s="0"/>
      <c r="EW978" s="0"/>
      <c r="EX978" s="0"/>
      <c r="EY978" s="0"/>
      <c r="EZ978" s="0"/>
      <c r="FA978" s="0"/>
      <c r="FB978" s="0"/>
      <c r="FC978" s="0"/>
      <c r="FD978" s="0"/>
      <c r="FE978" s="0"/>
      <c r="FF978" s="0"/>
      <c r="FG978" s="0"/>
      <c r="FH978" s="0"/>
      <c r="FI978" s="0"/>
      <c r="FJ978" s="0"/>
      <c r="FK978" s="0"/>
      <c r="FL978" s="0"/>
      <c r="FM978" s="0"/>
      <c r="FN978" s="0"/>
      <c r="FO978" s="0"/>
      <c r="FP978" s="0"/>
      <c r="FQ978" s="0"/>
      <c r="FR978" s="0"/>
      <c r="FS978" s="0"/>
      <c r="FT978" s="0"/>
      <c r="FU978" s="0"/>
      <c r="FV978" s="0"/>
      <c r="FW978" s="0"/>
      <c r="FX978" s="0"/>
      <c r="FY978" s="0"/>
      <c r="FZ978" s="0"/>
      <c r="GA978" s="0"/>
      <c r="GB978" s="0"/>
      <c r="GC978" s="0"/>
      <c r="GD978" s="0"/>
      <c r="GE978" s="0"/>
      <c r="GF978" s="0"/>
      <c r="GG978" s="0"/>
      <c r="GH978" s="0"/>
      <c r="GI978" s="0"/>
      <c r="GJ978" s="0"/>
      <c r="GK978" s="0"/>
      <c r="GL978" s="0"/>
      <c r="GM978" s="0"/>
      <c r="GN978" s="0"/>
      <c r="GO978" s="0"/>
      <c r="GP978" s="0"/>
      <c r="GQ978" s="0"/>
      <c r="GR978" s="0"/>
      <c r="GS978" s="0"/>
      <c r="GT978" s="0"/>
      <c r="GU978" s="0"/>
      <c r="GV978" s="0"/>
      <c r="GW978" s="0"/>
      <c r="GX978" s="0"/>
      <c r="GY978" s="0"/>
      <c r="GZ978" s="0"/>
      <c r="HA978" s="0"/>
      <c r="HB978" s="0"/>
      <c r="HC978" s="0"/>
      <c r="HD978" s="0"/>
      <c r="HE978" s="0"/>
      <c r="HF978" s="0"/>
      <c r="HG978" s="0"/>
      <c r="HH978" s="0"/>
      <c r="HI978" s="0"/>
      <c r="HJ978" s="0"/>
      <c r="HK978" s="0"/>
      <c r="HL978" s="0"/>
      <c r="HM978" s="0"/>
      <c r="HN978" s="0"/>
      <c r="HO978" s="0"/>
      <c r="HP978" s="0"/>
      <c r="HQ978" s="0"/>
      <c r="HR978" s="0"/>
      <c r="HS978" s="0"/>
      <c r="HT978" s="0"/>
      <c r="HU978" s="0"/>
      <c r="HV978" s="0"/>
      <c r="HW978" s="0"/>
      <c r="HX978" s="0"/>
      <c r="HY978" s="0"/>
      <c r="HZ978" s="0"/>
      <c r="IA978" s="0"/>
      <c r="IB978" s="0"/>
      <c r="IC978" s="0"/>
      <c r="ID978" s="0"/>
      <c r="IE978" s="0"/>
      <c r="IF978" s="0"/>
      <c r="IG978" s="0"/>
      <c r="IH978" s="0"/>
      <c r="II978" s="0"/>
      <c r="IJ978" s="0"/>
      <c r="IK978" s="0"/>
      <c r="IL978" s="0"/>
      <c r="IM978" s="0"/>
      <c r="IN978" s="0"/>
      <c r="IO978" s="0"/>
      <c r="IP978" s="0"/>
      <c r="IQ978" s="0"/>
      <c r="IR978" s="0"/>
      <c r="IS978" s="0"/>
      <c r="IT978" s="0"/>
      <c r="IU978" s="0"/>
      <c r="IV978" s="0"/>
    </row>
    <row r="979" customFormat="false" ht="15.75" hidden="false" customHeight="true" outlineLevel="0" collapsed="false">
      <c r="A979" s="0"/>
      <c r="B979" s="1291" t="s">
        <v>704</v>
      </c>
      <c r="C979" s="1291"/>
      <c r="D979" s="1291"/>
      <c r="E979" s="1291"/>
      <c r="F979" s="1154"/>
      <c r="G979" s="1154"/>
      <c r="J979" s="0"/>
      <c r="K979" s="0"/>
      <c r="L979" s="19"/>
      <c r="M979" s="0"/>
      <c r="N979" s="0"/>
      <c r="O979" s="0"/>
      <c r="P979" s="0"/>
      <c r="Q979" s="0"/>
      <c r="R979" s="0"/>
      <c r="S979" s="0"/>
      <c r="T979" s="0"/>
      <c r="U979" s="0"/>
      <c r="V979" s="0"/>
      <c r="W979" s="0"/>
      <c r="X979" s="0"/>
      <c r="Y979" s="0"/>
      <c r="Z979" s="0"/>
      <c r="AA979" s="0"/>
      <c r="AB979" s="0"/>
      <c r="AC979" s="0"/>
      <c r="AD979" s="0"/>
      <c r="AE979" s="0"/>
      <c r="AF979" s="0"/>
      <c r="AG979" s="0"/>
      <c r="AH979" s="0"/>
      <c r="AI979" s="0"/>
      <c r="AJ979" s="0"/>
      <c r="AK979" s="0"/>
      <c r="AL979" s="0"/>
      <c r="AM979" s="0"/>
      <c r="AN979" s="0"/>
      <c r="AO979" s="0"/>
      <c r="AP979" s="0"/>
      <c r="AQ979" s="0"/>
      <c r="AR979" s="0"/>
      <c r="AS979" s="0"/>
      <c r="AT979" s="0"/>
      <c r="AU979" s="0"/>
      <c r="AV979" s="0"/>
      <c r="AW979" s="0"/>
      <c r="AX979" s="0"/>
      <c r="AY979" s="0"/>
      <c r="AZ979" s="0"/>
      <c r="BA979" s="0"/>
      <c r="BB979" s="0"/>
      <c r="BC979" s="0"/>
      <c r="BD979" s="0"/>
      <c r="BE979" s="0"/>
      <c r="BF979" s="0"/>
      <c r="BG979" s="0"/>
      <c r="BH979" s="0"/>
      <c r="BI979" s="0"/>
      <c r="BJ979" s="0"/>
      <c r="BK979" s="0"/>
      <c r="BL979" s="0"/>
      <c r="BM979" s="0"/>
      <c r="BN979" s="0"/>
      <c r="BO979" s="0"/>
      <c r="BP979" s="0"/>
      <c r="BQ979" s="0"/>
      <c r="BR979" s="0"/>
      <c r="BS979" s="0"/>
      <c r="BT979" s="0"/>
      <c r="BU979" s="0"/>
      <c r="BV979" s="0"/>
      <c r="BW979" s="0"/>
      <c r="BX979" s="0"/>
      <c r="BY979" s="0"/>
      <c r="BZ979" s="0"/>
      <c r="CA979" s="0"/>
      <c r="CB979" s="0"/>
      <c r="CC979" s="0"/>
      <c r="CD979" s="0"/>
      <c r="CE979" s="0"/>
      <c r="CF979" s="0"/>
      <c r="CG979" s="0"/>
      <c r="CH979" s="0"/>
      <c r="CI979" s="0"/>
      <c r="CJ979" s="0"/>
      <c r="CK979" s="0"/>
      <c r="CL979" s="0"/>
      <c r="CM979" s="0"/>
      <c r="CN979" s="0"/>
      <c r="CO979" s="0"/>
      <c r="CP979" s="0"/>
      <c r="CQ979" s="0"/>
      <c r="CR979" s="0"/>
      <c r="CS979" s="0"/>
      <c r="CT979" s="0"/>
      <c r="CU979" s="0"/>
      <c r="CV979" s="0"/>
      <c r="CW979" s="0"/>
      <c r="CX979" s="0"/>
      <c r="CY979" s="0"/>
      <c r="CZ979" s="0"/>
      <c r="DA979" s="0"/>
      <c r="DB979" s="0"/>
      <c r="DC979" s="0"/>
      <c r="DD979" s="0"/>
      <c r="DE979" s="0"/>
      <c r="DF979" s="0"/>
      <c r="DG979" s="0"/>
      <c r="DH979" s="0"/>
      <c r="DI979" s="0"/>
      <c r="DJ979" s="0"/>
      <c r="DK979" s="0"/>
      <c r="DL979" s="0"/>
      <c r="DM979" s="0"/>
      <c r="DN979" s="0"/>
      <c r="DO979" s="0"/>
      <c r="DP979" s="0"/>
      <c r="DQ979" s="0"/>
      <c r="DR979" s="0"/>
      <c r="DS979" s="0"/>
      <c r="DT979" s="0"/>
      <c r="DU979" s="0"/>
      <c r="DV979" s="0"/>
      <c r="DW979" s="0"/>
      <c r="DX979" s="0"/>
      <c r="DY979" s="0"/>
      <c r="DZ979" s="0"/>
      <c r="EA979" s="0"/>
      <c r="EB979" s="0"/>
      <c r="EC979" s="0"/>
      <c r="ED979" s="0"/>
      <c r="EE979" s="0"/>
      <c r="EF979" s="0"/>
      <c r="EG979" s="0"/>
      <c r="EH979" s="0"/>
      <c r="EI979" s="0"/>
      <c r="EJ979" s="0"/>
      <c r="EK979" s="0"/>
      <c r="EL979" s="0"/>
      <c r="EM979" s="0"/>
      <c r="EN979" s="0"/>
      <c r="EO979" s="0"/>
      <c r="EP979" s="0"/>
      <c r="EQ979" s="0"/>
      <c r="ER979" s="0"/>
      <c r="ES979" s="0"/>
      <c r="ET979" s="0"/>
      <c r="EU979" s="0"/>
      <c r="EV979" s="0"/>
      <c r="EW979" s="0"/>
      <c r="EX979" s="0"/>
      <c r="EY979" s="0"/>
      <c r="EZ979" s="0"/>
      <c r="FA979" s="0"/>
      <c r="FB979" s="0"/>
      <c r="FC979" s="0"/>
      <c r="FD979" s="0"/>
      <c r="FE979" s="0"/>
      <c r="FF979" s="0"/>
      <c r="FG979" s="0"/>
      <c r="FH979" s="0"/>
      <c r="FI979" s="0"/>
      <c r="FJ979" s="0"/>
      <c r="FK979" s="0"/>
      <c r="FL979" s="0"/>
      <c r="FM979" s="0"/>
      <c r="FN979" s="0"/>
      <c r="FO979" s="0"/>
      <c r="FP979" s="0"/>
      <c r="FQ979" s="0"/>
      <c r="FR979" s="0"/>
      <c r="FS979" s="0"/>
      <c r="FT979" s="0"/>
      <c r="FU979" s="0"/>
      <c r="FV979" s="0"/>
      <c r="FW979" s="0"/>
      <c r="FX979" s="0"/>
      <c r="FY979" s="0"/>
      <c r="FZ979" s="0"/>
      <c r="GA979" s="0"/>
      <c r="GB979" s="0"/>
      <c r="GC979" s="0"/>
      <c r="GD979" s="0"/>
      <c r="GE979" s="0"/>
      <c r="GF979" s="0"/>
      <c r="GG979" s="0"/>
      <c r="GH979" s="0"/>
      <c r="GI979" s="0"/>
      <c r="GJ979" s="0"/>
      <c r="GK979" s="0"/>
      <c r="GL979" s="0"/>
      <c r="GM979" s="0"/>
      <c r="GN979" s="0"/>
      <c r="GO979" s="0"/>
      <c r="GP979" s="0"/>
      <c r="GQ979" s="0"/>
      <c r="GR979" s="0"/>
      <c r="GS979" s="0"/>
      <c r="GT979" s="0"/>
      <c r="GU979" s="0"/>
      <c r="GV979" s="0"/>
      <c r="GW979" s="0"/>
      <c r="GX979" s="0"/>
      <c r="GY979" s="0"/>
      <c r="GZ979" s="0"/>
      <c r="HA979" s="0"/>
      <c r="HB979" s="0"/>
      <c r="HC979" s="0"/>
      <c r="HD979" s="0"/>
      <c r="HE979" s="0"/>
      <c r="HF979" s="0"/>
      <c r="HG979" s="0"/>
      <c r="HH979" s="0"/>
      <c r="HI979" s="0"/>
      <c r="HJ979" s="0"/>
      <c r="HK979" s="0"/>
      <c r="HL979" s="0"/>
      <c r="HM979" s="0"/>
      <c r="HN979" s="0"/>
      <c r="HO979" s="0"/>
      <c r="HP979" s="0"/>
      <c r="HQ979" s="0"/>
      <c r="HR979" s="0"/>
      <c r="HS979" s="0"/>
      <c r="HT979" s="0"/>
      <c r="HU979" s="0"/>
      <c r="HV979" s="0"/>
      <c r="HW979" s="0"/>
      <c r="HX979" s="0"/>
      <c r="HY979" s="0"/>
      <c r="HZ979" s="0"/>
      <c r="IA979" s="0"/>
      <c r="IB979" s="0"/>
      <c r="IC979" s="0"/>
      <c r="ID979" s="0"/>
      <c r="IE979" s="0"/>
      <c r="IF979" s="0"/>
      <c r="IG979" s="0"/>
      <c r="IH979" s="0"/>
      <c r="II979" s="0"/>
      <c r="IJ979" s="0"/>
      <c r="IK979" s="0"/>
      <c r="IL979" s="0"/>
      <c r="IM979" s="0"/>
      <c r="IN979" s="0"/>
      <c r="IO979" s="0"/>
      <c r="IP979" s="0"/>
      <c r="IQ979" s="0"/>
      <c r="IR979" s="0"/>
      <c r="IS979" s="0"/>
      <c r="IT979" s="0"/>
      <c r="IU979" s="0"/>
      <c r="IV979" s="0"/>
    </row>
    <row r="980" customFormat="false" ht="15" hidden="false" customHeight="true" outlineLevel="0" collapsed="false">
      <c r="A980" s="0"/>
      <c r="B980" s="964" t="s">
        <v>705</v>
      </c>
      <c r="C980" s="1292" t="s">
        <v>706</v>
      </c>
      <c r="D980" s="1292"/>
      <c r="E980" s="1292"/>
      <c r="F980" s="1293" t="s">
        <v>253</v>
      </c>
      <c r="G980" s="1293" t="s">
        <v>1671</v>
      </c>
      <c r="H980" s="1294" t="n">
        <f aca="false">IF(F980="non",1,0)</f>
        <v>0</v>
      </c>
      <c r="I980" s="1294" t="n">
        <f aca="false">IF(G980="tri ou recyclage",0.5,0)</f>
        <v>0.5</v>
      </c>
      <c r="J980" s="0"/>
      <c r="K980" s="0"/>
      <c r="L980" s="19"/>
      <c r="M980" s="0"/>
      <c r="N980" s="0"/>
      <c r="O980" s="0"/>
      <c r="P980" s="0"/>
      <c r="Q980" s="0"/>
      <c r="R980" s="0"/>
      <c r="S980" s="0"/>
      <c r="T980" s="0"/>
      <c r="U980" s="0"/>
      <c r="V980" s="0"/>
      <c r="W980" s="0"/>
      <c r="X980" s="0"/>
      <c r="Y980" s="0"/>
      <c r="Z980" s="0"/>
      <c r="AA980" s="0"/>
      <c r="AB980" s="0"/>
      <c r="AC980" s="0"/>
      <c r="AD980" s="0"/>
      <c r="AE980" s="0"/>
      <c r="AF980" s="0"/>
      <c r="AG980" s="0"/>
      <c r="AH980" s="0"/>
      <c r="AI980" s="0"/>
      <c r="AJ980" s="0"/>
      <c r="AK980" s="0"/>
      <c r="AL980" s="0"/>
      <c r="AM980" s="0"/>
      <c r="AN980" s="0"/>
      <c r="AO980" s="0"/>
      <c r="AP980" s="0"/>
      <c r="AQ980" s="0"/>
      <c r="AR980" s="0"/>
      <c r="AS980" s="0"/>
      <c r="AT980" s="0"/>
      <c r="AU980" s="0"/>
      <c r="AV980" s="0"/>
      <c r="AW980" s="0"/>
      <c r="AX980" s="0"/>
      <c r="AY980" s="0"/>
      <c r="AZ980" s="0"/>
      <c r="BA980" s="0"/>
      <c r="BB980" s="0"/>
      <c r="BC980" s="0"/>
      <c r="BD980" s="0"/>
      <c r="BE980" s="0"/>
      <c r="BF980" s="0"/>
      <c r="BG980" s="0"/>
      <c r="BH980" s="0"/>
      <c r="BI980" s="0"/>
      <c r="BJ980" s="0"/>
      <c r="BK980" s="0"/>
      <c r="BL980" s="0"/>
      <c r="BM980" s="0"/>
      <c r="BN980" s="0"/>
      <c r="BO980" s="0"/>
      <c r="BP980" s="0"/>
      <c r="BQ980" s="0"/>
      <c r="BR980" s="0"/>
      <c r="BS980" s="0"/>
      <c r="BT980" s="0"/>
      <c r="BU980" s="0"/>
      <c r="BV980" s="0"/>
      <c r="BW980" s="0"/>
      <c r="BX980" s="0"/>
      <c r="BY980" s="0"/>
      <c r="BZ980" s="0"/>
      <c r="CA980" s="0"/>
      <c r="CB980" s="0"/>
      <c r="CC980" s="0"/>
      <c r="CD980" s="0"/>
      <c r="CE980" s="0"/>
      <c r="CF980" s="0"/>
      <c r="CG980" s="0"/>
      <c r="CH980" s="0"/>
      <c r="CI980" s="0"/>
      <c r="CJ980" s="0"/>
      <c r="CK980" s="0"/>
      <c r="CL980" s="0"/>
      <c r="CM980" s="0"/>
      <c r="CN980" s="0"/>
      <c r="CO980" s="0"/>
      <c r="CP980" s="0"/>
      <c r="CQ980" s="0"/>
      <c r="CR980" s="0"/>
      <c r="CS980" s="0"/>
      <c r="CT980" s="0"/>
      <c r="CU980" s="0"/>
      <c r="CV980" s="0"/>
      <c r="CW980" s="0"/>
      <c r="CX980" s="0"/>
      <c r="CY980" s="0"/>
      <c r="CZ980" s="0"/>
      <c r="DA980" s="0"/>
      <c r="DB980" s="0"/>
      <c r="DC980" s="0"/>
      <c r="DD980" s="0"/>
      <c r="DE980" s="0"/>
      <c r="DF980" s="0"/>
      <c r="DG980" s="0"/>
      <c r="DH980" s="0"/>
      <c r="DI980" s="0"/>
      <c r="DJ980" s="0"/>
      <c r="DK980" s="0"/>
      <c r="DL980" s="0"/>
      <c r="DM980" s="0"/>
      <c r="DN980" s="0"/>
      <c r="DO980" s="0"/>
      <c r="DP980" s="0"/>
      <c r="DQ980" s="0"/>
      <c r="DR980" s="0"/>
      <c r="DS980" s="0"/>
      <c r="DT980" s="0"/>
      <c r="DU980" s="0"/>
      <c r="DV980" s="0"/>
      <c r="DW980" s="0"/>
      <c r="DX980" s="0"/>
      <c r="DY980" s="0"/>
      <c r="DZ980" s="0"/>
      <c r="EA980" s="0"/>
      <c r="EB980" s="0"/>
      <c r="EC980" s="0"/>
      <c r="ED980" s="0"/>
      <c r="EE980" s="0"/>
      <c r="EF980" s="0"/>
      <c r="EG980" s="0"/>
      <c r="EH980" s="0"/>
      <c r="EI980" s="0"/>
      <c r="EJ980" s="0"/>
      <c r="EK980" s="0"/>
      <c r="EL980" s="0"/>
      <c r="EM980" s="0"/>
      <c r="EN980" s="0"/>
      <c r="EO980" s="0"/>
      <c r="EP980" s="0"/>
      <c r="EQ980" s="0"/>
      <c r="ER980" s="0"/>
      <c r="ES980" s="0"/>
      <c r="ET980" s="0"/>
      <c r="EU980" s="0"/>
      <c r="EV980" s="0"/>
      <c r="EW980" s="0"/>
      <c r="EX980" s="0"/>
      <c r="EY980" s="0"/>
      <c r="EZ980" s="0"/>
      <c r="FA980" s="0"/>
      <c r="FB980" s="0"/>
      <c r="FC980" s="0"/>
      <c r="FD980" s="0"/>
      <c r="FE980" s="0"/>
      <c r="FF980" s="0"/>
      <c r="FG980" s="0"/>
      <c r="FH980" s="0"/>
      <c r="FI980" s="0"/>
      <c r="FJ980" s="0"/>
      <c r="FK980" s="0"/>
      <c r="FL980" s="0"/>
      <c r="FM980" s="0"/>
      <c r="FN980" s="0"/>
      <c r="FO980" s="0"/>
      <c r="FP980" s="0"/>
      <c r="FQ980" s="0"/>
      <c r="FR980" s="0"/>
      <c r="FS980" s="0"/>
      <c r="FT980" s="0"/>
      <c r="FU980" s="0"/>
      <c r="FV980" s="0"/>
      <c r="FW980" s="0"/>
      <c r="FX980" s="0"/>
      <c r="FY980" s="0"/>
      <c r="FZ980" s="0"/>
      <c r="GA980" s="0"/>
      <c r="GB980" s="0"/>
      <c r="GC980" s="0"/>
      <c r="GD980" s="0"/>
      <c r="GE980" s="0"/>
      <c r="GF980" s="0"/>
      <c r="GG980" s="0"/>
      <c r="GH980" s="0"/>
      <c r="GI980" s="0"/>
      <c r="GJ980" s="0"/>
      <c r="GK980" s="0"/>
      <c r="GL980" s="0"/>
      <c r="GM980" s="0"/>
      <c r="GN980" s="0"/>
      <c r="GO980" s="0"/>
      <c r="GP980" s="0"/>
      <c r="GQ980" s="0"/>
      <c r="GR980" s="0"/>
      <c r="GS980" s="0"/>
      <c r="GT980" s="0"/>
      <c r="GU980" s="0"/>
      <c r="GV980" s="0"/>
      <c r="GW980" s="0"/>
      <c r="GX980" s="0"/>
      <c r="GY980" s="0"/>
      <c r="GZ980" s="0"/>
      <c r="HA980" s="0"/>
      <c r="HB980" s="0"/>
      <c r="HC980" s="0"/>
      <c r="HD980" s="0"/>
      <c r="HE980" s="0"/>
      <c r="HF980" s="0"/>
      <c r="HG980" s="0"/>
      <c r="HH980" s="0"/>
      <c r="HI980" s="0"/>
      <c r="HJ980" s="0"/>
      <c r="HK980" s="0"/>
      <c r="HL980" s="0"/>
      <c r="HM980" s="0"/>
      <c r="HN980" s="0"/>
      <c r="HO980" s="0"/>
      <c r="HP980" s="0"/>
      <c r="HQ980" s="0"/>
      <c r="HR980" s="0"/>
      <c r="HS980" s="0"/>
      <c r="HT980" s="0"/>
      <c r="HU980" s="0"/>
      <c r="HV980" s="0"/>
      <c r="HW980" s="0"/>
      <c r="HX980" s="0"/>
      <c r="HY980" s="0"/>
      <c r="HZ980" s="0"/>
      <c r="IA980" s="0"/>
      <c r="IB980" s="0"/>
      <c r="IC980" s="0"/>
      <c r="ID980" s="0"/>
      <c r="IE980" s="0"/>
      <c r="IF980" s="0"/>
      <c r="IG980" s="0"/>
      <c r="IH980" s="0"/>
      <c r="II980" s="0"/>
      <c r="IJ980" s="0"/>
      <c r="IK980" s="0"/>
      <c r="IL980" s="0"/>
      <c r="IM980" s="0"/>
      <c r="IN980" s="0"/>
      <c r="IO980" s="0"/>
      <c r="IP980" s="0"/>
      <c r="IQ980" s="0"/>
      <c r="IR980" s="0"/>
      <c r="IS980" s="0"/>
      <c r="IT980" s="0"/>
      <c r="IU980" s="0"/>
      <c r="IV980" s="0"/>
    </row>
    <row r="981" customFormat="false" ht="15" hidden="false" customHeight="true" outlineLevel="0" collapsed="false">
      <c r="A981" s="0"/>
      <c r="B981" s="964"/>
      <c r="C981" s="1295" t="s">
        <v>707</v>
      </c>
      <c r="D981" s="1295"/>
      <c r="E981" s="1295"/>
      <c r="F981" s="1296" t="s">
        <v>253</v>
      </c>
      <c r="G981" s="1296" t="s">
        <v>1671</v>
      </c>
      <c r="H981" s="1297" t="n">
        <f aca="false">IF(F981="non",1,0)</f>
        <v>0</v>
      </c>
      <c r="I981" s="1297" t="n">
        <f aca="false">IF(G981="tri ou recyclage",0.5,0)</f>
        <v>0.5</v>
      </c>
      <c r="J981" s="0"/>
      <c r="K981" s="0"/>
      <c r="L981" s="19"/>
      <c r="M981" s="1298"/>
      <c r="N981" s="0"/>
      <c r="O981" s="0"/>
      <c r="P981" s="0"/>
      <c r="Q981" s="0"/>
      <c r="R981" s="0"/>
      <c r="S981" s="0"/>
      <c r="T981" s="0"/>
      <c r="U981" s="0"/>
      <c r="V981" s="0"/>
      <c r="W981" s="0"/>
      <c r="X981" s="0"/>
      <c r="Y981" s="0"/>
      <c r="Z981" s="0"/>
      <c r="AA981" s="0"/>
      <c r="AB981" s="0"/>
      <c r="AC981" s="0"/>
      <c r="AD981" s="0"/>
      <c r="AE981" s="0"/>
      <c r="AF981" s="0"/>
      <c r="AG981" s="0"/>
      <c r="AH981" s="0"/>
      <c r="AI981" s="0"/>
      <c r="AJ981" s="0"/>
      <c r="AK981" s="0"/>
      <c r="AL981" s="0"/>
      <c r="AM981" s="0"/>
      <c r="AN981" s="0"/>
      <c r="AO981" s="0"/>
      <c r="AP981" s="0"/>
      <c r="AQ981" s="0"/>
      <c r="AR981" s="0"/>
      <c r="AS981" s="0"/>
      <c r="AT981" s="0"/>
      <c r="AU981" s="0"/>
      <c r="AV981" s="0"/>
      <c r="AW981" s="0"/>
      <c r="AX981" s="0"/>
      <c r="AY981" s="0"/>
      <c r="AZ981" s="0"/>
      <c r="BA981" s="0"/>
      <c r="BB981" s="0"/>
      <c r="BC981" s="0"/>
      <c r="BD981" s="0"/>
      <c r="BE981" s="0"/>
      <c r="BF981" s="0"/>
      <c r="BG981" s="0"/>
      <c r="BH981" s="0"/>
      <c r="BI981" s="0"/>
      <c r="BJ981" s="0"/>
      <c r="BK981" s="0"/>
      <c r="BL981" s="0"/>
      <c r="BM981" s="0"/>
      <c r="BN981" s="0"/>
      <c r="BO981" s="0"/>
      <c r="BP981" s="0"/>
      <c r="BQ981" s="0"/>
      <c r="BR981" s="0"/>
      <c r="BS981" s="0"/>
      <c r="BT981" s="0"/>
      <c r="BU981" s="0"/>
      <c r="BV981" s="0"/>
      <c r="BW981" s="0"/>
      <c r="BX981" s="0"/>
      <c r="BY981" s="0"/>
      <c r="BZ981" s="0"/>
      <c r="CA981" s="0"/>
      <c r="CB981" s="0"/>
      <c r="CC981" s="0"/>
      <c r="CD981" s="0"/>
      <c r="CE981" s="0"/>
      <c r="CF981" s="0"/>
      <c r="CG981" s="0"/>
      <c r="CH981" s="0"/>
      <c r="CI981" s="0"/>
      <c r="CJ981" s="0"/>
      <c r="CK981" s="0"/>
      <c r="CL981" s="0"/>
      <c r="CM981" s="0"/>
      <c r="CN981" s="0"/>
      <c r="CO981" s="0"/>
      <c r="CP981" s="0"/>
      <c r="CQ981" s="0"/>
      <c r="CR981" s="0"/>
      <c r="CS981" s="0"/>
      <c r="CT981" s="0"/>
      <c r="CU981" s="0"/>
      <c r="CV981" s="0"/>
      <c r="CW981" s="0"/>
      <c r="CX981" s="0"/>
      <c r="CY981" s="0"/>
      <c r="CZ981" s="0"/>
      <c r="DA981" s="0"/>
      <c r="DB981" s="0"/>
      <c r="DC981" s="0"/>
      <c r="DD981" s="0"/>
      <c r="DE981" s="0"/>
      <c r="DF981" s="0"/>
      <c r="DG981" s="0"/>
      <c r="DH981" s="0"/>
      <c r="DI981" s="0"/>
      <c r="DJ981" s="0"/>
      <c r="DK981" s="0"/>
      <c r="DL981" s="0"/>
      <c r="DM981" s="0"/>
      <c r="DN981" s="0"/>
      <c r="DO981" s="0"/>
      <c r="DP981" s="0"/>
      <c r="DQ981" s="0"/>
      <c r="DR981" s="0"/>
      <c r="DS981" s="0"/>
      <c r="DT981" s="0"/>
      <c r="DU981" s="0"/>
      <c r="DV981" s="0"/>
      <c r="DW981" s="0"/>
      <c r="DX981" s="0"/>
      <c r="DY981" s="0"/>
      <c r="DZ981" s="0"/>
      <c r="EA981" s="0"/>
      <c r="EB981" s="0"/>
      <c r="EC981" s="0"/>
      <c r="ED981" s="0"/>
      <c r="EE981" s="0"/>
      <c r="EF981" s="0"/>
      <c r="EG981" s="0"/>
      <c r="EH981" s="0"/>
      <c r="EI981" s="0"/>
      <c r="EJ981" s="0"/>
      <c r="EK981" s="0"/>
      <c r="EL981" s="0"/>
      <c r="EM981" s="0"/>
      <c r="EN981" s="0"/>
      <c r="EO981" s="0"/>
      <c r="EP981" s="0"/>
      <c r="EQ981" s="0"/>
      <c r="ER981" s="0"/>
      <c r="ES981" s="0"/>
      <c r="ET981" s="0"/>
      <c r="EU981" s="0"/>
      <c r="EV981" s="0"/>
      <c r="EW981" s="0"/>
      <c r="EX981" s="0"/>
      <c r="EY981" s="0"/>
      <c r="EZ981" s="0"/>
      <c r="FA981" s="0"/>
      <c r="FB981" s="0"/>
      <c r="FC981" s="0"/>
      <c r="FD981" s="0"/>
      <c r="FE981" s="0"/>
      <c r="FF981" s="0"/>
      <c r="FG981" s="0"/>
      <c r="FH981" s="0"/>
      <c r="FI981" s="0"/>
      <c r="FJ981" s="0"/>
      <c r="FK981" s="0"/>
      <c r="FL981" s="0"/>
      <c r="FM981" s="0"/>
      <c r="FN981" s="0"/>
      <c r="FO981" s="0"/>
      <c r="FP981" s="0"/>
      <c r="FQ981" s="0"/>
      <c r="FR981" s="0"/>
      <c r="FS981" s="0"/>
      <c r="FT981" s="0"/>
      <c r="FU981" s="0"/>
      <c r="FV981" s="0"/>
      <c r="FW981" s="0"/>
      <c r="FX981" s="0"/>
      <c r="FY981" s="0"/>
      <c r="FZ981" s="0"/>
      <c r="GA981" s="0"/>
      <c r="GB981" s="0"/>
      <c r="GC981" s="0"/>
      <c r="GD981" s="0"/>
      <c r="GE981" s="0"/>
      <c r="GF981" s="0"/>
      <c r="GG981" s="0"/>
      <c r="GH981" s="0"/>
      <c r="GI981" s="0"/>
      <c r="GJ981" s="0"/>
      <c r="GK981" s="0"/>
      <c r="GL981" s="0"/>
      <c r="GM981" s="0"/>
      <c r="GN981" s="0"/>
      <c r="GO981" s="0"/>
      <c r="GP981" s="0"/>
      <c r="GQ981" s="0"/>
      <c r="GR981" s="0"/>
      <c r="GS981" s="0"/>
      <c r="GT981" s="0"/>
      <c r="GU981" s="0"/>
      <c r="GV981" s="0"/>
      <c r="GW981" s="0"/>
      <c r="GX981" s="0"/>
      <c r="GY981" s="0"/>
      <c r="GZ981" s="0"/>
      <c r="HA981" s="0"/>
      <c r="HB981" s="0"/>
      <c r="HC981" s="0"/>
      <c r="HD981" s="0"/>
      <c r="HE981" s="0"/>
      <c r="HF981" s="0"/>
      <c r="HG981" s="0"/>
      <c r="HH981" s="0"/>
      <c r="HI981" s="0"/>
      <c r="HJ981" s="0"/>
      <c r="HK981" s="0"/>
      <c r="HL981" s="0"/>
      <c r="HM981" s="0"/>
      <c r="HN981" s="0"/>
      <c r="HO981" s="0"/>
      <c r="HP981" s="0"/>
      <c r="HQ981" s="0"/>
      <c r="HR981" s="0"/>
      <c r="HS981" s="0"/>
      <c r="HT981" s="0"/>
      <c r="HU981" s="0"/>
      <c r="HV981" s="0"/>
      <c r="HW981" s="0"/>
      <c r="HX981" s="0"/>
      <c r="HY981" s="0"/>
      <c r="HZ981" s="0"/>
      <c r="IA981" s="0"/>
      <c r="IB981" s="0"/>
      <c r="IC981" s="0"/>
      <c r="ID981" s="0"/>
      <c r="IE981" s="0"/>
      <c r="IF981" s="0"/>
      <c r="IG981" s="0"/>
      <c r="IH981" s="0"/>
      <c r="II981" s="0"/>
      <c r="IJ981" s="0"/>
      <c r="IK981" s="0"/>
      <c r="IL981" s="0"/>
      <c r="IM981" s="0"/>
      <c r="IN981" s="0"/>
      <c r="IO981" s="0"/>
      <c r="IP981" s="0"/>
      <c r="IQ981" s="0"/>
      <c r="IR981" s="0"/>
      <c r="IS981" s="0"/>
      <c r="IT981" s="0"/>
      <c r="IU981" s="0"/>
      <c r="IV981" s="0"/>
    </row>
    <row r="982" customFormat="false" ht="15" hidden="false" customHeight="true" outlineLevel="0" collapsed="false">
      <c r="A982" s="0"/>
      <c r="B982" s="964"/>
      <c r="C982" s="1295"/>
      <c r="D982" s="1295"/>
      <c r="E982" s="1295"/>
      <c r="F982" s="1296"/>
      <c r="G982" s="1296"/>
      <c r="H982" s="1297"/>
      <c r="I982" s="1297"/>
      <c r="J982" s="1240" t="s">
        <v>1672</v>
      </c>
      <c r="K982" s="1299" t="n">
        <f aca="false">H987+I987</f>
        <v>2</v>
      </c>
      <c r="L982" s="19"/>
      <c r="M982" s="0"/>
      <c r="N982" s="0"/>
      <c r="O982" s="0"/>
      <c r="P982" s="0"/>
      <c r="Q982" s="0"/>
      <c r="R982" s="0"/>
      <c r="S982" s="0"/>
      <c r="T982" s="0"/>
      <c r="U982" s="0"/>
      <c r="V982" s="0"/>
      <c r="W982" s="0"/>
      <c r="X982" s="0"/>
      <c r="Y982" s="0"/>
      <c r="Z982" s="0"/>
      <c r="AA982" s="0"/>
      <c r="AB982" s="0"/>
      <c r="AC982" s="0"/>
      <c r="AD982" s="0"/>
      <c r="AE982" s="0"/>
      <c r="AF982" s="0"/>
      <c r="AG982" s="0"/>
      <c r="AH982" s="0"/>
      <c r="AI982" s="0"/>
      <c r="AJ982" s="0"/>
      <c r="AK982" s="0"/>
      <c r="AL982" s="0"/>
      <c r="AM982" s="0"/>
      <c r="AN982" s="0"/>
      <c r="AO982" s="0"/>
      <c r="AP982" s="0"/>
      <c r="AQ982" s="0"/>
      <c r="AR982" s="0"/>
      <c r="AS982" s="0"/>
      <c r="AT982" s="0"/>
      <c r="AU982" s="0"/>
      <c r="AV982" s="0"/>
      <c r="AW982" s="0"/>
      <c r="AX982" s="0"/>
      <c r="AY982" s="0"/>
      <c r="AZ982" s="0"/>
      <c r="BA982" s="0"/>
      <c r="BB982" s="0"/>
      <c r="BC982" s="0"/>
      <c r="BD982" s="0"/>
      <c r="BE982" s="0"/>
      <c r="BF982" s="0"/>
      <c r="BG982" s="0"/>
      <c r="BH982" s="0"/>
      <c r="BI982" s="0"/>
      <c r="BJ982" s="0"/>
      <c r="BK982" s="0"/>
      <c r="BL982" s="0"/>
      <c r="BM982" s="0"/>
      <c r="BN982" s="0"/>
      <c r="BO982" s="0"/>
      <c r="BP982" s="0"/>
      <c r="BQ982" s="0"/>
      <c r="BR982" s="0"/>
      <c r="BS982" s="0"/>
      <c r="BT982" s="0"/>
      <c r="BU982" s="0"/>
      <c r="BV982" s="0"/>
      <c r="BW982" s="0"/>
      <c r="BX982" s="0"/>
      <c r="BY982" s="0"/>
      <c r="BZ982" s="0"/>
      <c r="CA982" s="0"/>
      <c r="CB982" s="0"/>
      <c r="CC982" s="0"/>
      <c r="CD982" s="0"/>
      <c r="CE982" s="0"/>
      <c r="CF982" s="0"/>
      <c r="CG982" s="0"/>
      <c r="CH982" s="0"/>
      <c r="CI982" s="0"/>
      <c r="CJ982" s="0"/>
      <c r="CK982" s="0"/>
      <c r="CL982" s="0"/>
      <c r="CM982" s="0"/>
      <c r="CN982" s="0"/>
      <c r="CO982" s="0"/>
      <c r="CP982" s="0"/>
      <c r="CQ982" s="0"/>
      <c r="CR982" s="0"/>
      <c r="CS982" s="0"/>
      <c r="CT982" s="0"/>
      <c r="CU982" s="0"/>
      <c r="CV982" s="0"/>
      <c r="CW982" s="0"/>
      <c r="CX982" s="0"/>
      <c r="CY982" s="0"/>
      <c r="CZ982" s="0"/>
      <c r="DA982" s="0"/>
      <c r="DB982" s="0"/>
      <c r="DC982" s="0"/>
      <c r="DD982" s="0"/>
      <c r="DE982" s="0"/>
      <c r="DF982" s="0"/>
      <c r="DG982" s="0"/>
      <c r="DH982" s="0"/>
      <c r="DI982" s="0"/>
      <c r="DJ982" s="0"/>
      <c r="DK982" s="0"/>
      <c r="DL982" s="0"/>
      <c r="DM982" s="0"/>
      <c r="DN982" s="0"/>
      <c r="DO982" s="0"/>
      <c r="DP982" s="0"/>
      <c r="DQ982" s="0"/>
      <c r="DR982" s="0"/>
      <c r="DS982" s="0"/>
      <c r="DT982" s="0"/>
      <c r="DU982" s="0"/>
      <c r="DV982" s="0"/>
      <c r="DW982" s="0"/>
      <c r="DX982" s="0"/>
      <c r="DY982" s="0"/>
      <c r="DZ982" s="0"/>
      <c r="EA982" s="0"/>
      <c r="EB982" s="0"/>
      <c r="EC982" s="0"/>
      <c r="ED982" s="0"/>
      <c r="EE982" s="0"/>
      <c r="EF982" s="0"/>
      <c r="EG982" s="0"/>
      <c r="EH982" s="0"/>
      <c r="EI982" s="0"/>
      <c r="EJ982" s="0"/>
      <c r="EK982" s="0"/>
      <c r="EL982" s="0"/>
      <c r="EM982" s="0"/>
      <c r="EN982" s="0"/>
      <c r="EO982" s="0"/>
      <c r="EP982" s="0"/>
      <c r="EQ982" s="0"/>
      <c r="ER982" s="0"/>
      <c r="ES982" s="0"/>
      <c r="ET982" s="0"/>
      <c r="EU982" s="0"/>
      <c r="EV982" s="0"/>
      <c r="EW982" s="0"/>
      <c r="EX982" s="0"/>
      <c r="EY982" s="0"/>
      <c r="EZ982" s="0"/>
      <c r="FA982" s="0"/>
      <c r="FB982" s="0"/>
      <c r="FC982" s="0"/>
      <c r="FD982" s="0"/>
      <c r="FE982" s="0"/>
      <c r="FF982" s="0"/>
      <c r="FG982" s="0"/>
      <c r="FH982" s="0"/>
      <c r="FI982" s="0"/>
      <c r="FJ982" s="0"/>
      <c r="FK982" s="0"/>
      <c r="FL982" s="0"/>
      <c r="FM982" s="0"/>
      <c r="FN982" s="0"/>
      <c r="FO982" s="0"/>
      <c r="FP982" s="0"/>
      <c r="FQ982" s="0"/>
      <c r="FR982" s="0"/>
      <c r="FS982" s="0"/>
      <c r="FT982" s="0"/>
      <c r="FU982" s="0"/>
      <c r="FV982" s="0"/>
      <c r="FW982" s="0"/>
      <c r="FX982" s="0"/>
      <c r="FY982" s="0"/>
      <c r="FZ982" s="0"/>
      <c r="GA982" s="0"/>
      <c r="GB982" s="0"/>
      <c r="GC982" s="0"/>
      <c r="GD982" s="0"/>
      <c r="GE982" s="0"/>
      <c r="GF982" s="0"/>
      <c r="GG982" s="0"/>
      <c r="GH982" s="0"/>
      <c r="GI982" s="0"/>
      <c r="GJ982" s="0"/>
      <c r="GK982" s="0"/>
      <c r="GL982" s="0"/>
      <c r="GM982" s="0"/>
      <c r="GN982" s="0"/>
      <c r="GO982" s="0"/>
      <c r="GP982" s="0"/>
      <c r="GQ982" s="0"/>
      <c r="GR982" s="0"/>
      <c r="GS982" s="0"/>
      <c r="GT982" s="0"/>
      <c r="GU982" s="0"/>
      <c r="GV982" s="0"/>
      <c r="GW982" s="0"/>
      <c r="GX982" s="0"/>
      <c r="GY982" s="0"/>
      <c r="GZ982" s="0"/>
      <c r="HA982" s="0"/>
      <c r="HB982" s="0"/>
      <c r="HC982" s="0"/>
      <c r="HD982" s="0"/>
      <c r="HE982" s="0"/>
      <c r="HF982" s="0"/>
      <c r="HG982" s="0"/>
      <c r="HH982" s="0"/>
      <c r="HI982" s="0"/>
      <c r="HJ982" s="0"/>
      <c r="HK982" s="0"/>
      <c r="HL982" s="0"/>
      <c r="HM982" s="0"/>
      <c r="HN982" s="0"/>
      <c r="HO982" s="0"/>
      <c r="HP982" s="0"/>
      <c r="HQ982" s="0"/>
      <c r="HR982" s="0"/>
      <c r="HS982" s="0"/>
      <c r="HT982" s="0"/>
      <c r="HU982" s="0"/>
      <c r="HV982" s="0"/>
      <c r="HW982" s="0"/>
      <c r="HX982" s="0"/>
      <c r="HY982" s="0"/>
      <c r="HZ982" s="0"/>
      <c r="IA982" s="0"/>
      <c r="IB982" s="0"/>
      <c r="IC982" s="0"/>
      <c r="ID982" s="0"/>
      <c r="IE982" s="0"/>
      <c r="IF982" s="0"/>
      <c r="IG982" s="0"/>
      <c r="IH982" s="0"/>
      <c r="II982" s="0"/>
      <c r="IJ982" s="0"/>
      <c r="IK982" s="0"/>
      <c r="IL982" s="0"/>
      <c r="IM982" s="0"/>
      <c r="IN982" s="0"/>
      <c r="IO982" s="0"/>
      <c r="IP982" s="0"/>
      <c r="IQ982" s="0"/>
      <c r="IR982" s="0"/>
      <c r="IS982" s="0"/>
      <c r="IT982" s="0"/>
      <c r="IU982" s="0"/>
      <c r="IV982" s="0"/>
    </row>
    <row r="983" customFormat="false" ht="15" hidden="false" customHeight="true" outlineLevel="0" collapsed="false">
      <c r="A983" s="0"/>
      <c r="B983" s="964"/>
      <c r="C983" s="1295"/>
      <c r="D983" s="1295"/>
      <c r="E983" s="1295"/>
      <c r="F983" s="1296"/>
      <c r="G983" s="1296"/>
      <c r="H983" s="1297"/>
      <c r="I983" s="1297"/>
      <c r="J983" s="1240"/>
      <c r="K983" s="1299"/>
      <c r="L983" s="19"/>
      <c r="M983" s="0"/>
      <c r="N983" s="0"/>
      <c r="O983" s="0"/>
      <c r="P983" s="0"/>
      <c r="Q983" s="0"/>
      <c r="R983" s="0"/>
      <c r="S983" s="0"/>
      <c r="T983" s="0"/>
      <c r="U983" s="0"/>
      <c r="V983" s="0"/>
      <c r="W983" s="0"/>
      <c r="X983" s="0"/>
      <c r="Y983" s="0"/>
      <c r="Z983" s="0"/>
      <c r="AA983" s="0"/>
      <c r="AB983" s="0"/>
      <c r="AC983" s="0"/>
      <c r="AD983" s="0"/>
      <c r="AE983" s="0"/>
      <c r="AF983" s="0"/>
      <c r="AG983" s="0"/>
      <c r="AH983" s="0"/>
      <c r="AI983" s="0"/>
      <c r="AJ983" s="0"/>
      <c r="AK983" s="0"/>
      <c r="AL983" s="0"/>
      <c r="AM983" s="0"/>
      <c r="AN983" s="0"/>
      <c r="AO983" s="0"/>
      <c r="AP983" s="0"/>
      <c r="AQ983" s="0"/>
      <c r="AR983" s="0"/>
      <c r="AS983" s="0"/>
      <c r="AT983" s="0"/>
      <c r="AU983" s="0"/>
      <c r="AV983" s="0"/>
      <c r="AW983" s="0"/>
      <c r="AX983" s="0"/>
      <c r="AY983" s="0"/>
      <c r="AZ983" s="0"/>
      <c r="BA983" s="0"/>
      <c r="BB983" s="0"/>
      <c r="BC983" s="0"/>
      <c r="BD983" s="0"/>
      <c r="BE983" s="0"/>
      <c r="BF983" s="0"/>
      <c r="BG983" s="0"/>
      <c r="BH983" s="0"/>
      <c r="BI983" s="0"/>
      <c r="BJ983" s="0"/>
      <c r="BK983" s="0"/>
      <c r="BL983" s="0"/>
      <c r="BM983" s="0"/>
      <c r="BN983" s="0"/>
      <c r="BO983" s="0"/>
      <c r="BP983" s="0"/>
      <c r="BQ983" s="0"/>
      <c r="BR983" s="0"/>
      <c r="BS983" s="0"/>
      <c r="BT983" s="0"/>
      <c r="BU983" s="0"/>
      <c r="BV983" s="0"/>
      <c r="BW983" s="0"/>
      <c r="BX983" s="0"/>
      <c r="BY983" s="0"/>
      <c r="BZ983" s="0"/>
      <c r="CA983" s="0"/>
      <c r="CB983" s="0"/>
      <c r="CC983" s="0"/>
      <c r="CD983" s="0"/>
      <c r="CE983" s="0"/>
      <c r="CF983" s="0"/>
      <c r="CG983" s="0"/>
      <c r="CH983" s="0"/>
      <c r="CI983" s="0"/>
      <c r="CJ983" s="0"/>
      <c r="CK983" s="0"/>
      <c r="CL983" s="0"/>
      <c r="CM983" s="0"/>
      <c r="CN983" s="0"/>
      <c r="CO983" s="0"/>
      <c r="CP983" s="0"/>
      <c r="CQ983" s="0"/>
      <c r="CR983" s="0"/>
      <c r="CS983" s="0"/>
      <c r="CT983" s="0"/>
      <c r="CU983" s="0"/>
      <c r="CV983" s="0"/>
      <c r="CW983" s="0"/>
      <c r="CX983" s="0"/>
      <c r="CY983" s="0"/>
      <c r="CZ983" s="0"/>
      <c r="DA983" s="0"/>
      <c r="DB983" s="0"/>
      <c r="DC983" s="0"/>
      <c r="DD983" s="0"/>
      <c r="DE983" s="0"/>
      <c r="DF983" s="0"/>
      <c r="DG983" s="0"/>
      <c r="DH983" s="0"/>
      <c r="DI983" s="0"/>
      <c r="DJ983" s="0"/>
      <c r="DK983" s="0"/>
      <c r="DL983" s="0"/>
      <c r="DM983" s="0"/>
      <c r="DN983" s="0"/>
      <c r="DO983" s="0"/>
      <c r="DP983" s="0"/>
      <c r="DQ983" s="0"/>
      <c r="DR983" s="0"/>
      <c r="DS983" s="0"/>
      <c r="DT983" s="0"/>
      <c r="DU983" s="0"/>
      <c r="DV983" s="0"/>
      <c r="DW983" s="0"/>
      <c r="DX983" s="0"/>
      <c r="DY983" s="0"/>
      <c r="DZ983" s="0"/>
      <c r="EA983" s="0"/>
      <c r="EB983" s="0"/>
      <c r="EC983" s="0"/>
      <c r="ED983" s="0"/>
      <c r="EE983" s="0"/>
      <c r="EF983" s="0"/>
      <c r="EG983" s="0"/>
      <c r="EH983" s="0"/>
      <c r="EI983" s="0"/>
      <c r="EJ983" s="0"/>
      <c r="EK983" s="0"/>
      <c r="EL983" s="0"/>
      <c r="EM983" s="0"/>
      <c r="EN983" s="0"/>
      <c r="EO983" s="0"/>
      <c r="EP983" s="0"/>
      <c r="EQ983" s="0"/>
      <c r="ER983" s="0"/>
      <c r="ES983" s="0"/>
      <c r="ET983" s="0"/>
      <c r="EU983" s="0"/>
      <c r="EV983" s="0"/>
      <c r="EW983" s="0"/>
      <c r="EX983" s="0"/>
      <c r="EY983" s="0"/>
      <c r="EZ983" s="0"/>
      <c r="FA983" s="0"/>
      <c r="FB983" s="0"/>
      <c r="FC983" s="0"/>
      <c r="FD983" s="0"/>
      <c r="FE983" s="0"/>
      <c r="FF983" s="0"/>
      <c r="FG983" s="0"/>
      <c r="FH983" s="0"/>
      <c r="FI983" s="0"/>
      <c r="FJ983" s="0"/>
      <c r="FK983" s="0"/>
      <c r="FL983" s="0"/>
      <c r="FM983" s="0"/>
      <c r="FN983" s="0"/>
      <c r="FO983" s="0"/>
      <c r="FP983" s="0"/>
      <c r="FQ983" s="0"/>
      <c r="FR983" s="0"/>
      <c r="FS983" s="0"/>
      <c r="FT983" s="0"/>
      <c r="FU983" s="0"/>
      <c r="FV983" s="0"/>
      <c r="FW983" s="0"/>
      <c r="FX983" s="0"/>
      <c r="FY983" s="0"/>
      <c r="FZ983" s="0"/>
      <c r="GA983" s="0"/>
      <c r="GB983" s="0"/>
      <c r="GC983" s="0"/>
      <c r="GD983" s="0"/>
      <c r="GE983" s="0"/>
      <c r="GF983" s="0"/>
      <c r="GG983" s="0"/>
      <c r="GH983" s="0"/>
      <c r="GI983" s="0"/>
      <c r="GJ983" s="0"/>
      <c r="GK983" s="0"/>
      <c r="GL983" s="0"/>
      <c r="GM983" s="0"/>
      <c r="GN983" s="0"/>
      <c r="GO983" s="0"/>
      <c r="GP983" s="0"/>
      <c r="GQ983" s="0"/>
      <c r="GR983" s="0"/>
      <c r="GS983" s="0"/>
      <c r="GT983" s="0"/>
      <c r="GU983" s="0"/>
      <c r="GV983" s="0"/>
      <c r="GW983" s="0"/>
      <c r="GX983" s="0"/>
      <c r="GY983" s="0"/>
      <c r="GZ983" s="0"/>
      <c r="HA983" s="0"/>
      <c r="HB983" s="0"/>
      <c r="HC983" s="0"/>
      <c r="HD983" s="0"/>
      <c r="HE983" s="0"/>
      <c r="HF983" s="0"/>
      <c r="HG983" s="0"/>
      <c r="HH983" s="0"/>
      <c r="HI983" s="0"/>
      <c r="HJ983" s="0"/>
      <c r="HK983" s="0"/>
      <c r="HL983" s="0"/>
      <c r="HM983" s="0"/>
      <c r="HN983" s="0"/>
      <c r="HO983" s="0"/>
      <c r="HP983" s="0"/>
      <c r="HQ983" s="0"/>
      <c r="HR983" s="0"/>
      <c r="HS983" s="0"/>
      <c r="HT983" s="0"/>
      <c r="HU983" s="0"/>
      <c r="HV983" s="0"/>
      <c r="HW983" s="0"/>
      <c r="HX983" s="0"/>
      <c r="HY983" s="0"/>
      <c r="HZ983" s="0"/>
      <c r="IA983" s="0"/>
      <c r="IB983" s="0"/>
      <c r="IC983" s="0"/>
      <c r="ID983" s="0"/>
      <c r="IE983" s="0"/>
      <c r="IF983" s="0"/>
      <c r="IG983" s="0"/>
      <c r="IH983" s="0"/>
      <c r="II983" s="0"/>
      <c r="IJ983" s="0"/>
      <c r="IK983" s="0"/>
      <c r="IL983" s="0"/>
      <c r="IM983" s="0"/>
      <c r="IN983" s="0"/>
      <c r="IO983" s="0"/>
      <c r="IP983" s="0"/>
      <c r="IQ983" s="0"/>
      <c r="IR983" s="0"/>
      <c r="IS983" s="0"/>
      <c r="IT983" s="0"/>
      <c r="IU983" s="0"/>
      <c r="IV983" s="0"/>
    </row>
    <row r="984" customFormat="false" ht="15.75" hidden="false" customHeight="true" outlineLevel="0" collapsed="false">
      <c r="A984" s="0"/>
      <c r="B984" s="964"/>
      <c r="C984" s="1040" t="s">
        <v>1673</v>
      </c>
      <c r="D984" s="1040"/>
      <c r="E984" s="1040"/>
      <c r="F984" s="1296" t="s">
        <v>253</v>
      </c>
      <c r="G984" s="1296" t="s">
        <v>1671</v>
      </c>
      <c r="H984" s="1297" t="n">
        <f aca="false">IF(F984="non",1,0)</f>
        <v>0</v>
      </c>
      <c r="I984" s="1297" t="n">
        <f aca="false">IF(G984="tri ou recyclage",0.5,0)</f>
        <v>0.5</v>
      </c>
      <c r="J984" s="1240"/>
      <c r="K984" s="1299"/>
      <c r="L984" s="19"/>
      <c r="M984" s="0"/>
      <c r="N984" s="0"/>
      <c r="O984" s="0"/>
      <c r="P984" s="0"/>
      <c r="Q984" s="0"/>
      <c r="R984" s="0"/>
      <c r="S984" s="0"/>
      <c r="T984" s="0"/>
      <c r="U984" s="0"/>
      <c r="V984" s="0"/>
      <c r="W984" s="0"/>
      <c r="X984" s="0"/>
      <c r="Y984" s="0"/>
      <c r="Z984" s="0"/>
      <c r="AA984" s="0"/>
      <c r="AB984" s="0"/>
      <c r="AC984" s="0"/>
      <c r="AD984" s="0"/>
      <c r="AE984" s="0"/>
      <c r="AF984" s="0"/>
      <c r="AG984" s="0"/>
      <c r="AH984" s="0"/>
      <c r="AI984" s="0"/>
      <c r="AJ984" s="0"/>
      <c r="AK984" s="0"/>
      <c r="AL984" s="0"/>
      <c r="AM984" s="0"/>
      <c r="AN984" s="0"/>
      <c r="AO984" s="0"/>
      <c r="AP984" s="0"/>
      <c r="AQ984" s="0"/>
      <c r="AR984" s="0"/>
      <c r="AS984" s="0"/>
      <c r="AT984" s="0"/>
      <c r="AU984" s="0"/>
      <c r="AV984" s="0"/>
      <c r="AW984" s="0"/>
      <c r="AX984" s="0"/>
      <c r="AY984" s="0"/>
      <c r="AZ984" s="0"/>
      <c r="BA984" s="0"/>
      <c r="BB984" s="0"/>
      <c r="BC984" s="0"/>
      <c r="BD984" s="0"/>
      <c r="BE984" s="0"/>
      <c r="BF984" s="0"/>
      <c r="BG984" s="0"/>
      <c r="BH984" s="0"/>
      <c r="BI984" s="0"/>
      <c r="BJ984" s="0"/>
      <c r="BK984" s="0"/>
      <c r="BL984" s="0"/>
      <c r="BM984" s="0"/>
      <c r="BN984" s="0"/>
      <c r="BO984" s="0"/>
      <c r="BP984" s="0"/>
      <c r="BQ984" s="0"/>
      <c r="BR984" s="0"/>
      <c r="BS984" s="0"/>
      <c r="BT984" s="0"/>
      <c r="BU984" s="0"/>
      <c r="BV984" s="0"/>
      <c r="BW984" s="0"/>
      <c r="BX984" s="0"/>
      <c r="BY984" s="0"/>
      <c r="BZ984" s="0"/>
      <c r="CA984" s="0"/>
      <c r="CB984" s="0"/>
      <c r="CC984" s="0"/>
      <c r="CD984" s="0"/>
      <c r="CE984" s="0"/>
      <c r="CF984" s="0"/>
      <c r="CG984" s="0"/>
      <c r="CH984" s="0"/>
      <c r="CI984" s="0"/>
      <c r="CJ984" s="0"/>
      <c r="CK984" s="0"/>
      <c r="CL984" s="0"/>
      <c r="CM984" s="0"/>
      <c r="CN984" s="0"/>
      <c r="CO984" s="0"/>
      <c r="CP984" s="0"/>
      <c r="CQ984" s="0"/>
      <c r="CR984" s="0"/>
      <c r="CS984" s="0"/>
      <c r="CT984" s="0"/>
      <c r="CU984" s="0"/>
      <c r="CV984" s="0"/>
      <c r="CW984" s="0"/>
      <c r="CX984" s="0"/>
      <c r="CY984" s="0"/>
      <c r="CZ984" s="0"/>
      <c r="DA984" s="0"/>
      <c r="DB984" s="0"/>
      <c r="DC984" s="0"/>
      <c r="DD984" s="0"/>
      <c r="DE984" s="0"/>
      <c r="DF984" s="0"/>
      <c r="DG984" s="0"/>
      <c r="DH984" s="0"/>
      <c r="DI984" s="0"/>
      <c r="DJ984" s="0"/>
      <c r="DK984" s="0"/>
      <c r="DL984" s="0"/>
      <c r="DM984" s="0"/>
      <c r="DN984" s="0"/>
      <c r="DO984" s="0"/>
      <c r="DP984" s="0"/>
      <c r="DQ984" s="0"/>
      <c r="DR984" s="0"/>
      <c r="DS984" s="0"/>
      <c r="DT984" s="0"/>
      <c r="DU984" s="0"/>
      <c r="DV984" s="0"/>
      <c r="DW984" s="0"/>
      <c r="DX984" s="0"/>
      <c r="DY984" s="0"/>
      <c r="DZ984" s="0"/>
      <c r="EA984" s="0"/>
      <c r="EB984" s="0"/>
      <c r="EC984" s="0"/>
      <c r="ED984" s="0"/>
      <c r="EE984" s="0"/>
      <c r="EF984" s="0"/>
      <c r="EG984" s="0"/>
      <c r="EH984" s="0"/>
      <c r="EI984" s="0"/>
      <c r="EJ984" s="0"/>
      <c r="EK984" s="0"/>
      <c r="EL984" s="0"/>
      <c r="EM984" s="0"/>
      <c r="EN984" s="0"/>
      <c r="EO984" s="0"/>
      <c r="EP984" s="0"/>
      <c r="EQ984" s="0"/>
      <c r="ER984" s="0"/>
      <c r="ES984" s="0"/>
      <c r="ET984" s="0"/>
      <c r="EU984" s="0"/>
      <c r="EV984" s="0"/>
      <c r="EW984" s="0"/>
      <c r="EX984" s="0"/>
      <c r="EY984" s="0"/>
      <c r="EZ984" s="0"/>
      <c r="FA984" s="0"/>
      <c r="FB984" s="0"/>
      <c r="FC984" s="0"/>
      <c r="FD984" s="0"/>
      <c r="FE984" s="0"/>
      <c r="FF984" s="0"/>
      <c r="FG984" s="0"/>
      <c r="FH984" s="0"/>
      <c r="FI984" s="0"/>
      <c r="FJ984" s="0"/>
      <c r="FK984" s="0"/>
      <c r="FL984" s="0"/>
      <c r="FM984" s="0"/>
      <c r="FN984" s="0"/>
      <c r="FO984" s="0"/>
      <c r="FP984" s="0"/>
      <c r="FQ984" s="0"/>
      <c r="FR984" s="0"/>
      <c r="FS984" s="0"/>
      <c r="FT984" s="0"/>
      <c r="FU984" s="0"/>
      <c r="FV984" s="0"/>
      <c r="FW984" s="0"/>
      <c r="FX984" s="0"/>
      <c r="FY984" s="0"/>
      <c r="FZ984" s="0"/>
      <c r="GA984" s="0"/>
      <c r="GB984" s="0"/>
      <c r="GC984" s="0"/>
      <c r="GD984" s="0"/>
      <c r="GE984" s="0"/>
      <c r="GF984" s="0"/>
      <c r="GG984" s="0"/>
      <c r="GH984" s="0"/>
      <c r="GI984" s="0"/>
      <c r="GJ984" s="0"/>
      <c r="GK984" s="0"/>
      <c r="GL984" s="0"/>
      <c r="GM984" s="0"/>
      <c r="GN984" s="0"/>
      <c r="GO984" s="0"/>
      <c r="GP984" s="0"/>
      <c r="GQ984" s="0"/>
      <c r="GR984" s="0"/>
      <c r="GS984" s="0"/>
      <c r="GT984" s="0"/>
      <c r="GU984" s="0"/>
      <c r="GV984" s="0"/>
      <c r="GW984" s="0"/>
      <c r="GX984" s="0"/>
      <c r="GY984" s="0"/>
      <c r="GZ984" s="0"/>
      <c r="HA984" s="0"/>
      <c r="HB984" s="0"/>
      <c r="HC984" s="0"/>
      <c r="HD984" s="0"/>
      <c r="HE984" s="0"/>
      <c r="HF984" s="0"/>
      <c r="HG984" s="0"/>
      <c r="HH984" s="0"/>
      <c r="HI984" s="0"/>
      <c r="HJ984" s="0"/>
      <c r="HK984" s="0"/>
      <c r="HL984" s="0"/>
      <c r="HM984" s="0"/>
      <c r="HN984" s="0"/>
      <c r="HO984" s="0"/>
      <c r="HP984" s="0"/>
      <c r="HQ984" s="0"/>
      <c r="HR984" s="0"/>
      <c r="HS984" s="0"/>
      <c r="HT984" s="0"/>
      <c r="HU984" s="0"/>
      <c r="HV984" s="0"/>
      <c r="HW984" s="0"/>
      <c r="HX984" s="0"/>
      <c r="HY984" s="0"/>
      <c r="HZ984" s="0"/>
      <c r="IA984" s="0"/>
      <c r="IB984" s="0"/>
      <c r="IC984" s="0"/>
      <c r="ID984" s="0"/>
      <c r="IE984" s="0"/>
      <c r="IF984" s="0"/>
      <c r="IG984" s="0"/>
      <c r="IH984" s="0"/>
      <c r="II984" s="0"/>
      <c r="IJ984" s="0"/>
      <c r="IK984" s="0"/>
      <c r="IL984" s="0"/>
      <c r="IM984" s="0"/>
      <c r="IN984" s="0"/>
      <c r="IO984" s="0"/>
      <c r="IP984" s="0"/>
      <c r="IQ984" s="0"/>
      <c r="IR984" s="0"/>
      <c r="IS984" s="0"/>
      <c r="IT984" s="0"/>
      <c r="IU984" s="0"/>
      <c r="IV984" s="0"/>
    </row>
    <row r="985" customFormat="false" ht="15.75" hidden="false" customHeight="true" outlineLevel="0" collapsed="false">
      <c r="A985" s="0"/>
      <c r="B985" s="964"/>
      <c r="C985" s="1040"/>
      <c r="D985" s="1040"/>
      <c r="E985" s="1040"/>
      <c r="F985" s="1296"/>
      <c r="G985" s="1296"/>
      <c r="H985" s="1297"/>
      <c r="I985" s="1297"/>
      <c r="J985" s="0"/>
      <c r="K985" s="0"/>
      <c r="L985" s="19"/>
      <c r="N985" s="0"/>
      <c r="O985" s="0"/>
      <c r="P985" s="0"/>
      <c r="Q985" s="0"/>
      <c r="R985" s="0"/>
      <c r="S985" s="0"/>
      <c r="T985" s="0"/>
      <c r="U985" s="0"/>
      <c r="V985" s="0"/>
      <c r="W985" s="0"/>
      <c r="X985" s="0"/>
      <c r="Y985" s="0"/>
      <c r="Z985" s="0"/>
      <c r="AA985" s="0"/>
      <c r="AB985" s="0"/>
      <c r="AC985" s="0"/>
      <c r="AD985" s="0"/>
      <c r="AE985" s="0"/>
      <c r="AF985" s="0"/>
      <c r="AG985" s="0"/>
      <c r="AH985" s="0"/>
      <c r="AI985" s="0"/>
      <c r="AJ985" s="0"/>
      <c r="AK985" s="0"/>
      <c r="AL985" s="0"/>
      <c r="AM985" s="0"/>
      <c r="AN985" s="0"/>
      <c r="AO985" s="0"/>
      <c r="AP985" s="0"/>
      <c r="AQ985" s="0"/>
      <c r="AR985" s="0"/>
      <c r="AS985" s="0"/>
      <c r="AT985" s="0"/>
      <c r="AU985" s="0"/>
      <c r="AV985" s="0"/>
      <c r="AW985" s="0"/>
      <c r="AX985" s="0"/>
      <c r="AY985" s="0"/>
      <c r="AZ985" s="0"/>
      <c r="BA985" s="0"/>
      <c r="BB985" s="0"/>
      <c r="BC985" s="0"/>
      <c r="BD985" s="0"/>
      <c r="BE985" s="0"/>
      <c r="BF985" s="0"/>
      <c r="BG985" s="0"/>
      <c r="BH985" s="0"/>
      <c r="BI985" s="0"/>
      <c r="BJ985" s="0"/>
      <c r="BK985" s="0"/>
      <c r="BL985" s="0"/>
      <c r="BM985" s="0"/>
      <c r="BN985" s="0"/>
      <c r="BO985" s="0"/>
      <c r="BP985" s="0"/>
      <c r="BQ985" s="0"/>
      <c r="BR985" s="0"/>
      <c r="BS985" s="0"/>
      <c r="BT985" s="0"/>
      <c r="BU985" s="0"/>
      <c r="BV985" s="0"/>
      <c r="BW985" s="0"/>
      <c r="BX985" s="0"/>
      <c r="BY985" s="0"/>
      <c r="BZ985" s="0"/>
      <c r="CA985" s="0"/>
      <c r="CB985" s="0"/>
      <c r="CC985" s="0"/>
      <c r="CD985" s="0"/>
      <c r="CE985" s="0"/>
      <c r="CF985" s="0"/>
      <c r="CG985" s="0"/>
      <c r="CH985" s="0"/>
      <c r="CI985" s="0"/>
      <c r="CJ985" s="0"/>
      <c r="CK985" s="0"/>
      <c r="CL985" s="0"/>
      <c r="CM985" s="0"/>
      <c r="CN985" s="0"/>
      <c r="CO985" s="0"/>
      <c r="CP985" s="0"/>
      <c r="CQ985" s="0"/>
      <c r="CR985" s="0"/>
      <c r="CS985" s="0"/>
      <c r="CT985" s="0"/>
      <c r="CU985" s="0"/>
      <c r="CV985" s="0"/>
      <c r="CW985" s="0"/>
      <c r="CX985" s="0"/>
      <c r="CY985" s="0"/>
      <c r="CZ985" s="0"/>
      <c r="DA985" s="0"/>
      <c r="DB985" s="0"/>
      <c r="DC985" s="0"/>
      <c r="DD985" s="0"/>
      <c r="DE985" s="0"/>
      <c r="DF985" s="0"/>
      <c r="DG985" s="0"/>
      <c r="DH985" s="0"/>
      <c r="DI985" s="0"/>
      <c r="DJ985" s="0"/>
      <c r="DK985" s="0"/>
      <c r="DL985" s="0"/>
      <c r="DM985" s="0"/>
      <c r="DN985" s="0"/>
      <c r="DO985" s="0"/>
      <c r="DP985" s="0"/>
      <c r="DQ985" s="0"/>
      <c r="DR985" s="0"/>
      <c r="DS985" s="0"/>
      <c r="DT985" s="0"/>
      <c r="DU985" s="0"/>
      <c r="DV985" s="0"/>
      <c r="DW985" s="0"/>
      <c r="DX985" s="0"/>
      <c r="DY985" s="0"/>
      <c r="DZ985" s="0"/>
      <c r="EA985" s="0"/>
      <c r="EB985" s="0"/>
      <c r="EC985" s="0"/>
      <c r="ED985" s="0"/>
      <c r="EE985" s="0"/>
      <c r="EF985" s="0"/>
      <c r="EG985" s="0"/>
      <c r="EH985" s="0"/>
      <c r="EI985" s="0"/>
      <c r="EJ985" s="0"/>
      <c r="EK985" s="0"/>
      <c r="EL985" s="0"/>
      <c r="EM985" s="0"/>
      <c r="EN985" s="0"/>
      <c r="EO985" s="0"/>
      <c r="EP985" s="0"/>
      <c r="EQ985" s="0"/>
      <c r="ER985" s="0"/>
      <c r="ES985" s="0"/>
      <c r="ET985" s="0"/>
      <c r="EU985" s="0"/>
      <c r="EV985" s="0"/>
      <c r="EW985" s="0"/>
      <c r="EX985" s="0"/>
      <c r="EY985" s="0"/>
      <c r="EZ985" s="0"/>
      <c r="FA985" s="0"/>
      <c r="FB985" s="0"/>
      <c r="FC985" s="0"/>
      <c r="FD985" s="0"/>
      <c r="FE985" s="0"/>
      <c r="FF985" s="0"/>
      <c r="FG985" s="0"/>
      <c r="FH985" s="0"/>
      <c r="FI985" s="0"/>
      <c r="FJ985" s="0"/>
      <c r="FK985" s="0"/>
      <c r="FL985" s="0"/>
      <c r="FM985" s="0"/>
      <c r="FN985" s="0"/>
      <c r="FO985" s="0"/>
      <c r="FP985" s="0"/>
      <c r="FQ985" s="0"/>
      <c r="FR985" s="0"/>
      <c r="FS985" s="0"/>
      <c r="FT985" s="0"/>
      <c r="FU985" s="0"/>
      <c r="FV985" s="0"/>
      <c r="FW985" s="0"/>
      <c r="FX985" s="0"/>
      <c r="FY985" s="0"/>
      <c r="FZ985" s="0"/>
      <c r="GA985" s="0"/>
      <c r="GB985" s="0"/>
      <c r="GC985" s="0"/>
      <c r="GD985" s="0"/>
      <c r="GE985" s="0"/>
      <c r="GF985" s="0"/>
      <c r="GG985" s="0"/>
      <c r="GH985" s="0"/>
      <c r="GI985" s="0"/>
      <c r="GJ985" s="0"/>
      <c r="GK985" s="0"/>
      <c r="GL985" s="0"/>
      <c r="GM985" s="0"/>
      <c r="GN985" s="0"/>
      <c r="GO985" s="0"/>
      <c r="GP985" s="0"/>
      <c r="GQ985" s="0"/>
      <c r="GR985" s="0"/>
      <c r="GS985" s="0"/>
      <c r="GT985" s="0"/>
      <c r="GU985" s="0"/>
      <c r="GV985" s="0"/>
      <c r="GW985" s="0"/>
      <c r="GX985" s="0"/>
      <c r="GY985" s="0"/>
      <c r="GZ985" s="0"/>
      <c r="HA985" s="0"/>
      <c r="HB985" s="0"/>
      <c r="HC985" s="0"/>
      <c r="HD985" s="0"/>
      <c r="HE985" s="0"/>
      <c r="HF985" s="0"/>
      <c r="HG985" s="0"/>
      <c r="HH985" s="0"/>
      <c r="HI985" s="0"/>
      <c r="HJ985" s="0"/>
      <c r="HK985" s="0"/>
      <c r="HL985" s="0"/>
      <c r="HM985" s="0"/>
      <c r="HN985" s="0"/>
      <c r="HO985" s="0"/>
      <c r="HP985" s="0"/>
      <c r="HQ985" s="0"/>
      <c r="HR985" s="0"/>
      <c r="HS985" s="0"/>
      <c r="HT985" s="0"/>
      <c r="HU985" s="0"/>
      <c r="HV985" s="0"/>
      <c r="HW985" s="0"/>
      <c r="HX985" s="0"/>
      <c r="HY985" s="0"/>
      <c r="HZ985" s="0"/>
      <c r="IA985" s="0"/>
      <c r="IB985" s="0"/>
      <c r="IC985" s="0"/>
      <c r="ID985" s="0"/>
      <c r="IE985" s="0"/>
      <c r="IF985" s="0"/>
      <c r="IG985" s="0"/>
      <c r="IH985" s="0"/>
      <c r="II985" s="0"/>
      <c r="IJ985" s="0"/>
      <c r="IK985" s="0"/>
      <c r="IL985" s="0"/>
      <c r="IM985" s="0"/>
      <c r="IN985" s="0"/>
      <c r="IO985" s="0"/>
      <c r="IP985" s="0"/>
      <c r="IQ985" s="0"/>
      <c r="IR985" s="0"/>
      <c r="IS985" s="0"/>
      <c r="IT985" s="0"/>
      <c r="IU985" s="0"/>
      <c r="IV985" s="0"/>
    </row>
    <row r="986" customFormat="false" ht="32.25" hidden="false" customHeight="true" outlineLevel="0" collapsed="false">
      <c r="A986" s="0"/>
      <c r="B986" s="964" t="s">
        <v>709</v>
      </c>
      <c r="C986" s="1300" t="s">
        <v>710</v>
      </c>
      <c r="D986" s="1300"/>
      <c r="E986" s="1300"/>
      <c r="F986" s="1301" t="s">
        <v>253</v>
      </c>
      <c r="G986" s="1301" t="s">
        <v>1671</v>
      </c>
      <c r="H986" s="1294" t="n">
        <f aca="false">IF(F986="non",1,0)</f>
        <v>0</v>
      </c>
      <c r="I986" s="1294" t="n">
        <f aca="false">IF(G986="tri ou recyclage",0.5,0)</f>
        <v>0.5</v>
      </c>
      <c r="J986" s="0"/>
      <c r="K986" s="0"/>
      <c r="L986" s="19"/>
      <c r="N986" s="0"/>
      <c r="O986" s="0"/>
      <c r="P986" s="0"/>
      <c r="Q986" s="0"/>
      <c r="R986" s="0"/>
      <c r="S986" s="0"/>
      <c r="T986" s="0"/>
      <c r="U986" s="0"/>
      <c r="V986" s="0"/>
      <c r="W986" s="0"/>
      <c r="X986" s="0"/>
      <c r="Y986" s="0"/>
      <c r="Z986" s="0"/>
      <c r="AA986" s="0"/>
      <c r="AB986" s="0"/>
      <c r="AC986" s="0"/>
      <c r="AD986" s="0"/>
      <c r="AE986" s="0"/>
      <c r="AF986" s="0"/>
      <c r="AG986" s="0"/>
      <c r="AH986" s="0"/>
      <c r="AI986" s="0"/>
      <c r="AJ986" s="0"/>
      <c r="AK986" s="0"/>
      <c r="AL986" s="0"/>
      <c r="AM986" s="0"/>
      <c r="AN986" s="0"/>
      <c r="AO986" s="0"/>
      <c r="AP986" s="0"/>
      <c r="AQ986" s="0"/>
      <c r="AR986" s="0"/>
      <c r="AS986" s="0"/>
      <c r="AT986" s="0"/>
      <c r="AU986" s="0"/>
      <c r="AV986" s="0"/>
      <c r="AW986" s="0"/>
      <c r="AX986" s="0"/>
      <c r="AY986" s="0"/>
      <c r="AZ986" s="0"/>
      <c r="BA986" s="0"/>
      <c r="BB986" s="0"/>
      <c r="BC986" s="0"/>
      <c r="BD986" s="0"/>
      <c r="BE986" s="0"/>
      <c r="BF986" s="0"/>
      <c r="BG986" s="0"/>
      <c r="BH986" s="0"/>
      <c r="BI986" s="0"/>
      <c r="BJ986" s="0"/>
      <c r="BK986" s="0"/>
      <c r="BL986" s="0"/>
      <c r="BM986" s="0"/>
      <c r="BN986" s="0"/>
      <c r="BO986" s="0"/>
      <c r="BP986" s="0"/>
      <c r="BQ986" s="0"/>
      <c r="BR986" s="0"/>
      <c r="BS986" s="0"/>
      <c r="BT986" s="0"/>
      <c r="BU986" s="0"/>
      <c r="BV986" s="0"/>
      <c r="BW986" s="0"/>
      <c r="BX986" s="0"/>
      <c r="BY986" s="0"/>
      <c r="BZ986" s="0"/>
      <c r="CA986" s="0"/>
      <c r="CB986" s="0"/>
      <c r="CC986" s="0"/>
      <c r="CD986" s="0"/>
      <c r="CE986" s="0"/>
      <c r="CF986" s="0"/>
      <c r="CG986" s="0"/>
      <c r="CH986" s="0"/>
      <c r="CI986" s="0"/>
      <c r="CJ986" s="0"/>
      <c r="CK986" s="0"/>
      <c r="CL986" s="0"/>
      <c r="CM986" s="0"/>
      <c r="CN986" s="0"/>
      <c r="CO986" s="0"/>
      <c r="CP986" s="0"/>
      <c r="CQ986" s="0"/>
      <c r="CR986" s="0"/>
      <c r="CS986" s="0"/>
      <c r="CT986" s="0"/>
      <c r="CU986" s="0"/>
      <c r="CV986" s="0"/>
      <c r="CW986" s="0"/>
      <c r="CX986" s="0"/>
      <c r="CY986" s="0"/>
      <c r="CZ986" s="0"/>
      <c r="DA986" s="0"/>
      <c r="DB986" s="0"/>
      <c r="DC986" s="0"/>
      <c r="DD986" s="0"/>
      <c r="DE986" s="0"/>
      <c r="DF986" s="0"/>
      <c r="DG986" s="0"/>
      <c r="DH986" s="0"/>
      <c r="DI986" s="0"/>
      <c r="DJ986" s="0"/>
      <c r="DK986" s="0"/>
      <c r="DL986" s="0"/>
      <c r="DM986" s="0"/>
      <c r="DN986" s="0"/>
      <c r="DO986" s="0"/>
      <c r="DP986" s="0"/>
      <c r="DQ986" s="0"/>
      <c r="DR986" s="0"/>
      <c r="DS986" s="0"/>
      <c r="DT986" s="0"/>
      <c r="DU986" s="0"/>
      <c r="DV986" s="0"/>
      <c r="DW986" s="0"/>
      <c r="DX986" s="0"/>
      <c r="DY986" s="0"/>
      <c r="DZ986" s="0"/>
      <c r="EA986" s="0"/>
      <c r="EB986" s="0"/>
      <c r="EC986" s="0"/>
      <c r="ED986" s="0"/>
      <c r="EE986" s="0"/>
      <c r="EF986" s="0"/>
      <c r="EG986" s="0"/>
      <c r="EH986" s="0"/>
      <c r="EI986" s="0"/>
      <c r="EJ986" s="0"/>
      <c r="EK986" s="0"/>
      <c r="EL986" s="0"/>
      <c r="EM986" s="0"/>
      <c r="EN986" s="0"/>
      <c r="EO986" s="0"/>
      <c r="EP986" s="0"/>
      <c r="EQ986" s="0"/>
      <c r="ER986" s="0"/>
      <c r="ES986" s="0"/>
      <c r="ET986" s="0"/>
      <c r="EU986" s="0"/>
      <c r="EV986" s="0"/>
      <c r="EW986" s="0"/>
      <c r="EX986" s="0"/>
      <c r="EY986" s="0"/>
      <c r="EZ986" s="0"/>
      <c r="FA986" s="0"/>
      <c r="FB986" s="0"/>
      <c r="FC986" s="0"/>
      <c r="FD986" s="0"/>
      <c r="FE986" s="0"/>
      <c r="FF986" s="0"/>
      <c r="FG986" s="0"/>
      <c r="FH986" s="0"/>
      <c r="FI986" s="0"/>
      <c r="FJ986" s="0"/>
      <c r="FK986" s="0"/>
      <c r="FL986" s="0"/>
      <c r="FM986" s="0"/>
      <c r="FN986" s="0"/>
      <c r="FO986" s="0"/>
      <c r="FP986" s="0"/>
      <c r="FQ986" s="0"/>
      <c r="FR986" s="0"/>
      <c r="FS986" s="0"/>
      <c r="FT986" s="0"/>
      <c r="FU986" s="0"/>
      <c r="FV986" s="0"/>
      <c r="FW986" s="0"/>
      <c r="FX986" s="0"/>
      <c r="FY986" s="0"/>
      <c r="FZ986" s="0"/>
      <c r="GA986" s="0"/>
      <c r="GB986" s="0"/>
      <c r="GC986" s="0"/>
      <c r="GD986" s="0"/>
      <c r="GE986" s="0"/>
      <c r="GF986" s="0"/>
      <c r="GG986" s="0"/>
      <c r="GH986" s="0"/>
      <c r="GI986" s="0"/>
      <c r="GJ986" s="0"/>
      <c r="GK986" s="0"/>
      <c r="GL986" s="0"/>
      <c r="GM986" s="0"/>
      <c r="GN986" s="0"/>
      <c r="GO986" s="0"/>
      <c r="GP986" s="0"/>
      <c r="GQ986" s="0"/>
      <c r="GR986" s="0"/>
      <c r="GS986" s="0"/>
      <c r="GT986" s="0"/>
      <c r="GU986" s="0"/>
      <c r="GV986" s="0"/>
      <c r="GW986" s="0"/>
      <c r="GX986" s="0"/>
      <c r="GY986" s="0"/>
      <c r="GZ986" s="0"/>
      <c r="HA986" s="0"/>
      <c r="HB986" s="0"/>
      <c r="HC986" s="0"/>
      <c r="HD986" s="0"/>
      <c r="HE986" s="0"/>
      <c r="HF986" s="0"/>
      <c r="HG986" s="0"/>
      <c r="HH986" s="0"/>
      <c r="HI986" s="0"/>
      <c r="HJ986" s="0"/>
      <c r="HK986" s="0"/>
      <c r="HL986" s="0"/>
      <c r="HM986" s="0"/>
      <c r="HN986" s="0"/>
      <c r="HO986" s="0"/>
      <c r="HP986" s="0"/>
      <c r="HQ986" s="0"/>
      <c r="HR986" s="0"/>
      <c r="HS986" s="0"/>
      <c r="HT986" s="0"/>
      <c r="HU986" s="0"/>
      <c r="HV986" s="0"/>
      <c r="HW986" s="0"/>
      <c r="HX986" s="0"/>
      <c r="HY986" s="0"/>
      <c r="HZ986" s="0"/>
      <c r="IA986" s="0"/>
      <c r="IB986" s="0"/>
      <c r="IC986" s="0"/>
      <c r="ID986" s="0"/>
      <c r="IE986" s="0"/>
      <c r="IF986" s="0"/>
      <c r="IG986" s="0"/>
      <c r="IH986" s="0"/>
      <c r="II986" s="0"/>
      <c r="IJ986" s="0"/>
      <c r="IK986" s="0"/>
      <c r="IL986" s="0"/>
      <c r="IM986" s="0"/>
      <c r="IN986" s="0"/>
      <c r="IO986" s="0"/>
      <c r="IP986" s="0"/>
      <c r="IQ986" s="0"/>
      <c r="IR986" s="0"/>
      <c r="IS986" s="0"/>
      <c r="IT986" s="0"/>
      <c r="IU986" s="0"/>
      <c r="IV986" s="0"/>
    </row>
    <row r="987" customFormat="false" ht="15.75" hidden="false" customHeight="true" outlineLevel="0" collapsed="false">
      <c r="A987" s="0"/>
      <c r="B987" s="0"/>
      <c r="C987" s="1146"/>
      <c r="D987" s="1146"/>
      <c r="E987" s="0"/>
      <c r="F987" s="0"/>
      <c r="G987" s="0"/>
      <c r="H987" s="1294" t="n">
        <f aca="false">SUM(H980:H986)</f>
        <v>0</v>
      </c>
      <c r="I987" s="1294" t="n">
        <f aca="false">SUM(I980:I986)</f>
        <v>2</v>
      </c>
      <c r="J987" s="0"/>
      <c r="K987" s="0"/>
      <c r="L987" s="19"/>
      <c r="N987" s="0"/>
      <c r="O987" s="0"/>
      <c r="P987" s="0"/>
      <c r="Q987" s="0"/>
      <c r="R987" s="0"/>
      <c r="S987" s="0"/>
      <c r="T987" s="0"/>
      <c r="U987" s="0"/>
      <c r="V987" s="0"/>
      <c r="W987" s="0"/>
      <c r="X987" s="0"/>
      <c r="Y987" s="0"/>
      <c r="Z987" s="0"/>
      <c r="AA987" s="0"/>
      <c r="AB987" s="0"/>
      <c r="AC987" s="0"/>
      <c r="AD987" s="0"/>
      <c r="AE987" s="0"/>
      <c r="AF987" s="0"/>
      <c r="AG987" s="0"/>
      <c r="AH987" s="0"/>
      <c r="AI987" s="0"/>
      <c r="AJ987" s="0"/>
      <c r="AK987" s="0"/>
      <c r="AL987" s="0"/>
      <c r="AM987" s="0"/>
      <c r="AN987" s="0"/>
      <c r="AO987" s="0"/>
      <c r="AP987" s="0"/>
      <c r="AQ987" s="0"/>
      <c r="AR987" s="0"/>
      <c r="AS987" s="0"/>
      <c r="AT987" s="0"/>
      <c r="AU987" s="0"/>
      <c r="AV987" s="0"/>
      <c r="AW987" s="0"/>
      <c r="AX987" s="0"/>
      <c r="AY987" s="0"/>
      <c r="AZ987" s="0"/>
      <c r="BA987" s="0"/>
      <c r="BB987" s="0"/>
      <c r="BC987" s="0"/>
      <c r="BD987" s="0"/>
      <c r="BE987" s="0"/>
      <c r="BF987" s="0"/>
      <c r="BG987" s="0"/>
      <c r="BH987" s="0"/>
      <c r="BI987" s="0"/>
      <c r="BJ987" s="0"/>
      <c r="BK987" s="0"/>
      <c r="BL987" s="0"/>
      <c r="BM987" s="0"/>
      <c r="BN987" s="0"/>
      <c r="BO987" s="0"/>
      <c r="BP987" s="0"/>
      <c r="BQ987" s="0"/>
      <c r="BR987" s="0"/>
      <c r="BS987" s="0"/>
      <c r="BT987" s="0"/>
      <c r="BU987" s="0"/>
      <c r="BV987" s="0"/>
      <c r="BW987" s="0"/>
      <c r="BX987" s="0"/>
      <c r="BY987" s="0"/>
      <c r="BZ987" s="0"/>
      <c r="CA987" s="0"/>
      <c r="CB987" s="0"/>
      <c r="CC987" s="0"/>
      <c r="CD987" s="0"/>
      <c r="CE987" s="0"/>
      <c r="CF987" s="0"/>
      <c r="CG987" s="0"/>
      <c r="CH987" s="0"/>
      <c r="CI987" s="0"/>
      <c r="CJ987" s="0"/>
      <c r="CK987" s="0"/>
      <c r="CL987" s="0"/>
      <c r="CM987" s="0"/>
      <c r="CN987" s="0"/>
      <c r="CO987" s="0"/>
      <c r="CP987" s="0"/>
      <c r="CQ987" s="0"/>
      <c r="CR987" s="0"/>
      <c r="CS987" s="0"/>
      <c r="CT987" s="0"/>
      <c r="CU987" s="0"/>
      <c r="CV987" s="0"/>
      <c r="CW987" s="0"/>
      <c r="CX987" s="0"/>
      <c r="CY987" s="0"/>
      <c r="CZ987" s="0"/>
      <c r="DA987" s="0"/>
      <c r="DB987" s="0"/>
      <c r="DC987" s="0"/>
      <c r="DD987" s="0"/>
      <c r="DE987" s="0"/>
      <c r="DF987" s="0"/>
      <c r="DG987" s="0"/>
      <c r="DH987" s="0"/>
      <c r="DI987" s="0"/>
      <c r="DJ987" s="0"/>
      <c r="DK987" s="0"/>
      <c r="DL987" s="0"/>
      <c r="DM987" s="0"/>
      <c r="DN987" s="0"/>
      <c r="DO987" s="0"/>
      <c r="DP987" s="0"/>
      <c r="DQ987" s="0"/>
      <c r="DR987" s="0"/>
      <c r="DS987" s="0"/>
      <c r="DT987" s="0"/>
      <c r="DU987" s="0"/>
      <c r="DV987" s="0"/>
      <c r="DW987" s="0"/>
      <c r="DX987" s="0"/>
      <c r="DY987" s="0"/>
      <c r="DZ987" s="0"/>
      <c r="EA987" s="0"/>
      <c r="EB987" s="0"/>
      <c r="EC987" s="0"/>
      <c r="ED987" s="0"/>
      <c r="EE987" s="0"/>
      <c r="EF987" s="0"/>
      <c r="EG987" s="0"/>
      <c r="EH987" s="0"/>
      <c r="EI987" s="0"/>
      <c r="EJ987" s="0"/>
      <c r="EK987" s="0"/>
      <c r="EL987" s="0"/>
      <c r="EM987" s="0"/>
      <c r="EN987" s="0"/>
      <c r="EO987" s="0"/>
      <c r="EP987" s="0"/>
      <c r="EQ987" s="0"/>
      <c r="ER987" s="0"/>
      <c r="ES987" s="0"/>
      <c r="ET987" s="0"/>
      <c r="EU987" s="0"/>
      <c r="EV987" s="0"/>
      <c r="EW987" s="0"/>
      <c r="EX987" s="0"/>
      <c r="EY987" s="0"/>
      <c r="EZ987" s="0"/>
      <c r="FA987" s="0"/>
      <c r="FB987" s="0"/>
      <c r="FC987" s="0"/>
      <c r="FD987" s="0"/>
      <c r="FE987" s="0"/>
      <c r="FF987" s="0"/>
      <c r="FG987" s="0"/>
      <c r="FH987" s="0"/>
      <c r="FI987" s="0"/>
      <c r="FJ987" s="0"/>
      <c r="FK987" s="0"/>
      <c r="FL987" s="0"/>
      <c r="FM987" s="0"/>
      <c r="FN987" s="0"/>
      <c r="FO987" s="0"/>
      <c r="FP987" s="0"/>
      <c r="FQ987" s="0"/>
      <c r="FR987" s="0"/>
      <c r="FS987" s="0"/>
      <c r="FT987" s="0"/>
      <c r="FU987" s="0"/>
      <c r="FV987" s="0"/>
      <c r="FW987" s="0"/>
      <c r="FX987" s="0"/>
      <c r="FY987" s="0"/>
      <c r="FZ987" s="0"/>
      <c r="GA987" s="0"/>
      <c r="GB987" s="0"/>
      <c r="GC987" s="0"/>
      <c r="GD987" s="0"/>
      <c r="GE987" s="0"/>
      <c r="GF987" s="0"/>
      <c r="GG987" s="0"/>
      <c r="GH987" s="0"/>
      <c r="GI987" s="0"/>
      <c r="GJ987" s="0"/>
      <c r="GK987" s="0"/>
      <c r="GL987" s="0"/>
      <c r="GM987" s="0"/>
      <c r="GN987" s="0"/>
      <c r="GO987" s="0"/>
      <c r="GP987" s="0"/>
      <c r="GQ987" s="0"/>
      <c r="GR987" s="0"/>
      <c r="GS987" s="0"/>
      <c r="GT987" s="0"/>
      <c r="GU987" s="0"/>
      <c r="GV987" s="0"/>
      <c r="GW987" s="0"/>
      <c r="GX987" s="0"/>
      <c r="GY987" s="0"/>
      <c r="GZ987" s="0"/>
      <c r="HA987" s="0"/>
      <c r="HB987" s="0"/>
      <c r="HC987" s="0"/>
      <c r="HD987" s="0"/>
      <c r="HE987" s="0"/>
      <c r="HF987" s="0"/>
      <c r="HG987" s="0"/>
      <c r="HH987" s="0"/>
      <c r="HI987" s="0"/>
      <c r="HJ987" s="0"/>
      <c r="HK987" s="0"/>
      <c r="HL987" s="0"/>
      <c r="HM987" s="0"/>
      <c r="HN987" s="0"/>
      <c r="HO987" s="0"/>
      <c r="HP987" s="0"/>
      <c r="HQ987" s="0"/>
      <c r="HR987" s="0"/>
      <c r="HS987" s="0"/>
      <c r="HT987" s="0"/>
      <c r="HU987" s="0"/>
      <c r="HV987" s="0"/>
      <c r="HW987" s="0"/>
      <c r="HX987" s="0"/>
      <c r="HY987" s="0"/>
      <c r="HZ987" s="0"/>
      <c r="IA987" s="0"/>
      <c r="IB987" s="0"/>
      <c r="IC987" s="0"/>
      <c r="ID987" s="0"/>
      <c r="IE987" s="0"/>
      <c r="IF987" s="0"/>
      <c r="IG987" s="0"/>
      <c r="IH987" s="0"/>
      <c r="II987" s="0"/>
      <c r="IJ987" s="0"/>
      <c r="IK987" s="0"/>
      <c r="IL987" s="0"/>
      <c r="IM987" s="0"/>
      <c r="IN987" s="0"/>
      <c r="IO987" s="0"/>
      <c r="IP987" s="0"/>
      <c r="IQ987" s="0"/>
      <c r="IR987" s="0"/>
      <c r="IS987" s="0"/>
      <c r="IT987" s="0"/>
      <c r="IU987" s="0"/>
      <c r="IV987" s="0"/>
    </row>
    <row r="988" customFormat="false" ht="15.75" hidden="false" customHeight="true" outlineLevel="0" collapsed="false">
      <c r="A988" s="0"/>
      <c r="B988" s="0"/>
      <c r="C988" s="0"/>
      <c r="D988" s="0"/>
      <c r="E988" s="0"/>
      <c r="F988" s="0"/>
      <c r="G988" s="0"/>
      <c r="H988" s="0"/>
      <c r="I988" s="0"/>
      <c r="J988" s="0"/>
      <c r="K988" s="0"/>
      <c r="L988" s="19"/>
      <c r="N988" s="0"/>
      <c r="O988" s="0"/>
      <c r="P988" s="0"/>
      <c r="Q988" s="0"/>
      <c r="R988" s="0"/>
      <c r="S988" s="0"/>
      <c r="T988" s="0"/>
      <c r="U988" s="0"/>
      <c r="V988" s="0"/>
      <c r="W988" s="0"/>
      <c r="X988" s="0"/>
      <c r="Y988" s="0"/>
      <c r="Z988" s="0"/>
      <c r="AA988" s="0"/>
      <c r="AB988" s="0"/>
      <c r="AC988" s="0"/>
      <c r="AD988" s="0"/>
      <c r="AE988" s="0"/>
      <c r="AF988" s="0"/>
      <c r="AG988" s="0"/>
      <c r="AH988" s="0"/>
      <c r="AI988" s="0"/>
      <c r="AJ988" s="0"/>
      <c r="AK988" s="0"/>
      <c r="AL988" s="0"/>
      <c r="AM988" s="0"/>
      <c r="AN988" s="0"/>
      <c r="AO988" s="0"/>
      <c r="AP988" s="0"/>
      <c r="AQ988" s="0"/>
      <c r="AR988" s="0"/>
      <c r="AS988" s="0"/>
      <c r="AT988" s="0"/>
      <c r="AU988" s="0"/>
      <c r="AV988" s="0"/>
      <c r="AW988" s="0"/>
      <c r="AX988" s="0"/>
      <c r="AY988" s="0"/>
      <c r="AZ988" s="0"/>
      <c r="BA988" s="0"/>
      <c r="BB988" s="0"/>
      <c r="BC988" s="0"/>
      <c r="BD988" s="0"/>
      <c r="BE988" s="0"/>
      <c r="BF988" s="0"/>
      <c r="BG988" s="0"/>
      <c r="BH988" s="0"/>
      <c r="BI988" s="0"/>
      <c r="BJ988" s="0"/>
      <c r="BK988" s="0"/>
      <c r="BL988" s="0"/>
      <c r="BM988" s="0"/>
      <c r="BN988" s="0"/>
      <c r="BO988" s="0"/>
      <c r="BP988" s="0"/>
      <c r="BQ988" s="0"/>
      <c r="BR988" s="0"/>
      <c r="BS988" s="0"/>
      <c r="BT988" s="0"/>
      <c r="BU988" s="0"/>
      <c r="BV988" s="0"/>
      <c r="BW988" s="0"/>
      <c r="BX988" s="0"/>
      <c r="BY988" s="0"/>
      <c r="BZ988" s="0"/>
      <c r="CA988" s="0"/>
      <c r="CB988" s="0"/>
      <c r="CC988" s="0"/>
      <c r="CD988" s="0"/>
      <c r="CE988" s="0"/>
      <c r="CF988" s="0"/>
      <c r="CG988" s="0"/>
      <c r="CH988" s="0"/>
      <c r="CI988" s="0"/>
      <c r="CJ988" s="0"/>
      <c r="CK988" s="0"/>
      <c r="CL988" s="0"/>
      <c r="CM988" s="0"/>
      <c r="CN988" s="0"/>
      <c r="CO988" s="0"/>
      <c r="CP988" s="0"/>
      <c r="CQ988" s="0"/>
      <c r="CR988" s="0"/>
      <c r="CS988" s="0"/>
      <c r="CT988" s="0"/>
      <c r="CU988" s="0"/>
      <c r="CV988" s="0"/>
      <c r="CW988" s="0"/>
      <c r="CX988" s="0"/>
      <c r="CY988" s="0"/>
      <c r="CZ988" s="0"/>
      <c r="DA988" s="0"/>
      <c r="DB988" s="0"/>
      <c r="DC988" s="0"/>
      <c r="DD988" s="0"/>
      <c r="DE988" s="0"/>
      <c r="DF988" s="0"/>
      <c r="DG988" s="0"/>
      <c r="DH988" s="0"/>
      <c r="DI988" s="0"/>
      <c r="DJ988" s="0"/>
      <c r="DK988" s="0"/>
      <c r="DL988" s="0"/>
      <c r="DM988" s="0"/>
      <c r="DN988" s="0"/>
      <c r="DO988" s="0"/>
      <c r="DP988" s="0"/>
      <c r="DQ988" s="0"/>
      <c r="DR988" s="0"/>
      <c r="DS988" s="0"/>
      <c r="DT988" s="0"/>
      <c r="DU988" s="0"/>
      <c r="DV988" s="0"/>
      <c r="DW988" s="0"/>
      <c r="DX988" s="0"/>
      <c r="DY988" s="0"/>
      <c r="DZ988" s="0"/>
      <c r="EA988" s="0"/>
      <c r="EB988" s="0"/>
      <c r="EC988" s="0"/>
      <c r="ED988" s="0"/>
      <c r="EE988" s="0"/>
      <c r="EF988" s="0"/>
      <c r="EG988" s="0"/>
      <c r="EH988" s="0"/>
      <c r="EI988" s="0"/>
      <c r="EJ988" s="0"/>
      <c r="EK988" s="0"/>
      <c r="EL988" s="0"/>
      <c r="EM988" s="0"/>
      <c r="EN988" s="0"/>
      <c r="EO988" s="0"/>
      <c r="EP988" s="0"/>
      <c r="EQ988" s="0"/>
      <c r="ER988" s="0"/>
      <c r="ES988" s="0"/>
      <c r="ET988" s="0"/>
      <c r="EU988" s="0"/>
      <c r="EV988" s="0"/>
      <c r="EW988" s="0"/>
      <c r="EX988" s="0"/>
      <c r="EY988" s="0"/>
      <c r="EZ988" s="0"/>
      <c r="FA988" s="0"/>
      <c r="FB988" s="0"/>
      <c r="FC988" s="0"/>
      <c r="FD988" s="0"/>
      <c r="FE988" s="0"/>
      <c r="FF988" s="0"/>
      <c r="FG988" s="0"/>
      <c r="FH988" s="0"/>
      <c r="FI988" s="0"/>
      <c r="FJ988" s="0"/>
      <c r="FK988" s="0"/>
      <c r="FL988" s="0"/>
      <c r="FM988" s="0"/>
      <c r="FN988" s="0"/>
      <c r="FO988" s="0"/>
      <c r="FP988" s="0"/>
      <c r="FQ988" s="0"/>
      <c r="FR988" s="0"/>
      <c r="FS988" s="0"/>
      <c r="FT988" s="0"/>
      <c r="FU988" s="0"/>
      <c r="FV988" s="0"/>
      <c r="FW988" s="0"/>
      <c r="FX988" s="0"/>
      <c r="FY988" s="0"/>
      <c r="FZ988" s="0"/>
      <c r="GA988" s="0"/>
      <c r="GB988" s="0"/>
      <c r="GC988" s="0"/>
      <c r="GD988" s="0"/>
      <c r="GE988" s="0"/>
      <c r="GF988" s="0"/>
      <c r="GG988" s="0"/>
      <c r="GH988" s="0"/>
      <c r="GI988" s="0"/>
      <c r="GJ988" s="0"/>
      <c r="GK988" s="0"/>
      <c r="GL988" s="0"/>
      <c r="GM988" s="0"/>
      <c r="GN988" s="0"/>
      <c r="GO988" s="0"/>
      <c r="GP988" s="0"/>
      <c r="GQ988" s="0"/>
      <c r="GR988" s="0"/>
      <c r="GS988" s="0"/>
      <c r="GT988" s="0"/>
      <c r="GU988" s="0"/>
      <c r="GV988" s="0"/>
      <c r="GW988" s="0"/>
      <c r="GX988" s="0"/>
      <c r="GY988" s="0"/>
      <c r="GZ988" s="0"/>
      <c r="HA988" s="0"/>
      <c r="HB988" s="0"/>
      <c r="HC988" s="0"/>
      <c r="HD988" s="0"/>
      <c r="HE988" s="0"/>
      <c r="HF988" s="0"/>
      <c r="HG988" s="0"/>
      <c r="HH988" s="0"/>
      <c r="HI988" s="0"/>
      <c r="HJ988" s="0"/>
      <c r="HK988" s="0"/>
      <c r="HL988" s="0"/>
      <c r="HM988" s="0"/>
      <c r="HN988" s="0"/>
      <c r="HO988" s="0"/>
      <c r="HP988" s="0"/>
      <c r="HQ988" s="0"/>
      <c r="HR988" s="0"/>
      <c r="HS988" s="0"/>
      <c r="HT988" s="0"/>
      <c r="HU988" s="0"/>
      <c r="HV988" s="0"/>
      <c r="HW988" s="0"/>
      <c r="HX988" s="0"/>
      <c r="HY988" s="0"/>
      <c r="HZ988" s="0"/>
      <c r="IA988" s="0"/>
      <c r="IB988" s="0"/>
      <c r="IC988" s="0"/>
      <c r="ID988" s="0"/>
      <c r="IE988" s="0"/>
      <c r="IF988" s="0"/>
      <c r="IG988" s="0"/>
      <c r="IH988" s="0"/>
      <c r="II988" s="0"/>
      <c r="IJ988" s="0"/>
      <c r="IK988" s="0"/>
      <c r="IL988" s="0"/>
      <c r="IM988" s="0"/>
      <c r="IN988" s="0"/>
      <c r="IO988" s="0"/>
      <c r="IP988" s="0"/>
      <c r="IQ988" s="0"/>
      <c r="IR988" s="0"/>
      <c r="IS988" s="0"/>
      <c r="IT988" s="0"/>
      <c r="IU988" s="0"/>
      <c r="IV988" s="0"/>
    </row>
    <row r="989" customFormat="false" ht="15.75" hidden="false" customHeight="true" outlineLevel="0" collapsed="false">
      <c r="A989" s="14" t="s">
        <v>1674</v>
      </c>
      <c r="B989" s="906" t="s">
        <v>254</v>
      </c>
      <c r="D989" s="0"/>
      <c r="E989" s="0"/>
      <c r="F989" s="0"/>
      <c r="G989" s="0"/>
      <c r="H989" s="0"/>
      <c r="I989" s="0"/>
      <c r="J989" s="0"/>
      <c r="K989" s="0"/>
      <c r="L989" s="19"/>
      <c r="N989" s="0"/>
      <c r="O989" s="0"/>
      <c r="P989" s="0"/>
      <c r="Q989" s="0"/>
      <c r="R989" s="0"/>
      <c r="S989" s="0"/>
      <c r="T989" s="0"/>
      <c r="U989" s="0"/>
      <c r="V989" s="0"/>
      <c r="W989" s="0"/>
      <c r="X989" s="0"/>
      <c r="Y989" s="0"/>
      <c r="Z989" s="0"/>
      <c r="AA989" s="0"/>
      <c r="AB989" s="0"/>
      <c r="AC989" s="0"/>
      <c r="AD989" s="0"/>
      <c r="AE989" s="0"/>
      <c r="AF989" s="0"/>
      <c r="AG989" s="0"/>
      <c r="AH989" s="0"/>
      <c r="AI989" s="0"/>
      <c r="AJ989" s="0"/>
      <c r="AK989" s="0"/>
      <c r="AL989" s="0"/>
      <c r="AM989" s="0"/>
      <c r="AN989" s="0"/>
      <c r="AO989" s="0"/>
      <c r="AP989" s="0"/>
      <c r="AQ989" s="0"/>
      <c r="AR989" s="0"/>
      <c r="AS989" s="0"/>
      <c r="AT989" s="0"/>
      <c r="AU989" s="0"/>
      <c r="AV989" s="0"/>
      <c r="AW989" s="0"/>
      <c r="AX989" s="0"/>
      <c r="AY989" s="0"/>
      <c r="AZ989" s="0"/>
      <c r="BA989" s="0"/>
      <c r="BB989" s="0"/>
      <c r="BC989" s="0"/>
      <c r="BD989" s="0"/>
      <c r="BE989" s="0"/>
      <c r="BF989" s="0"/>
      <c r="BG989" s="0"/>
      <c r="BH989" s="0"/>
      <c r="BI989" s="0"/>
      <c r="BJ989" s="0"/>
      <c r="BK989" s="0"/>
      <c r="BL989" s="0"/>
      <c r="BM989" s="0"/>
      <c r="BN989" s="0"/>
      <c r="BO989" s="0"/>
      <c r="BP989" s="0"/>
      <c r="BQ989" s="0"/>
      <c r="BR989" s="0"/>
      <c r="BS989" s="0"/>
      <c r="BT989" s="0"/>
      <c r="BU989" s="0"/>
      <c r="BV989" s="0"/>
      <c r="BW989" s="0"/>
      <c r="BX989" s="0"/>
      <c r="BY989" s="0"/>
      <c r="BZ989" s="0"/>
      <c r="CA989" s="0"/>
      <c r="CB989" s="0"/>
      <c r="CC989" s="0"/>
      <c r="CD989" s="0"/>
      <c r="CE989" s="0"/>
      <c r="CF989" s="0"/>
      <c r="CG989" s="0"/>
      <c r="CH989" s="0"/>
      <c r="CI989" s="0"/>
      <c r="CJ989" s="0"/>
      <c r="CK989" s="0"/>
      <c r="CL989" s="0"/>
      <c r="CM989" s="0"/>
      <c r="CN989" s="0"/>
      <c r="CO989" s="0"/>
      <c r="CP989" s="0"/>
      <c r="CQ989" s="0"/>
      <c r="CR989" s="0"/>
      <c r="CS989" s="0"/>
      <c r="CT989" s="0"/>
      <c r="CU989" s="0"/>
      <c r="CV989" s="0"/>
      <c r="CW989" s="0"/>
      <c r="CX989" s="0"/>
      <c r="CY989" s="0"/>
      <c r="CZ989" s="0"/>
      <c r="DA989" s="0"/>
      <c r="DB989" s="0"/>
      <c r="DC989" s="0"/>
      <c r="DD989" s="0"/>
      <c r="DE989" s="0"/>
      <c r="DF989" s="0"/>
      <c r="DG989" s="0"/>
      <c r="DH989" s="0"/>
      <c r="DI989" s="0"/>
      <c r="DJ989" s="0"/>
      <c r="DK989" s="0"/>
      <c r="DL989" s="0"/>
      <c r="DM989" s="0"/>
      <c r="DN989" s="0"/>
      <c r="DO989" s="0"/>
      <c r="DP989" s="0"/>
      <c r="DQ989" s="0"/>
      <c r="DR989" s="0"/>
      <c r="DS989" s="0"/>
      <c r="DT989" s="0"/>
      <c r="DU989" s="0"/>
      <c r="DV989" s="0"/>
      <c r="DW989" s="0"/>
      <c r="DX989" s="0"/>
      <c r="DY989" s="0"/>
      <c r="DZ989" s="0"/>
      <c r="EA989" s="0"/>
      <c r="EB989" s="0"/>
      <c r="EC989" s="0"/>
      <c r="ED989" s="0"/>
      <c r="EE989" s="0"/>
      <c r="EF989" s="0"/>
      <c r="EG989" s="0"/>
      <c r="EH989" s="0"/>
      <c r="EI989" s="0"/>
      <c r="EJ989" s="0"/>
      <c r="EK989" s="0"/>
      <c r="EL989" s="0"/>
      <c r="EM989" s="0"/>
      <c r="EN989" s="0"/>
      <c r="EO989" s="0"/>
      <c r="EP989" s="0"/>
      <c r="EQ989" s="0"/>
      <c r="ER989" s="0"/>
      <c r="ES989" s="0"/>
      <c r="ET989" s="0"/>
      <c r="EU989" s="0"/>
      <c r="EV989" s="0"/>
      <c r="EW989" s="0"/>
      <c r="EX989" s="0"/>
      <c r="EY989" s="0"/>
      <c r="EZ989" s="0"/>
      <c r="FA989" s="0"/>
      <c r="FB989" s="0"/>
      <c r="FC989" s="0"/>
      <c r="FD989" s="0"/>
      <c r="FE989" s="0"/>
      <c r="FF989" s="0"/>
      <c r="FG989" s="0"/>
      <c r="FH989" s="0"/>
      <c r="FI989" s="0"/>
      <c r="FJ989" s="0"/>
      <c r="FK989" s="0"/>
      <c r="FL989" s="0"/>
      <c r="FM989" s="0"/>
      <c r="FN989" s="0"/>
      <c r="FO989" s="0"/>
      <c r="FP989" s="0"/>
      <c r="FQ989" s="0"/>
      <c r="FR989" s="0"/>
      <c r="FS989" s="0"/>
      <c r="FT989" s="0"/>
      <c r="FU989" s="0"/>
      <c r="FV989" s="0"/>
      <c r="FW989" s="0"/>
      <c r="FX989" s="0"/>
      <c r="FY989" s="0"/>
      <c r="FZ989" s="0"/>
      <c r="GA989" s="0"/>
      <c r="GB989" s="0"/>
      <c r="GC989" s="0"/>
      <c r="GD989" s="0"/>
      <c r="GE989" s="0"/>
      <c r="GF989" s="0"/>
      <c r="GG989" s="0"/>
      <c r="GH989" s="0"/>
      <c r="GI989" s="0"/>
      <c r="GJ989" s="0"/>
      <c r="GK989" s="0"/>
      <c r="GL989" s="0"/>
      <c r="GM989" s="0"/>
      <c r="GN989" s="0"/>
      <c r="GO989" s="0"/>
      <c r="GP989" s="0"/>
      <c r="GQ989" s="0"/>
      <c r="GR989" s="0"/>
      <c r="GS989" s="0"/>
      <c r="GT989" s="0"/>
      <c r="GU989" s="0"/>
      <c r="GV989" s="0"/>
      <c r="GW989" s="0"/>
      <c r="GX989" s="0"/>
      <c r="GY989" s="0"/>
      <c r="GZ989" s="0"/>
      <c r="HA989" s="0"/>
      <c r="HB989" s="0"/>
      <c r="HC989" s="0"/>
      <c r="HD989" s="0"/>
      <c r="HE989" s="0"/>
      <c r="HF989" s="0"/>
      <c r="HG989" s="0"/>
      <c r="HH989" s="0"/>
      <c r="HI989" s="0"/>
      <c r="HJ989" s="0"/>
      <c r="HK989" s="0"/>
      <c r="HL989" s="0"/>
      <c r="HM989" s="0"/>
      <c r="HN989" s="0"/>
      <c r="HO989" s="0"/>
      <c r="HP989" s="0"/>
      <c r="HQ989" s="0"/>
      <c r="HR989" s="0"/>
      <c r="HS989" s="0"/>
      <c r="HT989" s="0"/>
      <c r="HU989" s="0"/>
      <c r="HV989" s="0"/>
      <c r="HW989" s="0"/>
      <c r="HX989" s="0"/>
      <c r="HY989" s="0"/>
      <c r="HZ989" s="0"/>
      <c r="IA989" s="0"/>
      <c r="IB989" s="0"/>
      <c r="IC989" s="0"/>
      <c r="ID989" s="0"/>
      <c r="IE989" s="0"/>
      <c r="IF989" s="0"/>
      <c r="IG989" s="0"/>
      <c r="IH989" s="0"/>
      <c r="II989" s="0"/>
      <c r="IJ989" s="0"/>
      <c r="IK989" s="0"/>
      <c r="IL989" s="0"/>
      <c r="IM989" s="0"/>
      <c r="IN989" s="0"/>
      <c r="IO989" s="0"/>
      <c r="IP989" s="0"/>
      <c r="IQ989" s="0"/>
      <c r="IR989" s="0"/>
      <c r="IS989" s="0"/>
      <c r="IT989" s="0"/>
      <c r="IU989" s="0"/>
      <c r="IV989" s="0"/>
    </row>
    <row r="990" customFormat="false" ht="15" hidden="false" customHeight="true" outlineLevel="0" collapsed="false">
      <c r="A990" s="443" t="s">
        <v>712</v>
      </c>
      <c r="B990" s="0"/>
      <c r="C990" s="0"/>
      <c r="D990" s="0"/>
      <c r="E990" s="0"/>
      <c r="F990" s="0"/>
      <c r="G990" s="0"/>
      <c r="H990" s="0"/>
      <c r="I990" s="0"/>
      <c r="J990" s="0"/>
      <c r="K990" s="0"/>
      <c r="L990" s="19"/>
      <c r="N990" s="0"/>
      <c r="O990" s="0"/>
      <c r="P990" s="0"/>
      <c r="Q990" s="0"/>
      <c r="R990" s="0"/>
      <c r="S990" s="0"/>
      <c r="T990" s="0"/>
      <c r="U990" s="0"/>
      <c r="V990" s="0"/>
      <c r="W990" s="0"/>
      <c r="X990" s="0"/>
      <c r="Y990" s="0"/>
      <c r="Z990" s="0"/>
      <c r="AA990" s="0"/>
      <c r="AB990" s="0"/>
      <c r="AC990" s="0"/>
      <c r="AD990" s="0"/>
      <c r="AE990" s="0"/>
      <c r="AF990" s="0"/>
      <c r="AG990" s="0"/>
      <c r="AH990" s="0"/>
      <c r="AI990" s="0"/>
      <c r="AJ990" s="0"/>
      <c r="AK990" s="0"/>
      <c r="AL990" s="0"/>
      <c r="AM990" s="0"/>
      <c r="AN990" s="0"/>
      <c r="AO990" s="0"/>
      <c r="AP990" s="0"/>
      <c r="AQ990" s="0"/>
      <c r="AR990" s="0"/>
      <c r="AS990" s="0"/>
      <c r="AT990" s="0"/>
      <c r="AU990" s="0"/>
      <c r="AV990" s="0"/>
      <c r="AW990" s="0"/>
      <c r="AX990" s="0"/>
      <c r="AY990" s="0"/>
      <c r="AZ990" s="0"/>
      <c r="BA990" s="0"/>
      <c r="BB990" s="0"/>
      <c r="BC990" s="0"/>
      <c r="BD990" s="0"/>
      <c r="BE990" s="0"/>
      <c r="BF990" s="0"/>
      <c r="BG990" s="0"/>
      <c r="BH990" s="0"/>
      <c r="BI990" s="0"/>
      <c r="BJ990" s="0"/>
      <c r="BK990" s="0"/>
      <c r="BL990" s="0"/>
      <c r="BM990" s="0"/>
      <c r="BN990" s="0"/>
      <c r="BO990" s="0"/>
      <c r="BP990" s="0"/>
      <c r="BQ990" s="0"/>
      <c r="BR990" s="0"/>
      <c r="BS990" s="0"/>
      <c r="BT990" s="0"/>
      <c r="BU990" s="0"/>
      <c r="BV990" s="0"/>
      <c r="BW990" s="0"/>
      <c r="BX990" s="0"/>
      <c r="BY990" s="0"/>
      <c r="BZ990" s="0"/>
      <c r="CA990" s="0"/>
      <c r="CB990" s="0"/>
      <c r="CC990" s="0"/>
      <c r="CD990" s="0"/>
      <c r="CE990" s="0"/>
      <c r="CF990" s="0"/>
      <c r="CG990" s="0"/>
      <c r="CH990" s="0"/>
      <c r="CI990" s="0"/>
      <c r="CJ990" s="0"/>
      <c r="CK990" s="0"/>
      <c r="CL990" s="0"/>
      <c r="CM990" s="0"/>
      <c r="CN990" s="0"/>
      <c r="CO990" s="0"/>
      <c r="CP990" s="0"/>
      <c r="CQ990" s="0"/>
      <c r="CR990" s="0"/>
      <c r="CS990" s="0"/>
      <c r="CT990" s="0"/>
      <c r="CU990" s="0"/>
      <c r="CV990" s="0"/>
      <c r="CW990" s="0"/>
      <c r="CX990" s="0"/>
      <c r="CY990" s="0"/>
      <c r="CZ990" s="0"/>
      <c r="DA990" s="0"/>
      <c r="DB990" s="0"/>
      <c r="DC990" s="0"/>
      <c r="DD990" s="0"/>
      <c r="DE990" s="0"/>
      <c r="DF990" s="0"/>
      <c r="DG990" s="0"/>
      <c r="DH990" s="0"/>
      <c r="DI990" s="0"/>
      <c r="DJ990" s="0"/>
      <c r="DK990" s="0"/>
      <c r="DL990" s="0"/>
      <c r="DM990" s="0"/>
      <c r="DN990" s="0"/>
      <c r="DO990" s="0"/>
      <c r="DP990" s="0"/>
      <c r="DQ990" s="0"/>
      <c r="DR990" s="0"/>
      <c r="DS990" s="0"/>
      <c r="DT990" s="0"/>
      <c r="DU990" s="0"/>
      <c r="DV990" s="0"/>
      <c r="DW990" s="0"/>
      <c r="DX990" s="0"/>
      <c r="DY990" s="0"/>
      <c r="DZ990" s="0"/>
      <c r="EA990" s="0"/>
      <c r="EB990" s="0"/>
      <c r="EC990" s="0"/>
      <c r="ED990" s="0"/>
      <c r="EE990" s="0"/>
      <c r="EF990" s="0"/>
      <c r="EG990" s="0"/>
      <c r="EH990" s="0"/>
      <c r="EI990" s="0"/>
      <c r="EJ990" s="0"/>
      <c r="EK990" s="0"/>
      <c r="EL990" s="0"/>
      <c r="EM990" s="0"/>
      <c r="EN990" s="0"/>
      <c r="EO990" s="0"/>
      <c r="EP990" s="0"/>
      <c r="EQ990" s="0"/>
      <c r="ER990" s="0"/>
      <c r="ES990" s="0"/>
      <c r="ET990" s="0"/>
      <c r="EU990" s="0"/>
      <c r="EV990" s="0"/>
      <c r="EW990" s="0"/>
      <c r="EX990" s="0"/>
      <c r="EY990" s="0"/>
      <c r="EZ990" s="0"/>
      <c r="FA990" s="0"/>
      <c r="FB990" s="0"/>
      <c r="FC990" s="0"/>
      <c r="FD990" s="0"/>
      <c r="FE990" s="0"/>
      <c r="FF990" s="0"/>
      <c r="FG990" s="0"/>
      <c r="FH990" s="0"/>
      <c r="FI990" s="0"/>
      <c r="FJ990" s="0"/>
      <c r="FK990" s="0"/>
      <c r="FL990" s="0"/>
      <c r="FM990" s="0"/>
      <c r="FN990" s="0"/>
      <c r="FO990" s="0"/>
      <c r="FP990" s="0"/>
      <c r="FQ990" s="0"/>
      <c r="FR990" s="0"/>
      <c r="FS990" s="0"/>
      <c r="FT990" s="0"/>
      <c r="FU990" s="0"/>
      <c r="FV990" s="0"/>
      <c r="FW990" s="0"/>
      <c r="FX990" s="0"/>
      <c r="FY990" s="0"/>
      <c r="FZ990" s="0"/>
      <c r="GA990" s="0"/>
      <c r="GB990" s="0"/>
      <c r="GC990" s="0"/>
      <c r="GD990" s="0"/>
      <c r="GE990" s="0"/>
      <c r="GF990" s="0"/>
      <c r="GG990" s="0"/>
      <c r="GH990" s="0"/>
      <c r="GI990" s="0"/>
      <c r="GJ990" s="0"/>
      <c r="GK990" s="0"/>
      <c r="GL990" s="0"/>
      <c r="GM990" s="0"/>
      <c r="GN990" s="0"/>
      <c r="GO990" s="0"/>
      <c r="GP990" s="0"/>
      <c r="GQ990" s="0"/>
      <c r="GR990" s="0"/>
      <c r="GS990" s="0"/>
      <c r="GT990" s="0"/>
      <c r="GU990" s="0"/>
      <c r="GV990" s="0"/>
      <c r="GW990" s="0"/>
      <c r="GX990" s="0"/>
      <c r="GY990" s="0"/>
      <c r="GZ990" s="0"/>
      <c r="HA990" s="0"/>
      <c r="HB990" s="0"/>
      <c r="HC990" s="0"/>
      <c r="HD990" s="0"/>
      <c r="HE990" s="0"/>
      <c r="HF990" s="0"/>
      <c r="HG990" s="0"/>
      <c r="HH990" s="0"/>
      <c r="HI990" s="0"/>
      <c r="HJ990" s="0"/>
      <c r="HK990" s="0"/>
      <c r="HL990" s="0"/>
      <c r="HM990" s="0"/>
      <c r="HN990" s="0"/>
      <c r="HO990" s="0"/>
      <c r="HP990" s="0"/>
      <c r="HQ990" s="0"/>
      <c r="HR990" s="0"/>
      <c r="HS990" s="0"/>
      <c r="HT990" s="0"/>
      <c r="HU990" s="0"/>
      <c r="HV990" s="0"/>
      <c r="HW990" s="0"/>
      <c r="HX990" s="0"/>
      <c r="HY990" s="0"/>
      <c r="HZ990" s="0"/>
      <c r="IA990" s="0"/>
      <c r="IB990" s="0"/>
      <c r="IC990" s="0"/>
      <c r="ID990" s="0"/>
      <c r="IE990" s="0"/>
      <c r="IF990" s="0"/>
      <c r="IG990" s="0"/>
      <c r="IH990" s="0"/>
      <c r="II990" s="0"/>
      <c r="IJ990" s="0"/>
      <c r="IK990" s="0"/>
      <c r="IL990" s="0"/>
      <c r="IM990" s="0"/>
      <c r="IN990" s="0"/>
      <c r="IO990" s="0"/>
      <c r="IP990" s="0"/>
      <c r="IQ990" s="0"/>
      <c r="IR990" s="0"/>
      <c r="IS990" s="0"/>
      <c r="IT990" s="0"/>
      <c r="IU990" s="0"/>
      <c r="IV990" s="0"/>
    </row>
    <row r="991" customFormat="false" ht="15" hidden="false" customHeight="true" outlineLevel="0" collapsed="false">
      <c r="A991" s="0"/>
      <c r="B991" s="0"/>
      <c r="C991" s="0"/>
      <c r="D991" s="0"/>
      <c r="E991" s="0"/>
      <c r="F991" s="0"/>
      <c r="G991" s="0"/>
      <c r="H991" s="0"/>
      <c r="I991" s="0"/>
      <c r="J991" s="0"/>
      <c r="K991" s="0"/>
      <c r="L991" s="19"/>
      <c r="N991" s="0"/>
      <c r="O991" s="0"/>
      <c r="P991" s="0"/>
      <c r="Q991" s="0"/>
      <c r="R991" s="0"/>
      <c r="S991" s="0"/>
      <c r="T991" s="0"/>
      <c r="U991" s="0"/>
      <c r="V991" s="0"/>
      <c r="W991" s="0"/>
      <c r="X991" s="0"/>
      <c r="Y991" s="0"/>
      <c r="Z991" s="0"/>
      <c r="AA991" s="0"/>
      <c r="AB991" s="0"/>
      <c r="AC991" s="0"/>
      <c r="AD991" s="0"/>
      <c r="AE991" s="0"/>
      <c r="AF991" s="0"/>
      <c r="AG991" s="0"/>
      <c r="AH991" s="0"/>
      <c r="AI991" s="0"/>
      <c r="AJ991" s="0"/>
      <c r="AK991" s="0"/>
      <c r="AL991" s="0"/>
      <c r="AM991" s="0"/>
      <c r="AN991" s="0"/>
      <c r="AO991" s="0"/>
      <c r="AP991" s="0"/>
      <c r="AQ991" s="0"/>
      <c r="AR991" s="0"/>
      <c r="AS991" s="0"/>
      <c r="AT991" s="0"/>
      <c r="AU991" s="0"/>
      <c r="AV991" s="0"/>
      <c r="AW991" s="0"/>
      <c r="AX991" s="0"/>
      <c r="AY991" s="0"/>
      <c r="AZ991" s="0"/>
      <c r="BA991" s="0"/>
      <c r="BB991" s="0"/>
      <c r="BC991" s="0"/>
      <c r="BD991" s="0"/>
      <c r="BE991" s="0"/>
      <c r="BF991" s="0"/>
      <c r="BG991" s="0"/>
      <c r="BH991" s="0"/>
      <c r="BI991" s="0"/>
      <c r="BJ991" s="0"/>
      <c r="BK991" s="0"/>
      <c r="BL991" s="0"/>
      <c r="BM991" s="0"/>
      <c r="BN991" s="0"/>
      <c r="BO991" s="0"/>
      <c r="BP991" s="0"/>
      <c r="BQ991" s="0"/>
      <c r="BR991" s="0"/>
      <c r="BS991" s="0"/>
      <c r="BT991" s="0"/>
      <c r="BU991" s="0"/>
      <c r="BV991" s="0"/>
      <c r="BW991" s="0"/>
      <c r="BX991" s="0"/>
      <c r="BY991" s="0"/>
      <c r="BZ991" s="0"/>
      <c r="CA991" s="0"/>
      <c r="CB991" s="0"/>
      <c r="CC991" s="0"/>
      <c r="CD991" s="0"/>
      <c r="CE991" s="0"/>
      <c r="CF991" s="0"/>
      <c r="CG991" s="0"/>
      <c r="CH991" s="0"/>
      <c r="CI991" s="0"/>
      <c r="CJ991" s="0"/>
      <c r="CK991" s="0"/>
      <c r="CL991" s="0"/>
      <c r="CM991" s="0"/>
      <c r="CN991" s="0"/>
      <c r="CO991" s="0"/>
      <c r="CP991" s="0"/>
      <c r="CQ991" s="0"/>
      <c r="CR991" s="0"/>
      <c r="CS991" s="0"/>
      <c r="CT991" s="0"/>
      <c r="CU991" s="0"/>
      <c r="CV991" s="0"/>
      <c r="CW991" s="0"/>
      <c r="CX991" s="0"/>
      <c r="CY991" s="0"/>
      <c r="CZ991" s="0"/>
      <c r="DA991" s="0"/>
      <c r="DB991" s="0"/>
      <c r="DC991" s="0"/>
      <c r="DD991" s="0"/>
      <c r="DE991" s="0"/>
      <c r="DF991" s="0"/>
      <c r="DG991" s="0"/>
      <c r="DH991" s="0"/>
      <c r="DI991" s="0"/>
      <c r="DJ991" s="0"/>
      <c r="DK991" s="0"/>
      <c r="DL991" s="0"/>
      <c r="DM991" s="0"/>
      <c r="DN991" s="0"/>
      <c r="DO991" s="0"/>
      <c r="DP991" s="0"/>
      <c r="DQ991" s="0"/>
      <c r="DR991" s="0"/>
      <c r="DS991" s="0"/>
      <c r="DT991" s="0"/>
      <c r="DU991" s="0"/>
      <c r="DV991" s="0"/>
      <c r="DW991" s="0"/>
      <c r="DX991" s="0"/>
      <c r="DY991" s="0"/>
      <c r="DZ991" s="0"/>
      <c r="EA991" s="0"/>
      <c r="EB991" s="0"/>
      <c r="EC991" s="0"/>
      <c r="ED991" s="0"/>
      <c r="EE991" s="0"/>
      <c r="EF991" s="0"/>
      <c r="EG991" s="0"/>
      <c r="EH991" s="0"/>
      <c r="EI991" s="0"/>
      <c r="EJ991" s="0"/>
      <c r="EK991" s="0"/>
      <c r="EL991" s="0"/>
      <c r="EM991" s="0"/>
      <c r="EN991" s="0"/>
      <c r="EO991" s="0"/>
      <c r="EP991" s="0"/>
      <c r="EQ991" s="0"/>
      <c r="ER991" s="0"/>
      <c r="ES991" s="0"/>
      <c r="ET991" s="0"/>
      <c r="EU991" s="0"/>
      <c r="EV991" s="0"/>
      <c r="EW991" s="0"/>
      <c r="EX991" s="0"/>
      <c r="EY991" s="0"/>
      <c r="EZ991" s="0"/>
      <c r="FA991" s="0"/>
      <c r="FB991" s="0"/>
      <c r="FC991" s="0"/>
      <c r="FD991" s="0"/>
      <c r="FE991" s="0"/>
      <c r="FF991" s="0"/>
      <c r="FG991" s="0"/>
      <c r="FH991" s="0"/>
      <c r="FI991" s="0"/>
      <c r="FJ991" s="0"/>
      <c r="FK991" s="0"/>
      <c r="FL991" s="0"/>
      <c r="FM991" s="0"/>
      <c r="FN991" s="0"/>
      <c r="FO991" s="0"/>
      <c r="FP991" s="0"/>
      <c r="FQ991" s="0"/>
      <c r="FR991" s="0"/>
      <c r="FS991" s="0"/>
      <c r="FT991" s="0"/>
      <c r="FU991" s="0"/>
      <c r="FV991" s="0"/>
      <c r="FW991" s="0"/>
      <c r="FX991" s="0"/>
      <c r="FY991" s="0"/>
      <c r="FZ991" s="0"/>
      <c r="GA991" s="0"/>
      <c r="GB991" s="0"/>
      <c r="GC991" s="0"/>
      <c r="GD991" s="0"/>
      <c r="GE991" s="0"/>
      <c r="GF991" s="0"/>
      <c r="GG991" s="0"/>
      <c r="GH991" s="0"/>
      <c r="GI991" s="0"/>
      <c r="GJ991" s="0"/>
      <c r="GK991" s="0"/>
      <c r="GL991" s="0"/>
      <c r="GM991" s="0"/>
      <c r="GN991" s="0"/>
      <c r="GO991" s="0"/>
      <c r="GP991" s="0"/>
      <c r="GQ991" s="0"/>
      <c r="GR991" s="0"/>
      <c r="GS991" s="0"/>
      <c r="GT991" s="0"/>
      <c r="GU991" s="0"/>
      <c r="GV991" s="0"/>
      <c r="GW991" s="0"/>
      <c r="GX991" s="0"/>
      <c r="GY991" s="0"/>
      <c r="GZ991" s="0"/>
      <c r="HA991" s="0"/>
      <c r="HB991" s="0"/>
      <c r="HC991" s="0"/>
      <c r="HD991" s="0"/>
      <c r="HE991" s="0"/>
      <c r="HF991" s="0"/>
      <c r="HG991" s="0"/>
      <c r="HH991" s="0"/>
      <c r="HI991" s="0"/>
      <c r="HJ991" s="0"/>
      <c r="HK991" s="0"/>
      <c r="HL991" s="0"/>
      <c r="HM991" s="0"/>
      <c r="HN991" s="0"/>
      <c r="HO991" s="0"/>
      <c r="HP991" s="0"/>
      <c r="HQ991" s="0"/>
      <c r="HR991" s="0"/>
      <c r="HS991" s="0"/>
      <c r="HT991" s="0"/>
      <c r="HU991" s="0"/>
      <c r="HV991" s="0"/>
      <c r="HW991" s="0"/>
      <c r="HX991" s="0"/>
      <c r="HY991" s="0"/>
      <c r="HZ991" s="0"/>
      <c r="IA991" s="0"/>
      <c r="IB991" s="0"/>
      <c r="IC991" s="0"/>
      <c r="ID991" s="0"/>
      <c r="IE991" s="0"/>
      <c r="IF991" s="0"/>
      <c r="IG991" s="0"/>
      <c r="IH991" s="0"/>
      <c r="II991" s="0"/>
      <c r="IJ991" s="0"/>
      <c r="IK991" s="0"/>
      <c r="IL991" s="0"/>
      <c r="IM991" s="0"/>
      <c r="IN991" s="0"/>
      <c r="IO991" s="0"/>
      <c r="IP991" s="0"/>
      <c r="IQ991" s="0"/>
      <c r="IR991" s="0"/>
      <c r="IS991" s="0"/>
      <c r="IT991" s="0"/>
      <c r="IU991" s="0"/>
      <c r="IV991" s="0"/>
    </row>
    <row r="992" customFormat="false" ht="15" hidden="false" customHeight="true" outlineLevel="0" collapsed="false">
      <c r="A992" s="0"/>
      <c r="B992" s="0"/>
      <c r="C992" s="0"/>
      <c r="D992" s="0"/>
      <c r="E992" s="0"/>
      <c r="F992" s="1289"/>
      <c r="G992" s="0"/>
      <c r="H992" s="0"/>
      <c r="I992" s="0"/>
      <c r="K992" s="903"/>
      <c r="L992" s="877"/>
      <c r="M992" s="0"/>
      <c r="N992" s="0"/>
      <c r="O992" s="0"/>
      <c r="P992" s="0"/>
      <c r="Q992" s="0"/>
      <c r="R992" s="0"/>
      <c r="S992" s="0"/>
      <c r="T992" s="0"/>
      <c r="U992" s="0"/>
      <c r="V992" s="0"/>
      <c r="W992" s="0"/>
      <c r="X992" s="0"/>
      <c r="Y992" s="0"/>
      <c r="Z992" s="0"/>
      <c r="AA992" s="0"/>
      <c r="AB992" s="0"/>
      <c r="AC992" s="0"/>
      <c r="AD992" s="0"/>
      <c r="AE992" s="0"/>
      <c r="AF992" s="0"/>
      <c r="AG992" s="0"/>
      <c r="AH992" s="0"/>
      <c r="AI992" s="0"/>
      <c r="AJ992" s="0"/>
      <c r="AK992" s="0"/>
      <c r="AL992" s="0"/>
      <c r="AM992" s="0"/>
      <c r="AN992" s="0"/>
      <c r="AO992" s="0"/>
      <c r="AP992" s="0"/>
      <c r="AQ992" s="0"/>
      <c r="AR992" s="0"/>
      <c r="AS992" s="0"/>
      <c r="AT992" s="0"/>
      <c r="AU992" s="0"/>
      <c r="AV992" s="0"/>
      <c r="AW992" s="0"/>
      <c r="AX992" s="0"/>
      <c r="AY992" s="0"/>
      <c r="AZ992" s="0"/>
      <c r="BA992" s="0"/>
      <c r="BB992" s="0"/>
      <c r="BC992" s="0"/>
      <c r="BD992" s="0"/>
      <c r="BE992" s="0"/>
      <c r="BF992" s="0"/>
      <c r="BG992" s="0"/>
      <c r="BH992" s="0"/>
      <c r="BI992" s="0"/>
      <c r="BJ992" s="0"/>
      <c r="BK992" s="0"/>
      <c r="BL992" s="0"/>
      <c r="BM992" s="0"/>
      <c r="BN992" s="0"/>
      <c r="BO992" s="0"/>
      <c r="BP992" s="0"/>
      <c r="BQ992" s="0"/>
      <c r="BR992" s="0"/>
      <c r="BS992" s="0"/>
      <c r="BT992" s="0"/>
      <c r="BU992" s="0"/>
      <c r="BV992" s="0"/>
      <c r="BW992" s="0"/>
      <c r="BX992" s="0"/>
      <c r="BY992" s="0"/>
      <c r="BZ992" s="0"/>
      <c r="CA992" s="0"/>
      <c r="CB992" s="0"/>
      <c r="CC992" s="0"/>
      <c r="CD992" s="0"/>
      <c r="CE992" s="0"/>
      <c r="CF992" s="0"/>
      <c r="CG992" s="0"/>
      <c r="CH992" s="0"/>
      <c r="CI992" s="0"/>
      <c r="CJ992" s="0"/>
      <c r="CK992" s="0"/>
      <c r="CL992" s="0"/>
      <c r="CM992" s="0"/>
      <c r="CN992" s="0"/>
      <c r="CO992" s="0"/>
      <c r="CP992" s="0"/>
      <c r="CQ992" s="0"/>
      <c r="CR992" s="0"/>
      <c r="CS992" s="0"/>
      <c r="CT992" s="0"/>
      <c r="CU992" s="0"/>
      <c r="CV992" s="0"/>
      <c r="CW992" s="0"/>
      <c r="CX992" s="0"/>
      <c r="CY992" s="0"/>
      <c r="CZ992" s="0"/>
      <c r="DA992" s="0"/>
      <c r="DB992" s="0"/>
      <c r="DC992" s="0"/>
      <c r="DD992" s="0"/>
      <c r="DE992" s="0"/>
      <c r="DF992" s="0"/>
      <c r="DG992" s="0"/>
      <c r="DH992" s="0"/>
      <c r="DI992" s="0"/>
      <c r="DJ992" s="0"/>
      <c r="DK992" s="0"/>
      <c r="DL992" s="0"/>
      <c r="DM992" s="0"/>
      <c r="DN992" s="0"/>
      <c r="DO992" s="0"/>
      <c r="DP992" s="0"/>
      <c r="DQ992" s="0"/>
      <c r="DR992" s="0"/>
      <c r="DS992" s="0"/>
      <c r="DT992" s="0"/>
      <c r="DU992" s="0"/>
      <c r="DV992" s="0"/>
      <c r="DW992" s="0"/>
      <c r="DX992" s="0"/>
      <c r="DY992" s="0"/>
      <c r="DZ992" s="0"/>
      <c r="EA992" s="0"/>
      <c r="EB992" s="0"/>
      <c r="EC992" s="0"/>
      <c r="ED992" s="0"/>
      <c r="EE992" s="0"/>
      <c r="EF992" s="0"/>
      <c r="EG992" s="0"/>
      <c r="EH992" s="0"/>
      <c r="EI992" s="0"/>
      <c r="EJ992" s="0"/>
      <c r="EK992" s="0"/>
      <c r="EL992" s="0"/>
      <c r="EM992" s="0"/>
      <c r="EN992" s="0"/>
      <c r="EO992" s="0"/>
      <c r="EP992" s="0"/>
      <c r="EQ992" s="0"/>
      <c r="ER992" s="0"/>
      <c r="ES992" s="0"/>
      <c r="ET992" s="0"/>
      <c r="EU992" s="0"/>
      <c r="EV992" s="0"/>
      <c r="EW992" s="0"/>
      <c r="EX992" s="0"/>
      <c r="EY992" s="0"/>
      <c r="EZ992" s="0"/>
      <c r="FA992" s="0"/>
      <c r="FB992" s="0"/>
      <c r="FC992" s="0"/>
      <c r="FD992" s="0"/>
      <c r="FE992" s="0"/>
      <c r="FF992" s="0"/>
      <c r="FG992" s="0"/>
      <c r="FH992" s="0"/>
      <c r="FI992" s="0"/>
      <c r="FJ992" s="0"/>
      <c r="FK992" s="0"/>
      <c r="FL992" s="0"/>
      <c r="FM992" s="0"/>
      <c r="FN992" s="0"/>
      <c r="FO992" s="0"/>
      <c r="FP992" s="0"/>
      <c r="FQ992" s="0"/>
      <c r="FR992" s="0"/>
      <c r="FS992" s="0"/>
      <c r="FT992" s="0"/>
      <c r="FU992" s="0"/>
      <c r="FV992" s="0"/>
      <c r="FW992" s="0"/>
      <c r="FX992" s="0"/>
      <c r="FY992" s="0"/>
      <c r="FZ992" s="0"/>
      <c r="GA992" s="0"/>
      <c r="GB992" s="0"/>
      <c r="GC992" s="0"/>
      <c r="GD992" s="0"/>
      <c r="GE992" s="0"/>
      <c r="GF992" s="0"/>
      <c r="GG992" s="0"/>
      <c r="GH992" s="0"/>
      <c r="GI992" s="0"/>
      <c r="GJ992" s="0"/>
      <c r="GK992" s="0"/>
      <c r="GL992" s="0"/>
      <c r="GM992" s="0"/>
      <c r="GN992" s="0"/>
      <c r="GO992" s="0"/>
      <c r="GP992" s="0"/>
      <c r="GQ992" s="0"/>
      <c r="GR992" s="0"/>
      <c r="GS992" s="0"/>
      <c r="GT992" s="0"/>
      <c r="GU992" s="0"/>
      <c r="GV992" s="0"/>
      <c r="GW992" s="0"/>
      <c r="GX992" s="0"/>
      <c r="GY992" s="0"/>
      <c r="GZ992" s="0"/>
      <c r="HA992" s="0"/>
      <c r="HB992" s="0"/>
      <c r="HC992" s="0"/>
      <c r="HD992" s="0"/>
      <c r="HE992" s="0"/>
      <c r="HF992" s="0"/>
      <c r="HG992" s="0"/>
      <c r="HH992" s="0"/>
      <c r="HI992" s="0"/>
      <c r="HJ992" s="0"/>
      <c r="HK992" s="0"/>
      <c r="HL992" s="0"/>
      <c r="HM992" s="0"/>
      <c r="HN992" s="0"/>
      <c r="HO992" s="0"/>
      <c r="HP992" s="0"/>
      <c r="HQ992" s="0"/>
      <c r="HR992" s="0"/>
      <c r="HS992" s="0"/>
      <c r="HT992" s="0"/>
      <c r="HU992" s="0"/>
      <c r="HV992" s="0"/>
      <c r="HW992" s="0"/>
      <c r="HX992" s="0"/>
      <c r="HY992" s="0"/>
      <c r="HZ992" s="0"/>
      <c r="IA992" s="0"/>
      <c r="IB992" s="0"/>
      <c r="IC992" s="0"/>
      <c r="ID992" s="0"/>
      <c r="IE992" s="0"/>
      <c r="IF992" s="0"/>
      <c r="IG992" s="0"/>
      <c r="IH992" s="0"/>
      <c r="II992" s="0"/>
      <c r="IJ992" s="0"/>
      <c r="IK992" s="0"/>
      <c r="IL992" s="0"/>
      <c r="IM992" s="0"/>
      <c r="IN992" s="0"/>
      <c r="IO992" s="0"/>
      <c r="IP992" s="0"/>
      <c r="IQ992" s="0"/>
      <c r="IR992" s="0"/>
      <c r="IS992" s="0"/>
      <c r="IT992" s="0"/>
      <c r="IU992" s="0"/>
      <c r="IV992" s="0"/>
    </row>
    <row r="993" customFormat="false" ht="15.75" hidden="false" customHeight="true" outlineLevel="0" collapsed="false">
      <c r="A993" s="869" t="s">
        <v>1675</v>
      </c>
      <c r="B993" s="869"/>
      <c r="C993" s="869"/>
      <c r="D993" s="869"/>
      <c r="E993" s="869"/>
      <c r="F993" s="869"/>
      <c r="G993" s="869"/>
      <c r="H993" s="53"/>
      <c r="I993" s="53"/>
      <c r="J993" s="53"/>
      <c r="K993" s="870"/>
      <c r="L993" s="871" t="s">
        <v>1676</v>
      </c>
      <c r="M993" s="0"/>
      <c r="N993" s="0"/>
      <c r="O993" s="0"/>
      <c r="P993" s="0"/>
      <c r="Q993" s="0"/>
      <c r="R993" s="0"/>
      <c r="S993" s="0"/>
      <c r="T993" s="0"/>
      <c r="U993" s="0"/>
      <c r="V993" s="0"/>
      <c r="W993" s="0"/>
      <c r="X993" s="0"/>
      <c r="Y993" s="0"/>
      <c r="Z993" s="0"/>
      <c r="AA993" s="0"/>
      <c r="AB993" s="0"/>
      <c r="AC993" s="0"/>
      <c r="AD993" s="0"/>
      <c r="AE993" s="0"/>
      <c r="AF993" s="0"/>
      <c r="AG993" s="0"/>
      <c r="AH993" s="0"/>
      <c r="AI993" s="0"/>
      <c r="AJ993" s="0"/>
      <c r="AK993" s="0"/>
      <c r="AL993" s="0"/>
      <c r="AM993" s="0"/>
      <c r="AN993" s="0"/>
      <c r="AO993" s="0"/>
      <c r="AP993" s="0"/>
      <c r="AQ993" s="0"/>
      <c r="AR993" s="0"/>
      <c r="AS993" s="0"/>
      <c r="AT993" s="0"/>
      <c r="AU993" s="0"/>
      <c r="AV993" s="0"/>
      <c r="AW993" s="0"/>
      <c r="AX993" s="0"/>
      <c r="AY993" s="0"/>
      <c r="AZ993" s="0"/>
      <c r="BA993" s="0"/>
      <c r="BB993" s="0"/>
      <c r="BC993" s="0"/>
      <c r="BD993" s="0"/>
      <c r="BE993" s="0"/>
      <c r="BF993" s="0"/>
      <c r="BG993" s="0"/>
      <c r="BH993" s="0"/>
      <c r="BI993" s="0"/>
      <c r="BJ993" s="0"/>
      <c r="BK993" s="0"/>
      <c r="BL993" s="0"/>
      <c r="BM993" s="0"/>
      <c r="BN993" s="0"/>
      <c r="BO993" s="0"/>
      <c r="BP993" s="0"/>
      <c r="BQ993" s="0"/>
      <c r="BR993" s="0"/>
      <c r="BS993" s="0"/>
      <c r="BT993" s="0"/>
      <c r="BU993" s="0"/>
      <c r="BV993" s="0"/>
      <c r="BW993" s="0"/>
      <c r="BX993" s="0"/>
      <c r="BY993" s="0"/>
      <c r="BZ993" s="0"/>
      <c r="CA993" s="0"/>
      <c r="CB993" s="0"/>
      <c r="CC993" s="0"/>
      <c r="CD993" s="0"/>
      <c r="CE993" s="0"/>
      <c r="CF993" s="0"/>
      <c r="CG993" s="0"/>
      <c r="CH993" s="0"/>
      <c r="CI993" s="0"/>
      <c r="CJ993" s="0"/>
      <c r="CK993" s="0"/>
      <c r="CL993" s="0"/>
      <c r="CM993" s="0"/>
      <c r="CN993" s="0"/>
      <c r="CO993" s="0"/>
      <c r="CP993" s="0"/>
      <c r="CQ993" s="0"/>
      <c r="CR993" s="0"/>
      <c r="CS993" s="0"/>
      <c r="CT993" s="0"/>
      <c r="CU993" s="0"/>
      <c r="CV993" s="0"/>
      <c r="CW993" s="0"/>
      <c r="CX993" s="0"/>
      <c r="CY993" s="0"/>
      <c r="CZ993" s="0"/>
      <c r="DA993" s="0"/>
      <c r="DB993" s="0"/>
      <c r="DC993" s="0"/>
      <c r="DD993" s="0"/>
      <c r="DE993" s="0"/>
      <c r="DF993" s="0"/>
      <c r="DG993" s="0"/>
      <c r="DH993" s="0"/>
      <c r="DI993" s="0"/>
      <c r="DJ993" s="0"/>
      <c r="DK993" s="0"/>
      <c r="DL993" s="0"/>
      <c r="DM993" s="0"/>
      <c r="DN993" s="0"/>
      <c r="DO993" s="0"/>
      <c r="DP993" s="0"/>
      <c r="DQ993" s="0"/>
      <c r="DR993" s="0"/>
      <c r="DS993" s="0"/>
      <c r="DT993" s="0"/>
      <c r="DU993" s="0"/>
      <c r="DV993" s="0"/>
      <c r="DW993" s="0"/>
      <c r="DX993" s="0"/>
      <c r="DY993" s="0"/>
      <c r="DZ993" s="0"/>
      <c r="EA993" s="0"/>
      <c r="EB993" s="0"/>
      <c r="EC993" s="0"/>
      <c r="ED993" s="0"/>
      <c r="EE993" s="0"/>
      <c r="EF993" s="0"/>
      <c r="EG993" s="0"/>
      <c r="EH993" s="0"/>
      <c r="EI993" s="0"/>
      <c r="EJ993" s="0"/>
      <c r="EK993" s="0"/>
      <c r="EL993" s="0"/>
      <c r="EM993" s="0"/>
      <c r="EN993" s="0"/>
      <c r="EO993" s="0"/>
      <c r="EP993" s="0"/>
      <c r="EQ993" s="0"/>
      <c r="ER993" s="0"/>
      <c r="ES993" s="0"/>
      <c r="ET993" s="0"/>
      <c r="EU993" s="0"/>
      <c r="EV993" s="0"/>
      <c r="EW993" s="0"/>
      <c r="EX993" s="0"/>
      <c r="EY993" s="0"/>
      <c r="EZ993" s="0"/>
      <c r="FA993" s="0"/>
      <c r="FB993" s="0"/>
      <c r="FC993" s="0"/>
      <c r="FD993" s="0"/>
      <c r="FE993" s="0"/>
      <c r="FF993" s="0"/>
      <c r="FG993" s="0"/>
      <c r="FH993" s="0"/>
      <c r="FI993" s="0"/>
      <c r="FJ993" s="0"/>
      <c r="FK993" s="0"/>
      <c r="FL993" s="0"/>
      <c r="FM993" s="0"/>
      <c r="FN993" s="0"/>
      <c r="FO993" s="0"/>
      <c r="FP993" s="0"/>
      <c r="FQ993" s="0"/>
      <c r="FR993" s="0"/>
      <c r="FS993" s="0"/>
      <c r="FT993" s="0"/>
      <c r="FU993" s="0"/>
      <c r="FV993" s="0"/>
      <c r="FW993" s="0"/>
      <c r="FX993" s="0"/>
      <c r="FY993" s="0"/>
      <c r="FZ993" s="0"/>
      <c r="GA993" s="0"/>
      <c r="GB993" s="0"/>
      <c r="GC993" s="0"/>
      <c r="GD993" s="0"/>
      <c r="GE993" s="0"/>
      <c r="GF993" s="0"/>
      <c r="GG993" s="0"/>
      <c r="GH993" s="0"/>
      <c r="GI993" s="0"/>
      <c r="GJ993" s="0"/>
      <c r="GK993" s="0"/>
      <c r="GL993" s="0"/>
      <c r="GM993" s="0"/>
      <c r="GN993" s="0"/>
      <c r="GO993" s="0"/>
      <c r="GP993" s="0"/>
      <c r="GQ993" s="0"/>
      <c r="GR993" s="0"/>
      <c r="GS993" s="0"/>
      <c r="GT993" s="0"/>
      <c r="GU993" s="0"/>
      <c r="GV993" s="0"/>
      <c r="GW993" s="0"/>
      <c r="GX993" s="0"/>
      <c r="GY993" s="0"/>
      <c r="GZ993" s="0"/>
      <c r="HA993" s="0"/>
      <c r="HB993" s="0"/>
      <c r="HC993" s="0"/>
      <c r="HD993" s="0"/>
      <c r="HE993" s="0"/>
      <c r="HF993" s="0"/>
      <c r="HG993" s="0"/>
      <c r="HH993" s="0"/>
      <c r="HI993" s="0"/>
      <c r="HJ993" s="0"/>
      <c r="HK993" s="0"/>
      <c r="HL993" s="0"/>
      <c r="HM993" s="0"/>
      <c r="HN993" s="0"/>
      <c r="HO993" s="0"/>
      <c r="HP993" s="0"/>
      <c r="HQ993" s="0"/>
      <c r="HR993" s="0"/>
      <c r="HS993" s="0"/>
      <c r="HT993" s="0"/>
      <c r="HU993" s="0"/>
      <c r="HV993" s="0"/>
      <c r="HW993" s="0"/>
      <c r="HX993" s="0"/>
      <c r="HY993" s="0"/>
      <c r="HZ993" s="0"/>
      <c r="IA993" s="0"/>
      <c r="IB993" s="0"/>
      <c r="IC993" s="0"/>
      <c r="ID993" s="0"/>
      <c r="IE993" s="0"/>
      <c r="IF993" s="0"/>
      <c r="IG993" s="0"/>
      <c r="IH993" s="0"/>
      <c r="II993" s="0"/>
      <c r="IJ993" s="0"/>
      <c r="IK993" s="0"/>
      <c r="IL993" s="0"/>
      <c r="IM993" s="0"/>
      <c r="IN993" s="0"/>
      <c r="IO993" s="0"/>
      <c r="IP993" s="0"/>
      <c r="IQ993" s="0"/>
      <c r="IR993" s="0"/>
      <c r="IS993" s="0"/>
      <c r="IT993" s="0"/>
      <c r="IU993" s="0"/>
      <c r="IV993" s="0"/>
    </row>
    <row r="994" customFormat="false" ht="20.1" hidden="false" customHeight="true" outlineLevel="0" collapsed="false">
      <c r="A994" s="1005"/>
      <c r="B994" s="1005"/>
      <c r="C994" s="1005"/>
      <c r="D994" s="1005"/>
      <c r="E994" s="1005"/>
      <c r="F994" s="1005"/>
      <c r="G994" s="1005"/>
      <c r="H994" s="0"/>
      <c r="I994" s="0"/>
      <c r="K994" s="903"/>
      <c r="L994" s="877"/>
      <c r="M994" s="0"/>
      <c r="N994" s="0"/>
      <c r="O994" s="0"/>
      <c r="P994" s="0"/>
      <c r="Q994" s="0"/>
      <c r="R994" s="0"/>
      <c r="S994" s="0"/>
      <c r="T994" s="0"/>
      <c r="U994" s="0"/>
      <c r="V994" s="0"/>
      <c r="W994" s="0"/>
      <c r="X994" s="0"/>
      <c r="Y994" s="0"/>
      <c r="Z994" s="0"/>
      <c r="AA994" s="0"/>
      <c r="AB994" s="0"/>
      <c r="AC994" s="0"/>
      <c r="AD994" s="0"/>
      <c r="AE994" s="0"/>
      <c r="AF994" s="0"/>
      <c r="AG994" s="0"/>
      <c r="AH994" s="0"/>
      <c r="AI994" s="0"/>
      <c r="AJ994" s="0"/>
      <c r="AK994" s="0"/>
      <c r="AL994" s="0"/>
      <c r="AM994" s="0"/>
      <c r="AN994" s="0"/>
      <c r="AO994" s="0"/>
      <c r="AP994" s="0"/>
      <c r="AQ994" s="0"/>
      <c r="AR994" s="0"/>
      <c r="AS994" s="0"/>
      <c r="AT994" s="0"/>
      <c r="AU994" s="0"/>
      <c r="AV994" s="0"/>
      <c r="AW994" s="0"/>
      <c r="AX994" s="0"/>
      <c r="AY994" s="0"/>
      <c r="AZ994" s="0"/>
      <c r="BA994" s="0"/>
      <c r="BB994" s="0"/>
      <c r="BC994" s="0"/>
      <c r="BD994" s="0"/>
      <c r="BE994" s="0"/>
      <c r="BF994" s="0"/>
      <c r="BG994" s="0"/>
      <c r="BH994" s="0"/>
      <c r="BI994" s="0"/>
      <c r="BJ994" s="0"/>
      <c r="BK994" s="0"/>
      <c r="BL994" s="0"/>
      <c r="BM994" s="0"/>
      <c r="BN994" s="0"/>
      <c r="BO994" s="0"/>
      <c r="BP994" s="0"/>
      <c r="BQ994" s="0"/>
      <c r="BR994" s="0"/>
      <c r="BS994" s="0"/>
      <c r="BT994" s="0"/>
      <c r="BU994" s="0"/>
      <c r="BV994" s="0"/>
      <c r="BW994" s="0"/>
      <c r="BX994" s="0"/>
      <c r="BY994" s="0"/>
      <c r="BZ994" s="0"/>
      <c r="CA994" s="0"/>
      <c r="CB994" s="0"/>
      <c r="CC994" s="0"/>
      <c r="CD994" s="0"/>
      <c r="CE994" s="0"/>
      <c r="CF994" s="0"/>
      <c r="CG994" s="0"/>
      <c r="CH994" s="0"/>
      <c r="CI994" s="0"/>
      <c r="CJ994" s="0"/>
      <c r="CK994" s="0"/>
      <c r="CL994" s="0"/>
      <c r="CM994" s="0"/>
      <c r="CN994" s="0"/>
      <c r="CO994" s="0"/>
      <c r="CP994" s="0"/>
      <c r="CQ994" s="0"/>
      <c r="CR994" s="0"/>
      <c r="CS994" s="0"/>
      <c r="CT994" s="0"/>
      <c r="CU994" s="0"/>
      <c r="CV994" s="0"/>
      <c r="CW994" s="0"/>
      <c r="CX994" s="0"/>
      <c r="CY994" s="0"/>
      <c r="CZ994" s="0"/>
      <c r="DA994" s="0"/>
      <c r="DB994" s="0"/>
      <c r="DC994" s="0"/>
      <c r="DD994" s="0"/>
      <c r="DE994" s="0"/>
      <c r="DF994" s="0"/>
      <c r="DG994" s="0"/>
      <c r="DH994" s="0"/>
      <c r="DI994" s="0"/>
      <c r="DJ994" s="0"/>
      <c r="DK994" s="0"/>
      <c r="DL994" s="0"/>
      <c r="DM994" s="0"/>
      <c r="DN994" s="0"/>
      <c r="DO994" s="0"/>
      <c r="DP994" s="0"/>
      <c r="DQ994" s="0"/>
      <c r="DR994" s="0"/>
      <c r="DS994" s="0"/>
      <c r="DT994" s="0"/>
      <c r="DU994" s="0"/>
      <c r="DV994" s="0"/>
      <c r="DW994" s="0"/>
      <c r="DX994" s="0"/>
      <c r="DY994" s="0"/>
      <c r="DZ994" s="0"/>
      <c r="EA994" s="0"/>
      <c r="EB994" s="0"/>
      <c r="EC994" s="0"/>
      <c r="ED994" s="0"/>
      <c r="EE994" s="0"/>
      <c r="EF994" s="0"/>
      <c r="EG994" s="0"/>
      <c r="EH994" s="0"/>
      <c r="EI994" s="0"/>
      <c r="EJ994" s="0"/>
      <c r="EK994" s="0"/>
      <c r="EL994" s="0"/>
      <c r="EM994" s="0"/>
      <c r="EN994" s="0"/>
      <c r="EO994" s="0"/>
      <c r="EP994" s="0"/>
      <c r="EQ994" s="0"/>
      <c r="ER994" s="0"/>
      <c r="ES994" s="0"/>
      <c r="ET994" s="0"/>
      <c r="EU994" s="0"/>
      <c r="EV994" s="0"/>
      <c r="EW994" s="0"/>
      <c r="EX994" s="0"/>
      <c r="EY994" s="0"/>
      <c r="EZ994" s="0"/>
      <c r="FA994" s="0"/>
      <c r="FB994" s="0"/>
      <c r="FC994" s="0"/>
      <c r="FD994" s="0"/>
      <c r="FE994" s="0"/>
      <c r="FF994" s="0"/>
      <c r="FG994" s="0"/>
      <c r="FH994" s="0"/>
      <c r="FI994" s="0"/>
      <c r="FJ994" s="0"/>
      <c r="FK994" s="0"/>
      <c r="FL994" s="0"/>
      <c r="FM994" s="0"/>
      <c r="FN994" s="0"/>
      <c r="FO994" s="0"/>
      <c r="FP994" s="0"/>
      <c r="FQ994" s="0"/>
      <c r="FR994" s="0"/>
      <c r="FS994" s="0"/>
      <c r="FT994" s="0"/>
      <c r="FU994" s="0"/>
      <c r="FV994" s="0"/>
      <c r="FW994" s="0"/>
      <c r="FX994" s="0"/>
      <c r="FY994" s="0"/>
      <c r="FZ994" s="0"/>
      <c r="GA994" s="0"/>
      <c r="GB994" s="0"/>
      <c r="GC994" s="0"/>
      <c r="GD994" s="0"/>
      <c r="GE994" s="0"/>
      <c r="GF994" s="0"/>
      <c r="GG994" s="0"/>
      <c r="GH994" s="0"/>
      <c r="GI994" s="0"/>
      <c r="GJ994" s="0"/>
      <c r="GK994" s="0"/>
      <c r="GL994" s="0"/>
      <c r="GM994" s="0"/>
      <c r="GN994" s="0"/>
      <c r="GO994" s="0"/>
      <c r="GP994" s="0"/>
      <c r="GQ994" s="0"/>
      <c r="GR994" s="0"/>
      <c r="GS994" s="0"/>
      <c r="GT994" s="0"/>
      <c r="GU994" s="0"/>
      <c r="GV994" s="0"/>
      <c r="GW994" s="0"/>
      <c r="GX994" s="0"/>
      <c r="GY994" s="0"/>
      <c r="GZ994" s="0"/>
      <c r="HA994" s="0"/>
      <c r="HB994" s="0"/>
      <c r="HC994" s="0"/>
      <c r="HD994" s="0"/>
      <c r="HE994" s="0"/>
      <c r="HF994" s="0"/>
      <c r="HG994" s="0"/>
      <c r="HH994" s="0"/>
      <c r="HI994" s="0"/>
      <c r="HJ994" s="0"/>
      <c r="HK994" s="0"/>
      <c r="HL994" s="0"/>
      <c r="HM994" s="0"/>
      <c r="HN994" s="0"/>
      <c r="HO994" s="0"/>
      <c r="HP994" s="0"/>
      <c r="HQ994" s="0"/>
      <c r="HR994" s="0"/>
      <c r="HS994" s="0"/>
      <c r="HT994" s="0"/>
      <c r="HU994" s="0"/>
      <c r="HV994" s="0"/>
      <c r="HW994" s="0"/>
      <c r="HX994" s="0"/>
      <c r="HY994" s="0"/>
      <c r="HZ994" s="0"/>
      <c r="IA994" s="0"/>
      <c r="IB994" s="0"/>
      <c r="IC994" s="0"/>
      <c r="ID994" s="0"/>
      <c r="IE994" s="0"/>
      <c r="IF994" s="0"/>
      <c r="IG994" s="0"/>
      <c r="IH994" s="0"/>
      <c r="II994" s="0"/>
      <c r="IJ994" s="0"/>
      <c r="IK994" s="0"/>
      <c r="IL994" s="0"/>
      <c r="IM994" s="0"/>
      <c r="IN994" s="0"/>
      <c r="IO994" s="0"/>
      <c r="IP994" s="0"/>
      <c r="IQ994" s="0"/>
      <c r="IR994" s="0"/>
      <c r="IS994" s="0"/>
      <c r="IT994" s="0"/>
      <c r="IU994" s="0"/>
      <c r="IV994" s="0"/>
    </row>
    <row r="995" customFormat="false" ht="15.75" hidden="false" customHeight="true" outlineLevel="0" collapsed="false">
      <c r="A995" s="14" t="s">
        <v>748</v>
      </c>
      <c r="B995" s="14"/>
      <c r="C995" s="0"/>
      <c r="D995" s="902" t="s">
        <v>253</v>
      </c>
      <c r="E995" s="0"/>
      <c r="F995" s="414"/>
      <c r="G995" s="414"/>
      <c r="H995" s="414"/>
      <c r="I995" s="414"/>
      <c r="J995" s="1253"/>
      <c r="K995" s="903"/>
      <c r="L995" s="877" t="s">
        <v>1348</v>
      </c>
      <c r="M995" s="0"/>
      <c r="N995" s="0"/>
      <c r="O995" s="0"/>
      <c r="P995" s="0"/>
      <c r="Q995" s="0"/>
      <c r="R995" s="0"/>
      <c r="S995" s="0"/>
      <c r="T995" s="0"/>
      <c r="U995" s="0"/>
      <c r="V995" s="0"/>
      <c r="W995" s="0"/>
      <c r="X995" s="0"/>
      <c r="Y995" s="0"/>
      <c r="Z995" s="0"/>
      <c r="AA995" s="0"/>
      <c r="AB995" s="0"/>
      <c r="AC995" s="0"/>
      <c r="AD995" s="0"/>
      <c r="AE995" s="0"/>
      <c r="AF995" s="0"/>
      <c r="AG995" s="0"/>
      <c r="AH995" s="0"/>
      <c r="AI995" s="0"/>
      <c r="AJ995" s="0"/>
      <c r="AK995" s="0"/>
      <c r="AL995" s="0"/>
      <c r="AM995" s="0"/>
      <c r="AN995" s="0"/>
      <c r="AO995" s="0"/>
      <c r="AP995" s="0"/>
      <c r="AQ995" s="0"/>
      <c r="AR995" s="0"/>
      <c r="AS995" s="0"/>
      <c r="AT995" s="0"/>
      <c r="AU995" s="0"/>
      <c r="AV995" s="0"/>
      <c r="AW995" s="0"/>
      <c r="AX995" s="0"/>
      <c r="AY995" s="0"/>
      <c r="AZ995" s="0"/>
      <c r="BA995" s="0"/>
      <c r="BB995" s="0"/>
      <c r="BC995" s="0"/>
      <c r="BD995" s="0"/>
      <c r="BE995" s="0"/>
      <c r="BF995" s="0"/>
      <c r="BG995" s="0"/>
      <c r="BH995" s="0"/>
      <c r="BI995" s="0"/>
      <c r="BJ995" s="0"/>
      <c r="BK995" s="0"/>
      <c r="BL995" s="0"/>
      <c r="BM995" s="0"/>
      <c r="BN995" s="0"/>
      <c r="BO995" s="0"/>
      <c r="BP995" s="0"/>
      <c r="BQ995" s="0"/>
      <c r="BR995" s="0"/>
      <c r="BS995" s="0"/>
      <c r="BT995" s="0"/>
      <c r="BU995" s="0"/>
      <c r="BV995" s="0"/>
      <c r="BW995" s="0"/>
      <c r="BX995" s="0"/>
      <c r="BY995" s="0"/>
      <c r="BZ995" s="0"/>
      <c r="CA995" s="0"/>
      <c r="CB995" s="0"/>
      <c r="CC995" s="0"/>
      <c r="CD995" s="0"/>
      <c r="CE995" s="0"/>
      <c r="CF995" s="0"/>
      <c r="CG995" s="0"/>
      <c r="CH995" s="0"/>
      <c r="CI995" s="0"/>
      <c r="CJ995" s="0"/>
      <c r="CK995" s="0"/>
      <c r="CL995" s="0"/>
      <c r="CM995" s="0"/>
      <c r="CN995" s="0"/>
      <c r="CO995" s="0"/>
      <c r="CP995" s="0"/>
      <c r="CQ995" s="0"/>
      <c r="CR995" s="0"/>
      <c r="CS995" s="0"/>
      <c r="CT995" s="0"/>
      <c r="CU995" s="0"/>
      <c r="CV995" s="0"/>
      <c r="CW995" s="0"/>
      <c r="CX995" s="0"/>
      <c r="CY995" s="0"/>
      <c r="CZ995" s="0"/>
      <c r="DA995" s="0"/>
      <c r="DB995" s="0"/>
      <c r="DC995" s="0"/>
      <c r="DD995" s="0"/>
      <c r="DE995" s="0"/>
      <c r="DF995" s="0"/>
      <c r="DG995" s="0"/>
      <c r="DH995" s="0"/>
      <c r="DI995" s="0"/>
      <c r="DJ995" s="0"/>
      <c r="DK995" s="0"/>
      <c r="DL995" s="0"/>
      <c r="DM995" s="0"/>
      <c r="DN995" s="0"/>
      <c r="DO995" s="0"/>
      <c r="DP995" s="0"/>
      <c r="DQ995" s="0"/>
      <c r="DR995" s="0"/>
      <c r="DS995" s="0"/>
      <c r="DT995" s="0"/>
      <c r="DU995" s="0"/>
      <c r="DV995" s="0"/>
      <c r="DW995" s="0"/>
      <c r="DX995" s="0"/>
      <c r="DY995" s="0"/>
      <c r="DZ995" s="0"/>
      <c r="EA995" s="0"/>
      <c r="EB995" s="0"/>
      <c r="EC995" s="0"/>
      <c r="ED995" s="0"/>
      <c r="EE995" s="0"/>
      <c r="EF995" s="0"/>
      <c r="EG995" s="0"/>
      <c r="EH995" s="0"/>
      <c r="EI995" s="0"/>
      <c r="EJ995" s="0"/>
      <c r="EK995" s="0"/>
      <c r="EL995" s="0"/>
      <c r="EM995" s="0"/>
      <c r="EN995" s="0"/>
      <c r="EO995" s="0"/>
      <c r="EP995" s="0"/>
      <c r="EQ995" s="0"/>
      <c r="ER995" s="0"/>
      <c r="ES995" s="0"/>
      <c r="ET995" s="0"/>
      <c r="EU995" s="0"/>
      <c r="EV995" s="0"/>
      <c r="EW995" s="0"/>
      <c r="EX995" s="0"/>
      <c r="EY995" s="0"/>
      <c r="EZ995" s="0"/>
      <c r="FA995" s="0"/>
      <c r="FB995" s="0"/>
      <c r="FC995" s="0"/>
      <c r="FD995" s="0"/>
      <c r="FE995" s="0"/>
      <c r="FF995" s="0"/>
      <c r="FG995" s="0"/>
      <c r="FH995" s="0"/>
      <c r="FI995" s="0"/>
      <c r="FJ995" s="0"/>
      <c r="FK995" s="0"/>
      <c r="FL995" s="0"/>
      <c r="FM995" s="0"/>
      <c r="FN995" s="0"/>
      <c r="FO995" s="0"/>
      <c r="FP995" s="0"/>
      <c r="FQ995" s="0"/>
      <c r="FR995" s="0"/>
      <c r="FS995" s="0"/>
      <c r="FT995" s="0"/>
      <c r="FU995" s="0"/>
      <c r="FV995" s="0"/>
      <c r="FW995" s="0"/>
      <c r="FX995" s="0"/>
      <c r="FY995" s="0"/>
      <c r="FZ995" s="0"/>
      <c r="GA995" s="0"/>
      <c r="GB995" s="0"/>
      <c r="GC995" s="0"/>
      <c r="GD995" s="0"/>
      <c r="GE995" s="0"/>
      <c r="GF995" s="0"/>
      <c r="GG995" s="0"/>
      <c r="GH995" s="0"/>
      <c r="GI995" s="0"/>
      <c r="GJ995" s="0"/>
      <c r="GK995" s="0"/>
      <c r="GL995" s="0"/>
      <c r="GM995" s="0"/>
      <c r="GN995" s="0"/>
      <c r="GO995" s="0"/>
      <c r="GP995" s="0"/>
      <c r="GQ995" s="0"/>
      <c r="GR995" s="0"/>
      <c r="GS995" s="0"/>
      <c r="GT995" s="0"/>
      <c r="GU995" s="0"/>
      <c r="GV995" s="0"/>
      <c r="GW995" s="0"/>
      <c r="GX995" s="0"/>
      <c r="GY995" s="0"/>
      <c r="GZ995" s="0"/>
      <c r="HA995" s="0"/>
      <c r="HB995" s="0"/>
      <c r="HC995" s="0"/>
      <c r="HD995" s="0"/>
      <c r="HE995" s="0"/>
      <c r="HF995" s="0"/>
      <c r="HG995" s="0"/>
      <c r="HH995" s="0"/>
      <c r="HI995" s="0"/>
      <c r="HJ995" s="0"/>
      <c r="HK995" s="0"/>
      <c r="HL995" s="0"/>
      <c r="HM995" s="0"/>
      <c r="HN995" s="0"/>
      <c r="HO995" s="0"/>
      <c r="HP995" s="0"/>
      <c r="HQ995" s="0"/>
      <c r="HR995" s="0"/>
      <c r="HS995" s="0"/>
      <c r="HT995" s="0"/>
      <c r="HU995" s="0"/>
      <c r="HV995" s="0"/>
      <c r="HW995" s="0"/>
      <c r="HX995" s="0"/>
      <c r="HY995" s="0"/>
      <c r="HZ995" s="0"/>
      <c r="IA995" s="0"/>
      <c r="IB995" s="0"/>
      <c r="IC995" s="0"/>
      <c r="ID995" s="0"/>
      <c r="IE995" s="0"/>
      <c r="IF995" s="0"/>
      <c r="IG995" s="0"/>
      <c r="IH995" s="0"/>
      <c r="II995" s="0"/>
      <c r="IJ995" s="0"/>
      <c r="IK995" s="0"/>
      <c r="IL995" s="0"/>
      <c r="IM995" s="0"/>
      <c r="IN995" s="0"/>
      <c r="IO995" s="0"/>
      <c r="IP995" s="0"/>
      <c r="IQ995" s="0"/>
      <c r="IR995" s="0"/>
      <c r="IS995" s="0"/>
      <c r="IT995" s="0"/>
      <c r="IU995" s="0"/>
      <c r="IV995" s="0"/>
    </row>
    <row r="996" customFormat="false" ht="15" hidden="false" customHeight="true" outlineLevel="0" collapsed="false">
      <c r="A996" s="1302" t="s">
        <v>749</v>
      </c>
      <c r="B996" s="1302"/>
      <c r="C996" s="1302"/>
      <c r="D996" s="1302"/>
      <c r="E996" s="1302"/>
      <c r="F996" s="1302"/>
      <c r="G996" s="1302"/>
      <c r="H996" s="0"/>
      <c r="I996" s="0"/>
      <c r="J996" s="11"/>
      <c r="K996" s="903"/>
      <c r="L996" s="877"/>
      <c r="M996" s="0"/>
      <c r="T996" s="0"/>
      <c r="U996" s="0"/>
      <c r="V996" s="0"/>
      <c r="W996" s="0"/>
      <c r="X996" s="0"/>
      <c r="Y996" s="0"/>
      <c r="Z996" s="0"/>
      <c r="AA996" s="0"/>
      <c r="AB996" s="0"/>
      <c r="AC996" s="0"/>
      <c r="AD996" s="0"/>
      <c r="AE996" s="0"/>
      <c r="AF996" s="0"/>
      <c r="AG996" s="0"/>
      <c r="AH996" s="0"/>
      <c r="AI996" s="0"/>
      <c r="AJ996" s="0"/>
      <c r="AK996" s="0"/>
      <c r="AL996" s="0"/>
      <c r="AM996" s="0"/>
      <c r="AN996" s="0"/>
      <c r="AO996" s="0"/>
      <c r="AP996" s="0"/>
      <c r="AQ996" s="0"/>
      <c r="AR996" s="0"/>
      <c r="AS996" s="0"/>
      <c r="AT996" s="0"/>
      <c r="AU996" s="0"/>
      <c r="AV996" s="0"/>
      <c r="AW996" s="0"/>
      <c r="AX996" s="0"/>
      <c r="AY996" s="0"/>
      <c r="AZ996" s="0"/>
      <c r="BA996" s="0"/>
      <c r="BB996" s="0"/>
      <c r="BC996" s="0"/>
      <c r="BD996" s="0"/>
      <c r="BE996" s="0"/>
      <c r="BF996" s="0"/>
      <c r="BG996" s="0"/>
      <c r="BH996" s="0"/>
      <c r="BI996" s="0"/>
      <c r="BJ996" s="0"/>
      <c r="BK996" s="0"/>
      <c r="BL996" s="0"/>
      <c r="BM996" s="0"/>
      <c r="BN996" s="0"/>
      <c r="BO996" s="0"/>
      <c r="BP996" s="0"/>
      <c r="BQ996" s="0"/>
      <c r="BR996" s="0"/>
      <c r="BS996" s="0"/>
      <c r="BT996" s="0"/>
      <c r="BU996" s="0"/>
      <c r="BV996" s="0"/>
      <c r="BW996" s="0"/>
      <c r="BX996" s="0"/>
      <c r="BY996" s="0"/>
      <c r="BZ996" s="0"/>
      <c r="CA996" s="0"/>
      <c r="CB996" s="0"/>
      <c r="CC996" s="0"/>
      <c r="CD996" s="0"/>
      <c r="CE996" s="0"/>
      <c r="CF996" s="0"/>
      <c r="CG996" s="0"/>
      <c r="CH996" s="0"/>
      <c r="CI996" s="0"/>
      <c r="CJ996" s="0"/>
      <c r="CK996" s="0"/>
      <c r="CL996" s="0"/>
      <c r="CM996" s="0"/>
      <c r="CN996" s="0"/>
      <c r="CO996" s="0"/>
      <c r="CP996" s="0"/>
      <c r="CQ996" s="0"/>
      <c r="CR996" s="0"/>
      <c r="CS996" s="0"/>
      <c r="CT996" s="0"/>
      <c r="CU996" s="0"/>
      <c r="CV996" s="0"/>
      <c r="CW996" s="0"/>
      <c r="CX996" s="0"/>
      <c r="CY996" s="0"/>
      <c r="CZ996" s="0"/>
      <c r="DA996" s="0"/>
      <c r="DB996" s="0"/>
      <c r="DC996" s="0"/>
      <c r="DD996" s="0"/>
      <c r="DE996" s="0"/>
      <c r="DF996" s="0"/>
      <c r="DG996" s="0"/>
      <c r="DH996" s="0"/>
      <c r="DI996" s="0"/>
      <c r="DJ996" s="0"/>
      <c r="DK996" s="0"/>
      <c r="DL996" s="0"/>
      <c r="DM996" s="0"/>
      <c r="DN996" s="0"/>
      <c r="DO996" s="0"/>
      <c r="DP996" s="0"/>
      <c r="DQ996" s="0"/>
      <c r="DR996" s="0"/>
      <c r="DS996" s="0"/>
      <c r="DT996" s="0"/>
      <c r="DU996" s="0"/>
      <c r="DV996" s="0"/>
      <c r="DW996" s="0"/>
      <c r="DX996" s="0"/>
      <c r="DY996" s="0"/>
      <c r="DZ996" s="0"/>
      <c r="EA996" s="0"/>
      <c r="EB996" s="0"/>
      <c r="EC996" s="0"/>
      <c r="ED996" s="0"/>
      <c r="EE996" s="0"/>
      <c r="EF996" s="0"/>
      <c r="EG996" s="0"/>
      <c r="EH996" s="0"/>
      <c r="EI996" s="0"/>
      <c r="EJ996" s="0"/>
      <c r="EK996" s="0"/>
      <c r="EL996" s="0"/>
      <c r="EM996" s="0"/>
      <c r="EN996" s="0"/>
      <c r="EO996" s="0"/>
      <c r="EP996" s="0"/>
      <c r="EQ996" s="0"/>
      <c r="ER996" s="0"/>
      <c r="ES996" s="0"/>
      <c r="ET996" s="0"/>
      <c r="EU996" s="0"/>
      <c r="EV996" s="0"/>
      <c r="EW996" s="0"/>
      <c r="EX996" s="0"/>
      <c r="EY996" s="0"/>
      <c r="EZ996" s="0"/>
      <c r="FA996" s="0"/>
      <c r="FB996" s="0"/>
      <c r="FC996" s="0"/>
      <c r="FD996" s="0"/>
      <c r="FE996" s="0"/>
      <c r="FF996" s="0"/>
      <c r="FG996" s="0"/>
      <c r="FH996" s="0"/>
      <c r="FI996" s="0"/>
      <c r="FJ996" s="0"/>
      <c r="FK996" s="0"/>
      <c r="FL996" s="0"/>
      <c r="FM996" s="0"/>
      <c r="FN996" s="0"/>
      <c r="FO996" s="0"/>
      <c r="FP996" s="0"/>
      <c r="FQ996" s="0"/>
      <c r="FR996" s="0"/>
      <c r="FS996" s="0"/>
      <c r="FT996" s="0"/>
      <c r="FU996" s="0"/>
      <c r="FV996" s="0"/>
      <c r="FW996" s="0"/>
      <c r="FX996" s="0"/>
      <c r="FY996" s="0"/>
      <c r="FZ996" s="0"/>
      <c r="GA996" s="0"/>
      <c r="GB996" s="0"/>
      <c r="GC996" s="0"/>
      <c r="GD996" s="0"/>
      <c r="GE996" s="0"/>
      <c r="GF996" s="0"/>
      <c r="GG996" s="0"/>
      <c r="GH996" s="0"/>
      <c r="GI996" s="0"/>
      <c r="GJ996" s="0"/>
      <c r="GK996" s="0"/>
      <c r="GL996" s="0"/>
      <c r="GM996" s="0"/>
      <c r="GN996" s="0"/>
      <c r="GO996" s="0"/>
      <c r="GP996" s="0"/>
      <c r="GQ996" s="0"/>
      <c r="GR996" s="0"/>
      <c r="GS996" s="0"/>
      <c r="GT996" s="0"/>
      <c r="GU996" s="0"/>
      <c r="GV996" s="0"/>
      <c r="GW996" s="0"/>
      <c r="GX996" s="0"/>
      <c r="GY996" s="0"/>
      <c r="GZ996" s="0"/>
      <c r="HA996" s="0"/>
      <c r="HB996" s="0"/>
      <c r="HC996" s="0"/>
      <c r="HD996" s="0"/>
      <c r="HE996" s="0"/>
      <c r="HF996" s="0"/>
      <c r="HG996" s="0"/>
      <c r="HH996" s="0"/>
      <c r="HI996" s="0"/>
      <c r="HJ996" s="0"/>
      <c r="HK996" s="0"/>
      <c r="HL996" s="0"/>
      <c r="HM996" s="0"/>
      <c r="HN996" s="0"/>
      <c r="HO996" s="0"/>
      <c r="HP996" s="0"/>
      <c r="HQ996" s="0"/>
      <c r="HR996" s="0"/>
      <c r="HS996" s="0"/>
      <c r="HT996" s="0"/>
      <c r="HU996" s="0"/>
      <c r="HV996" s="0"/>
      <c r="HW996" s="0"/>
      <c r="HX996" s="0"/>
      <c r="HY996" s="0"/>
      <c r="HZ996" s="0"/>
      <c r="IA996" s="0"/>
      <c r="IB996" s="0"/>
      <c r="IC996" s="0"/>
      <c r="ID996" s="0"/>
      <c r="IE996" s="0"/>
      <c r="IF996" s="0"/>
      <c r="IG996" s="0"/>
      <c r="IH996" s="0"/>
      <c r="II996" s="0"/>
      <c r="IJ996" s="0"/>
      <c r="IK996" s="0"/>
      <c r="IL996" s="0"/>
      <c r="IM996" s="0"/>
      <c r="IN996" s="0"/>
      <c r="IO996" s="0"/>
      <c r="IP996" s="0"/>
      <c r="IQ996" s="0"/>
      <c r="IR996" s="0"/>
      <c r="IS996" s="0"/>
      <c r="IT996" s="0"/>
      <c r="IU996" s="0"/>
      <c r="IV996" s="0"/>
    </row>
    <row r="997" customFormat="false" ht="15" hidden="false" customHeight="true" outlineLevel="0" collapsed="false">
      <c r="A997" s="11" t="s">
        <v>750</v>
      </c>
      <c r="B997" s="1258"/>
      <c r="C997" s="1258"/>
      <c r="D997" s="1258"/>
      <c r="E997" s="1258"/>
      <c r="F997" s="1258"/>
      <c r="G997" s="0"/>
      <c r="H997" s="0"/>
      <c r="I997" s="0"/>
      <c r="J997" s="11"/>
      <c r="K997" s="903"/>
      <c r="L997" s="877"/>
      <c r="M997" s="0"/>
      <c r="T997" s="0"/>
      <c r="U997" s="0"/>
      <c r="V997" s="0"/>
      <c r="W997" s="0"/>
      <c r="X997" s="0"/>
      <c r="Y997" s="0"/>
      <c r="Z997" s="0"/>
      <c r="AA997" s="0"/>
      <c r="AB997" s="0"/>
      <c r="AC997" s="0"/>
      <c r="AD997" s="0"/>
      <c r="AE997" s="0"/>
      <c r="AF997" s="0"/>
      <c r="AG997" s="0"/>
      <c r="AH997" s="0"/>
      <c r="AI997" s="0"/>
      <c r="AJ997" s="0"/>
      <c r="AK997" s="0"/>
      <c r="AL997" s="0"/>
      <c r="AM997" s="0"/>
      <c r="AN997" s="0"/>
      <c r="AO997" s="0"/>
      <c r="AP997" s="0"/>
      <c r="AQ997" s="0"/>
      <c r="AR997" s="0"/>
      <c r="AS997" s="0"/>
      <c r="AT997" s="0"/>
      <c r="AU997" s="0"/>
      <c r="AV997" s="0"/>
      <c r="AW997" s="0"/>
      <c r="AX997" s="0"/>
      <c r="AY997" s="0"/>
      <c r="AZ997" s="0"/>
      <c r="BA997" s="0"/>
      <c r="BB997" s="0"/>
      <c r="BC997" s="0"/>
      <c r="BD997" s="0"/>
      <c r="BE997" s="0"/>
      <c r="BF997" s="0"/>
      <c r="BG997" s="0"/>
      <c r="BH997" s="0"/>
      <c r="BI997" s="0"/>
      <c r="BJ997" s="0"/>
      <c r="BK997" s="0"/>
      <c r="BL997" s="0"/>
      <c r="BM997" s="0"/>
      <c r="BN997" s="0"/>
      <c r="BO997" s="0"/>
      <c r="BP997" s="0"/>
      <c r="BQ997" s="0"/>
      <c r="BR997" s="0"/>
      <c r="BS997" s="0"/>
      <c r="BT997" s="0"/>
      <c r="BU997" s="0"/>
      <c r="BV997" s="0"/>
      <c r="BW997" s="0"/>
      <c r="BX997" s="0"/>
      <c r="BY997" s="0"/>
      <c r="BZ997" s="0"/>
      <c r="CA997" s="0"/>
      <c r="CB997" s="0"/>
      <c r="CC997" s="0"/>
      <c r="CD997" s="0"/>
      <c r="CE997" s="0"/>
      <c r="CF997" s="0"/>
      <c r="CG997" s="0"/>
      <c r="CH997" s="0"/>
      <c r="CI997" s="0"/>
      <c r="CJ997" s="0"/>
      <c r="CK997" s="0"/>
      <c r="CL997" s="0"/>
      <c r="CM997" s="0"/>
      <c r="CN997" s="0"/>
      <c r="CO997" s="0"/>
      <c r="CP997" s="0"/>
      <c r="CQ997" s="0"/>
      <c r="CR997" s="0"/>
      <c r="CS997" s="0"/>
      <c r="CT997" s="0"/>
      <c r="CU997" s="0"/>
      <c r="CV997" s="0"/>
      <c r="CW997" s="0"/>
      <c r="CX997" s="0"/>
      <c r="CY997" s="0"/>
      <c r="CZ997" s="0"/>
      <c r="DA997" s="0"/>
      <c r="DB997" s="0"/>
      <c r="DC997" s="0"/>
      <c r="DD997" s="0"/>
      <c r="DE997" s="0"/>
      <c r="DF997" s="0"/>
      <c r="DG997" s="0"/>
      <c r="DH997" s="0"/>
      <c r="DI997" s="0"/>
      <c r="DJ997" s="0"/>
      <c r="DK997" s="0"/>
      <c r="DL997" s="0"/>
      <c r="DM997" s="0"/>
      <c r="DN997" s="0"/>
      <c r="DO997" s="0"/>
      <c r="DP997" s="0"/>
      <c r="DQ997" s="0"/>
      <c r="DR997" s="0"/>
      <c r="DS997" s="0"/>
      <c r="DT997" s="0"/>
      <c r="DU997" s="0"/>
      <c r="DV997" s="0"/>
      <c r="DW997" s="0"/>
      <c r="DX997" s="0"/>
      <c r="DY997" s="0"/>
      <c r="DZ997" s="0"/>
      <c r="EA997" s="0"/>
      <c r="EB997" s="0"/>
      <c r="EC997" s="0"/>
      <c r="ED997" s="0"/>
      <c r="EE997" s="0"/>
      <c r="EF997" s="0"/>
      <c r="EG997" s="0"/>
      <c r="EH997" s="0"/>
      <c r="EI997" s="0"/>
      <c r="EJ997" s="0"/>
      <c r="EK997" s="0"/>
      <c r="EL997" s="0"/>
      <c r="EM997" s="0"/>
      <c r="EN997" s="0"/>
      <c r="EO997" s="0"/>
      <c r="EP997" s="0"/>
      <c r="EQ997" s="0"/>
      <c r="ER997" s="0"/>
      <c r="ES997" s="0"/>
      <c r="ET997" s="0"/>
      <c r="EU997" s="0"/>
      <c r="EV997" s="0"/>
      <c r="EW997" s="0"/>
      <c r="EX997" s="0"/>
      <c r="EY997" s="0"/>
      <c r="EZ997" s="0"/>
      <c r="FA997" s="0"/>
      <c r="FB997" s="0"/>
      <c r="FC997" s="0"/>
      <c r="FD997" s="0"/>
      <c r="FE997" s="0"/>
      <c r="FF997" s="0"/>
      <c r="FG997" s="0"/>
      <c r="FH997" s="0"/>
      <c r="FI997" s="0"/>
      <c r="FJ997" s="0"/>
      <c r="FK997" s="0"/>
      <c r="FL997" s="0"/>
      <c r="FM997" s="0"/>
      <c r="FN997" s="0"/>
      <c r="FO997" s="0"/>
      <c r="FP997" s="0"/>
      <c r="FQ997" s="0"/>
      <c r="FR997" s="0"/>
      <c r="FS997" s="0"/>
      <c r="FT997" s="0"/>
      <c r="FU997" s="0"/>
      <c r="FV997" s="0"/>
      <c r="FW997" s="0"/>
      <c r="FX997" s="0"/>
      <c r="FY997" s="0"/>
      <c r="FZ997" s="0"/>
      <c r="GA997" s="0"/>
      <c r="GB997" s="0"/>
      <c r="GC997" s="0"/>
      <c r="GD997" s="0"/>
      <c r="GE997" s="0"/>
      <c r="GF997" s="0"/>
      <c r="GG997" s="0"/>
      <c r="GH997" s="0"/>
      <c r="GI997" s="0"/>
      <c r="GJ997" s="0"/>
      <c r="GK997" s="0"/>
      <c r="GL997" s="0"/>
      <c r="GM997" s="0"/>
      <c r="GN997" s="0"/>
      <c r="GO997" s="0"/>
      <c r="GP997" s="0"/>
      <c r="GQ997" s="0"/>
      <c r="GR997" s="0"/>
      <c r="GS997" s="0"/>
      <c r="GT997" s="0"/>
      <c r="GU997" s="0"/>
      <c r="GV997" s="0"/>
      <c r="GW997" s="0"/>
      <c r="GX997" s="0"/>
      <c r="GY997" s="0"/>
      <c r="GZ997" s="0"/>
      <c r="HA997" s="0"/>
      <c r="HB997" s="0"/>
      <c r="HC997" s="0"/>
      <c r="HD997" s="0"/>
      <c r="HE997" s="0"/>
      <c r="HF997" s="0"/>
      <c r="HG997" s="0"/>
      <c r="HH997" s="0"/>
      <c r="HI997" s="0"/>
      <c r="HJ997" s="0"/>
      <c r="HK997" s="0"/>
      <c r="HL997" s="0"/>
      <c r="HM997" s="0"/>
      <c r="HN997" s="0"/>
      <c r="HO997" s="0"/>
      <c r="HP997" s="0"/>
      <c r="HQ997" s="0"/>
      <c r="HR997" s="0"/>
      <c r="HS997" s="0"/>
      <c r="HT997" s="0"/>
      <c r="HU997" s="0"/>
      <c r="HV997" s="0"/>
      <c r="HW997" s="0"/>
      <c r="HX997" s="0"/>
      <c r="HY997" s="0"/>
      <c r="HZ997" s="0"/>
      <c r="IA997" s="0"/>
      <c r="IB997" s="0"/>
      <c r="IC997" s="0"/>
      <c r="ID997" s="0"/>
      <c r="IE997" s="0"/>
      <c r="IF997" s="0"/>
      <c r="IG997" s="0"/>
      <c r="IH997" s="0"/>
      <c r="II997" s="0"/>
      <c r="IJ997" s="0"/>
      <c r="IK997" s="0"/>
      <c r="IL997" s="0"/>
      <c r="IM997" s="0"/>
      <c r="IN997" s="0"/>
      <c r="IO997" s="0"/>
      <c r="IP997" s="0"/>
      <c r="IQ997" s="0"/>
      <c r="IR997" s="0"/>
      <c r="IS997" s="0"/>
      <c r="IT997" s="0"/>
      <c r="IU997" s="0"/>
      <c r="IV997" s="0"/>
    </row>
    <row r="998" customFormat="false" ht="15.75" hidden="false" customHeight="true" outlineLevel="0" collapsed="false">
      <c r="D998" s="1011"/>
      <c r="J998" s="11"/>
      <c r="K998" s="903"/>
      <c r="L998" s="877"/>
    </row>
    <row r="999" customFormat="false" ht="15.75" hidden="false" customHeight="true" outlineLevel="0" collapsed="false">
      <c r="A999" s="14" t="s">
        <v>667</v>
      </c>
      <c r="D999" s="950" t="s">
        <v>253</v>
      </c>
      <c r="J999" s="11"/>
      <c r="K999" s="903"/>
      <c r="L999" s="877" t="s">
        <v>1623</v>
      </c>
      <c r="N999" s="0"/>
      <c r="O999" s="0"/>
      <c r="P999" s="0"/>
      <c r="Q999" s="0"/>
      <c r="R999" s="0"/>
      <c r="S999" s="0"/>
    </row>
    <row r="1000" customFormat="false" ht="15" hidden="false" customHeight="true" outlineLevel="0" collapsed="false">
      <c r="A1000" s="443"/>
      <c r="J1000" s="11"/>
      <c r="K1000" s="903"/>
      <c r="L1000" s="877"/>
      <c r="N1000" s="0"/>
      <c r="O1000" s="0"/>
      <c r="P1000" s="0"/>
      <c r="Q1000" s="0"/>
      <c r="R1000" s="0"/>
      <c r="S1000" s="0"/>
    </row>
    <row r="1001" customFormat="false" ht="15" hidden="false" customHeight="true" outlineLevel="0" collapsed="false">
      <c r="A1001" s="0"/>
      <c r="B1001" s="0"/>
      <c r="C1001" s="0"/>
      <c r="D1001" s="0"/>
      <c r="J1001" s="11"/>
      <c r="K1001" s="903"/>
      <c r="L1001" s="1303"/>
      <c r="M1001" s="0"/>
      <c r="T1001" s="0"/>
      <c r="U1001" s="0"/>
      <c r="V1001" s="0"/>
      <c r="W1001" s="0"/>
      <c r="X1001" s="0"/>
      <c r="Y1001" s="0"/>
      <c r="Z1001" s="0"/>
      <c r="AA1001" s="0"/>
      <c r="AB1001" s="0"/>
      <c r="AC1001" s="0"/>
      <c r="AD1001" s="0"/>
      <c r="AE1001" s="0"/>
      <c r="AF1001" s="0"/>
      <c r="AG1001" s="0"/>
      <c r="AH1001" s="0"/>
      <c r="AI1001" s="0"/>
      <c r="AJ1001" s="0"/>
      <c r="AK1001" s="0"/>
      <c r="AL1001" s="0"/>
      <c r="AM1001" s="0"/>
      <c r="AN1001" s="0"/>
      <c r="AO1001" s="0"/>
      <c r="AP1001" s="0"/>
      <c r="AQ1001" s="0"/>
      <c r="AR1001" s="0"/>
      <c r="AS1001" s="0"/>
      <c r="AT1001" s="0"/>
      <c r="AU1001" s="0"/>
      <c r="AV1001" s="0"/>
      <c r="AW1001" s="0"/>
      <c r="AX1001" s="0"/>
      <c r="AY1001" s="0"/>
      <c r="AZ1001" s="0"/>
      <c r="BA1001" s="0"/>
      <c r="BB1001" s="0"/>
      <c r="BC1001" s="0"/>
      <c r="BD1001" s="0"/>
      <c r="BE1001" s="0"/>
      <c r="BF1001" s="0"/>
      <c r="BG1001" s="0"/>
      <c r="BH1001" s="0"/>
      <c r="BI1001" s="0"/>
      <c r="BJ1001" s="0"/>
      <c r="BK1001" s="0"/>
      <c r="BL1001" s="0"/>
      <c r="BM1001" s="0"/>
      <c r="BN1001" s="0"/>
      <c r="BO1001" s="0"/>
      <c r="BP1001" s="0"/>
      <c r="BQ1001" s="0"/>
      <c r="BR1001" s="0"/>
      <c r="BS1001" s="0"/>
      <c r="BT1001" s="0"/>
      <c r="BU1001" s="0"/>
      <c r="BV1001" s="0"/>
      <c r="BW1001" s="0"/>
      <c r="BX1001" s="0"/>
      <c r="BY1001" s="0"/>
      <c r="BZ1001" s="0"/>
      <c r="CA1001" s="0"/>
      <c r="CB1001" s="0"/>
      <c r="CC1001" s="0"/>
      <c r="CD1001" s="0"/>
      <c r="CE1001" s="0"/>
      <c r="CF1001" s="0"/>
      <c r="CG1001" s="0"/>
      <c r="CH1001" s="0"/>
      <c r="CI1001" s="0"/>
      <c r="CJ1001" s="0"/>
      <c r="CK1001" s="0"/>
      <c r="CL1001" s="0"/>
      <c r="CM1001" s="0"/>
      <c r="CN1001" s="0"/>
      <c r="CO1001" s="0"/>
      <c r="CP1001" s="0"/>
      <c r="CQ1001" s="0"/>
      <c r="CR1001" s="0"/>
      <c r="CS1001" s="0"/>
      <c r="CT1001" s="0"/>
      <c r="CU1001" s="0"/>
      <c r="CV1001" s="0"/>
      <c r="CW1001" s="0"/>
      <c r="CX1001" s="0"/>
      <c r="CY1001" s="0"/>
      <c r="CZ1001" s="0"/>
      <c r="DA1001" s="0"/>
      <c r="DB1001" s="0"/>
      <c r="DC1001" s="0"/>
      <c r="DD1001" s="0"/>
      <c r="DE1001" s="0"/>
      <c r="DF1001" s="0"/>
      <c r="DG1001" s="0"/>
      <c r="DH1001" s="0"/>
      <c r="DI1001" s="0"/>
      <c r="DJ1001" s="0"/>
      <c r="DK1001" s="0"/>
      <c r="DL1001" s="0"/>
      <c r="DM1001" s="0"/>
      <c r="DN1001" s="0"/>
      <c r="DO1001" s="0"/>
      <c r="DP1001" s="0"/>
      <c r="DQ1001" s="0"/>
      <c r="DR1001" s="0"/>
      <c r="DS1001" s="0"/>
      <c r="DT1001" s="0"/>
      <c r="DU1001" s="0"/>
      <c r="DV1001" s="0"/>
      <c r="DW1001" s="0"/>
      <c r="DX1001" s="0"/>
      <c r="DY1001" s="0"/>
      <c r="DZ1001" s="0"/>
      <c r="EA1001" s="0"/>
      <c r="EB1001" s="0"/>
      <c r="EC1001" s="0"/>
      <c r="ED1001" s="0"/>
      <c r="EE1001" s="0"/>
      <c r="EF1001" s="0"/>
      <c r="EG1001" s="0"/>
      <c r="EH1001" s="0"/>
      <c r="EI1001" s="0"/>
      <c r="EJ1001" s="0"/>
      <c r="EK1001" s="0"/>
      <c r="EL1001" s="0"/>
      <c r="EM1001" s="0"/>
      <c r="EN1001" s="0"/>
      <c r="EO1001" s="0"/>
      <c r="EP1001" s="0"/>
      <c r="EQ1001" s="0"/>
      <c r="ER1001" s="0"/>
      <c r="ES1001" s="0"/>
      <c r="ET1001" s="0"/>
      <c r="EU1001" s="0"/>
      <c r="EV1001" s="0"/>
      <c r="EW1001" s="0"/>
      <c r="EX1001" s="0"/>
      <c r="EY1001" s="0"/>
      <c r="EZ1001" s="0"/>
      <c r="FA1001" s="0"/>
      <c r="FB1001" s="0"/>
      <c r="FC1001" s="0"/>
      <c r="FD1001" s="0"/>
      <c r="FE1001" s="0"/>
      <c r="FF1001" s="0"/>
      <c r="FG1001" s="0"/>
      <c r="FH1001" s="0"/>
      <c r="FI1001" s="0"/>
      <c r="FJ1001" s="0"/>
      <c r="FK1001" s="0"/>
      <c r="FL1001" s="0"/>
      <c r="FM1001" s="0"/>
      <c r="FN1001" s="0"/>
      <c r="FO1001" s="0"/>
      <c r="FP1001" s="0"/>
      <c r="FQ1001" s="0"/>
      <c r="FR1001" s="0"/>
      <c r="FS1001" s="0"/>
      <c r="FT1001" s="0"/>
      <c r="FU1001" s="0"/>
      <c r="FV1001" s="0"/>
      <c r="FW1001" s="0"/>
      <c r="FX1001" s="0"/>
      <c r="FY1001" s="0"/>
      <c r="FZ1001" s="0"/>
      <c r="GA1001" s="0"/>
      <c r="GB1001" s="0"/>
      <c r="GC1001" s="0"/>
      <c r="GD1001" s="0"/>
      <c r="GE1001" s="0"/>
      <c r="GF1001" s="0"/>
      <c r="GG1001" s="0"/>
      <c r="GH1001" s="0"/>
      <c r="GI1001" s="0"/>
      <c r="GJ1001" s="0"/>
      <c r="GK1001" s="0"/>
      <c r="GL1001" s="0"/>
      <c r="GM1001" s="0"/>
      <c r="GN1001" s="0"/>
      <c r="GO1001" s="0"/>
      <c r="GP1001" s="0"/>
      <c r="GQ1001" s="0"/>
      <c r="GR1001" s="0"/>
      <c r="GS1001" s="0"/>
      <c r="GT1001" s="0"/>
      <c r="GU1001" s="0"/>
      <c r="GV1001" s="0"/>
      <c r="GW1001" s="0"/>
      <c r="GX1001" s="0"/>
      <c r="GY1001" s="0"/>
      <c r="GZ1001" s="0"/>
      <c r="HA1001" s="0"/>
      <c r="HB1001" s="0"/>
      <c r="HC1001" s="0"/>
      <c r="HD1001" s="0"/>
      <c r="HE1001" s="0"/>
      <c r="HF1001" s="0"/>
      <c r="HG1001" s="0"/>
      <c r="HH1001" s="0"/>
      <c r="HI1001" s="0"/>
      <c r="HJ1001" s="0"/>
      <c r="HK1001" s="0"/>
      <c r="HL1001" s="0"/>
      <c r="HM1001" s="0"/>
      <c r="HN1001" s="0"/>
      <c r="HO1001" s="0"/>
      <c r="HP1001" s="0"/>
      <c r="HQ1001" s="0"/>
      <c r="HR1001" s="0"/>
      <c r="HS1001" s="0"/>
      <c r="HT1001" s="0"/>
      <c r="HU1001" s="0"/>
      <c r="HV1001" s="0"/>
      <c r="HW1001" s="0"/>
      <c r="HX1001" s="0"/>
      <c r="HY1001" s="0"/>
      <c r="HZ1001" s="0"/>
      <c r="IA1001" s="0"/>
      <c r="IB1001" s="0"/>
      <c r="IC1001" s="0"/>
      <c r="ID1001" s="0"/>
      <c r="IE1001" s="0"/>
      <c r="IF1001" s="0"/>
      <c r="IG1001" s="0"/>
      <c r="IH1001" s="0"/>
      <c r="II1001" s="0"/>
      <c r="IJ1001" s="0"/>
      <c r="IK1001" s="0"/>
      <c r="IL1001" s="0"/>
      <c r="IM1001" s="0"/>
      <c r="IN1001" s="0"/>
      <c r="IO1001" s="0"/>
      <c r="IP1001" s="0"/>
      <c r="IQ1001" s="0"/>
      <c r="IR1001" s="0"/>
      <c r="IS1001" s="0"/>
      <c r="IT1001" s="0"/>
      <c r="IU1001" s="0"/>
      <c r="IV1001" s="0"/>
    </row>
    <row r="1002" customFormat="false" ht="15" hidden="false" customHeight="true" outlineLevel="0" collapsed="false">
      <c r="A1002" s="869" t="s">
        <v>1677</v>
      </c>
      <c r="B1002" s="869"/>
      <c r="C1002" s="869"/>
      <c r="D1002" s="869"/>
      <c r="E1002" s="869"/>
      <c r="F1002" s="869"/>
      <c r="G1002" s="869"/>
      <c r="H1002" s="53"/>
      <c r="I1002" s="53"/>
      <c r="J1002" s="53"/>
      <c r="K1002" s="870"/>
      <c r="L1002" s="871" t="s">
        <v>1678</v>
      </c>
      <c r="M1002" s="0"/>
      <c r="N1002" s="0"/>
      <c r="O1002" s="0"/>
      <c r="P1002" s="0"/>
      <c r="Q1002" s="0"/>
      <c r="R1002" s="0"/>
      <c r="S1002" s="0"/>
      <c r="T1002" s="0"/>
      <c r="U1002" s="0"/>
      <c r="V1002" s="0"/>
      <c r="W1002" s="0"/>
      <c r="X1002" s="0"/>
      <c r="Y1002" s="0"/>
      <c r="Z1002" s="0"/>
      <c r="AA1002" s="0"/>
      <c r="AB1002" s="0"/>
      <c r="AC1002" s="0"/>
      <c r="AD1002" s="0"/>
      <c r="AE1002" s="0"/>
      <c r="AF1002" s="0"/>
      <c r="AG1002" s="0"/>
      <c r="AH1002" s="0"/>
      <c r="AI1002" s="0"/>
      <c r="AJ1002" s="0"/>
      <c r="AK1002" s="0"/>
      <c r="AL1002" s="0"/>
      <c r="AM1002" s="0"/>
      <c r="AN1002" s="0"/>
      <c r="AO1002" s="0"/>
      <c r="AP1002" s="0"/>
      <c r="AQ1002" s="0"/>
      <c r="AR1002" s="0"/>
      <c r="AS1002" s="0"/>
      <c r="AT1002" s="0"/>
      <c r="AU1002" s="0"/>
      <c r="AV1002" s="0"/>
      <c r="AW1002" s="0"/>
      <c r="AX1002" s="0"/>
      <c r="AY1002" s="0"/>
      <c r="AZ1002" s="0"/>
      <c r="BA1002" s="0"/>
      <c r="BB1002" s="0"/>
      <c r="BC1002" s="0"/>
      <c r="BD1002" s="0"/>
      <c r="BE1002" s="0"/>
      <c r="BF1002" s="0"/>
      <c r="BG1002" s="0"/>
      <c r="BH1002" s="0"/>
      <c r="BI1002" s="0"/>
      <c r="BJ1002" s="0"/>
      <c r="BK1002" s="0"/>
      <c r="BL1002" s="0"/>
      <c r="BM1002" s="0"/>
      <c r="BN1002" s="0"/>
      <c r="BO1002" s="0"/>
      <c r="BP1002" s="0"/>
      <c r="BQ1002" s="0"/>
      <c r="BR1002" s="0"/>
      <c r="BS1002" s="0"/>
      <c r="BT1002" s="0"/>
      <c r="BU1002" s="0"/>
      <c r="BV1002" s="0"/>
      <c r="BW1002" s="0"/>
      <c r="BX1002" s="0"/>
      <c r="BY1002" s="0"/>
      <c r="BZ1002" s="0"/>
      <c r="CA1002" s="0"/>
      <c r="CB1002" s="0"/>
      <c r="CC1002" s="0"/>
      <c r="CD1002" s="0"/>
      <c r="CE1002" s="0"/>
      <c r="CF1002" s="0"/>
      <c r="CG1002" s="0"/>
      <c r="CH1002" s="0"/>
      <c r="CI1002" s="0"/>
      <c r="CJ1002" s="0"/>
      <c r="CK1002" s="0"/>
      <c r="CL1002" s="0"/>
      <c r="CM1002" s="0"/>
      <c r="CN1002" s="0"/>
      <c r="CO1002" s="0"/>
      <c r="CP1002" s="0"/>
      <c r="CQ1002" s="0"/>
      <c r="CR1002" s="0"/>
      <c r="CS1002" s="0"/>
      <c r="CT1002" s="0"/>
      <c r="CU1002" s="0"/>
      <c r="CV1002" s="0"/>
      <c r="CW1002" s="0"/>
      <c r="CX1002" s="0"/>
      <c r="CY1002" s="0"/>
      <c r="CZ1002" s="0"/>
      <c r="DA1002" s="0"/>
      <c r="DB1002" s="0"/>
      <c r="DC1002" s="0"/>
      <c r="DD1002" s="0"/>
      <c r="DE1002" s="0"/>
      <c r="DF1002" s="0"/>
      <c r="DG1002" s="0"/>
      <c r="DH1002" s="0"/>
      <c r="DI1002" s="0"/>
      <c r="DJ1002" s="0"/>
      <c r="DK1002" s="0"/>
      <c r="DL1002" s="0"/>
      <c r="DM1002" s="0"/>
      <c r="DN1002" s="0"/>
      <c r="DO1002" s="0"/>
      <c r="DP1002" s="0"/>
      <c r="DQ1002" s="0"/>
      <c r="DR1002" s="0"/>
      <c r="DS1002" s="0"/>
      <c r="DT1002" s="0"/>
      <c r="DU1002" s="0"/>
      <c r="DV1002" s="0"/>
      <c r="DW1002" s="0"/>
      <c r="DX1002" s="0"/>
      <c r="DY1002" s="0"/>
      <c r="DZ1002" s="0"/>
      <c r="EA1002" s="0"/>
      <c r="EB1002" s="0"/>
      <c r="EC1002" s="0"/>
      <c r="ED1002" s="0"/>
      <c r="EE1002" s="0"/>
      <c r="EF1002" s="0"/>
      <c r="EG1002" s="0"/>
      <c r="EH1002" s="0"/>
      <c r="EI1002" s="0"/>
      <c r="EJ1002" s="0"/>
      <c r="EK1002" s="0"/>
      <c r="EL1002" s="0"/>
      <c r="EM1002" s="0"/>
      <c r="EN1002" s="0"/>
      <c r="EO1002" s="0"/>
      <c r="EP1002" s="0"/>
      <c r="EQ1002" s="0"/>
      <c r="ER1002" s="0"/>
      <c r="ES1002" s="0"/>
      <c r="ET1002" s="0"/>
      <c r="EU1002" s="0"/>
      <c r="EV1002" s="0"/>
      <c r="EW1002" s="0"/>
      <c r="EX1002" s="0"/>
      <c r="EY1002" s="0"/>
      <c r="EZ1002" s="0"/>
      <c r="FA1002" s="0"/>
      <c r="FB1002" s="0"/>
      <c r="FC1002" s="0"/>
      <c r="FD1002" s="0"/>
      <c r="FE1002" s="0"/>
      <c r="FF1002" s="0"/>
      <c r="FG1002" s="0"/>
      <c r="FH1002" s="0"/>
      <c r="FI1002" s="0"/>
      <c r="FJ1002" s="0"/>
      <c r="FK1002" s="0"/>
      <c r="FL1002" s="0"/>
      <c r="FM1002" s="0"/>
      <c r="FN1002" s="0"/>
      <c r="FO1002" s="0"/>
      <c r="FP1002" s="0"/>
      <c r="FQ1002" s="0"/>
      <c r="FR1002" s="0"/>
      <c r="FS1002" s="0"/>
      <c r="FT1002" s="0"/>
      <c r="FU1002" s="0"/>
      <c r="FV1002" s="0"/>
      <c r="FW1002" s="0"/>
      <c r="FX1002" s="0"/>
      <c r="FY1002" s="0"/>
      <c r="FZ1002" s="0"/>
      <c r="GA1002" s="0"/>
      <c r="GB1002" s="0"/>
      <c r="GC1002" s="0"/>
      <c r="GD1002" s="0"/>
      <c r="GE1002" s="0"/>
      <c r="GF1002" s="0"/>
      <c r="GG1002" s="0"/>
      <c r="GH1002" s="0"/>
      <c r="GI1002" s="0"/>
      <c r="GJ1002" s="0"/>
      <c r="GK1002" s="0"/>
      <c r="GL1002" s="0"/>
      <c r="GM1002" s="0"/>
      <c r="GN1002" s="0"/>
      <c r="GO1002" s="0"/>
      <c r="GP1002" s="0"/>
      <c r="GQ1002" s="0"/>
      <c r="GR1002" s="0"/>
      <c r="GS1002" s="0"/>
      <c r="GT1002" s="0"/>
      <c r="GU1002" s="0"/>
      <c r="GV1002" s="0"/>
      <c r="GW1002" s="0"/>
      <c r="GX1002" s="0"/>
      <c r="GY1002" s="0"/>
      <c r="GZ1002" s="0"/>
      <c r="HA1002" s="0"/>
      <c r="HB1002" s="0"/>
      <c r="HC1002" s="0"/>
      <c r="HD1002" s="0"/>
      <c r="HE1002" s="0"/>
      <c r="HF1002" s="0"/>
      <c r="HG1002" s="0"/>
      <c r="HH1002" s="0"/>
      <c r="HI1002" s="0"/>
      <c r="HJ1002" s="0"/>
      <c r="HK1002" s="0"/>
      <c r="HL1002" s="0"/>
      <c r="HM1002" s="0"/>
      <c r="HN1002" s="0"/>
      <c r="HO1002" s="0"/>
      <c r="HP1002" s="0"/>
      <c r="HQ1002" s="0"/>
      <c r="HR1002" s="0"/>
      <c r="HS1002" s="0"/>
      <c r="HT1002" s="0"/>
      <c r="HU1002" s="0"/>
      <c r="HV1002" s="0"/>
      <c r="HW1002" s="0"/>
      <c r="HX1002" s="0"/>
      <c r="HY1002" s="0"/>
      <c r="HZ1002" s="0"/>
      <c r="IA1002" s="0"/>
      <c r="IB1002" s="0"/>
      <c r="IC1002" s="0"/>
      <c r="ID1002" s="0"/>
      <c r="IE1002" s="0"/>
      <c r="IF1002" s="0"/>
      <c r="IG1002" s="0"/>
      <c r="IH1002" s="0"/>
      <c r="II1002" s="0"/>
      <c r="IJ1002" s="0"/>
      <c r="IK1002" s="0"/>
      <c r="IL1002" s="0"/>
      <c r="IM1002" s="0"/>
      <c r="IN1002" s="0"/>
      <c r="IO1002" s="0"/>
      <c r="IP1002" s="0"/>
      <c r="IQ1002" s="0"/>
      <c r="IR1002" s="0"/>
      <c r="IS1002" s="0"/>
      <c r="IT1002" s="0"/>
      <c r="IU1002" s="0"/>
      <c r="IV1002" s="0"/>
    </row>
    <row r="1003" customFormat="false" ht="15" hidden="false" customHeight="true" outlineLevel="0" collapsed="false">
      <c r="J1003" s="11"/>
      <c r="M1003" s="0"/>
      <c r="N1003" s="0"/>
      <c r="O1003" s="0"/>
      <c r="P1003" s="0"/>
      <c r="Q1003" s="0"/>
      <c r="R1003" s="0"/>
      <c r="S1003" s="0"/>
      <c r="T1003" s="0"/>
      <c r="U1003" s="0"/>
      <c r="V1003" s="0"/>
      <c r="W1003" s="0"/>
      <c r="X1003" s="0"/>
      <c r="Y1003" s="0"/>
      <c r="Z1003" s="0"/>
      <c r="AA1003" s="0"/>
      <c r="AB1003" s="0"/>
      <c r="AC1003" s="0"/>
      <c r="AD1003" s="0"/>
      <c r="AE1003" s="0"/>
      <c r="AF1003" s="0"/>
      <c r="AG1003" s="0"/>
      <c r="AH1003" s="0"/>
      <c r="AI1003" s="0"/>
      <c r="AJ1003" s="0"/>
      <c r="AK1003" s="0"/>
      <c r="AL1003" s="0"/>
      <c r="AM1003" s="0"/>
      <c r="AN1003" s="0"/>
      <c r="AO1003" s="0"/>
      <c r="AP1003" s="0"/>
      <c r="AQ1003" s="0"/>
      <c r="AR1003" s="0"/>
      <c r="AS1003" s="0"/>
      <c r="AT1003" s="0"/>
      <c r="AU1003" s="0"/>
      <c r="AV1003" s="0"/>
      <c r="AW1003" s="0"/>
      <c r="AX1003" s="0"/>
      <c r="AY1003" s="0"/>
      <c r="AZ1003" s="0"/>
      <c r="BA1003" s="0"/>
      <c r="BB1003" s="0"/>
      <c r="BC1003" s="0"/>
      <c r="BD1003" s="0"/>
      <c r="BE1003" s="0"/>
      <c r="BF1003" s="0"/>
      <c r="BG1003" s="0"/>
      <c r="BH1003" s="0"/>
      <c r="BI1003" s="0"/>
      <c r="BJ1003" s="0"/>
      <c r="BK1003" s="0"/>
      <c r="BL1003" s="0"/>
      <c r="BM1003" s="0"/>
      <c r="BN1003" s="0"/>
      <c r="BO1003" s="0"/>
      <c r="BP1003" s="0"/>
      <c r="BQ1003" s="0"/>
      <c r="BR1003" s="0"/>
      <c r="BS1003" s="0"/>
      <c r="BT1003" s="0"/>
      <c r="BU1003" s="0"/>
      <c r="BV1003" s="0"/>
      <c r="BW1003" s="0"/>
      <c r="BX1003" s="0"/>
      <c r="BY1003" s="0"/>
      <c r="BZ1003" s="0"/>
      <c r="CA1003" s="0"/>
      <c r="CB1003" s="0"/>
      <c r="CC1003" s="0"/>
      <c r="CD1003" s="0"/>
      <c r="CE1003" s="0"/>
      <c r="CF1003" s="0"/>
      <c r="CG1003" s="0"/>
      <c r="CH1003" s="0"/>
      <c r="CI1003" s="0"/>
      <c r="CJ1003" s="0"/>
      <c r="CK1003" s="0"/>
      <c r="CL1003" s="0"/>
      <c r="CM1003" s="0"/>
      <c r="CN1003" s="0"/>
      <c r="CO1003" s="0"/>
      <c r="CP1003" s="0"/>
      <c r="CQ1003" s="0"/>
      <c r="CR1003" s="0"/>
      <c r="CS1003" s="0"/>
      <c r="CT1003" s="0"/>
      <c r="CU1003" s="0"/>
      <c r="CV1003" s="0"/>
      <c r="CW1003" s="0"/>
      <c r="CX1003" s="0"/>
      <c r="CY1003" s="0"/>
      <c r="CZ1003" s="0"/>
      <c r="DA1003" s="0"/>
      <c r="DB1003" s="0"/>
      <c r="DC1003" s="0"/>
      <c r="DD1003" s="0"/>
      <c r="DE1003" s="0"/>
      <c r="DF1003" s="0"/>
      <c r="DG1003" s="0"/>
      <c r="DH1003" s="0"/>
      <c r="DI1003" s="0"/>
      <c r="DJ1003" s="0"/>
      <c r="DK1003" s="0"/>
      <c r="DL1003" s="0"/>
      <c r="DM1003" s="0"/>
      <c r="DN1003" s="0"/>
      <c r="DO1003" s="0"/>
      <c r="DP1003" s="0"/>
      <c r="DQ1003" s="0"/>
      <c r="DR1003" s="0"/>
      <c r="DS1003" s="0"/>
      <c r="DT1003" s="0"/>
      <c r="DU1003" s="0"/>
      <c r="DV1003" s="0"/>
      <c r="DW1003" s="0"/>
      <c r="DX1003" s="0"/>
      <c r="DY1003" s="0"/>
      <c r="DZ1003" s="0"/>
      <c r="EA1003" s="0"/>
      <c r="EB1003" s="0"/>
      <c r="EC1003" s="0"/>
      <c r="ED1003" s="0"/>
      <c r="EE1003" s="0"/>
      <c r="EF1003" s="0"/>
      <c r="EG1003" s="0"/>
      <c r="EH1003" s="0"/>
      <c r="EI1003" s="0"/>
      <c r="EJ1003" s="0"/>
      <c r="EK1003" s="0"/>
      <c r="EL1003" s="0"/>
      <c r="EM1003" s="0"/>
      <c r="EN1003" s="0"/>
      <c r="EO1003" s="0"/>
      <c r="EP1003" s="0"/>
      <c r="EQ1003" s="0"/>
      <c r="ER1003" s="0"/>
      <c r="ES1003" s="0"/>
      <c r="ET1003" s="0"/>
      <c r="EU1003" s="0"/>
      <c r="EV1003" s="0"/>
      <c r="EW1003" s="0"/>
      <c r="EX1003" s="0"/>
      <c r="EY1003" s="0"/>
      <c r="EZ1003" s="0"/>
      <c r="FA1003" s="0"/>
      <c r="FB1003" s="0"/>
      <c r="FC1003" s="0"/>
      <c r="FD1003" s="0"/>
      <c r="FE1003" s="0"/>
      <c r="FF1003" s="0"/>
      <c r="FG1003" s="0"/>
      <c r="FH1003" s="0"/>
      <c r="FI1003" s="0"/>
      <c r="FJ1003" s="0"/>
      <c r="FK1003" s="0"/>
      <c r="FL1003" s="0"/>
      <c r="FM1003" s="0"/>
      <c r="FN1003" s="0"/>
      <c r="FO1003" s="0"/>
      <c r="FP1003" s="0"/>
      <c r="FQ1003" s="0"/>
      <c r="FR1003" s="0"/>
      <c r="FS1003" s="0"/>
      <c r="FT1003" s="0"/>
      <c r="FU1003" s="0"/>
      <c r="FV1003" s="0"/>
      <c r="FW1003" s="0"/>
      <c r="FX1003" s="0"/>
      <c r="FY1003" s="0"/>
      <c r="FZ1003" s="0"/>
      <c r="GA1003" s="0"/>
      <c r="GB1003" s="0"/>
      <c r="GC1003" s="0"/>
      <c r="GD1003" s="0"/>
      <c r="GE1003" s="0"/>
      <c r="GF1003" s="0"/>
      <c r="GG1003" s="0"/>
      <c r="GH1003" s="0"/>
      <c r="GI1003" s="0"/>
      <c r="GJ1003" s="0"/>
      <c r="GK1003" s="0"/>
      <c r="GL1003" s="0"/>
      <c r="GM1003" s="0"/>
      <c r="GN1003" s="0"/>
      <c r="GO1003" s="0"/>
      <c r="GP1003" s="0"/>
      <c r="GQ1003" s="0"/>
      <c r="GR1003" s="0"/>
      <c r="GS1003" s="0"/>
      <c r="GT1003" s="0"/>
      <c r="GU1003" s="0"/>
      <c r="GV1003" s="0"/>
      <c r="GW1003" s="0"/>
      <c r="GX1003" s="0"/>
      <c r="GY1003" s="0"/>
      <c r="GZ1003" s="0"/>
      <c r="HA1003" s="0"/>
      <c r="HB1003" s="0"/>
      <c r="HC1003" s="0"/>
      <c r="HD1003" s="0"/>
      <c r="HE1003" s="0"/>
      <c r="HF1003" s="0"/>
      <c r="HG1003" s="0"/>
      <c r="HH1003" s="0"/>
      <c r="HI1003" s="0"/>
      <c r="HJ1003" s="0"/>
      <c r="HK1003" s="0"/>
      <c r="HL1003" s="0"/>
      <c r="HM1003" s="0"/>
      <c r="HN1003" s="0"/>
      <c r="HO1003" s="0"/>
      <c r="HP1003" s="0"/>
      <c r="HQ1003" s="0"/>
      <c r="HR1003" s="0"/>
      <c r="HS1003" s="0"/>
      <c r="HT1003" s="0"/>
      <c r="HU1003" s="0"/>
      <c r="HV1003" s="0"/>
      <c r="HW1003" s="0"/>
      <c r="HX1003" s="0"/>
      <c r="HY1003" s="0"/>
      <c r="HZ1003" s="0"/>
      <c r="IA1003" s="0"/>
      <c r="IB1003" s="0"/>
      <c r="IC1003" s="0"/>
      <c r="ID1003" s="0"/>
      <c r="IE1003" s="0"/>
      <c r="IF1003" s="0"/>
      <c r="IG1003" s="0"/>
      <c r="IH1003" s="0"/>
      <c r="II1003" s="0"/>
      <c r="IJ1003" s="0"/>
      <c r="IK1003" s="0"/>
      <c r="IL1003" s="0"/>
      <c r="IM1003" s="0"/>
      <c r="IN1003" s="0"/>
      <c r="IO1003" s="0"/>
      <c r="IP1003" s="0"/>
      <c r="IQ1003" s="0"/>
      <c r="IR1003" s="0"/>
      <c r="IS1003" s="0"/>
      <c r="IT1003" s="0"/>
      <c r="IU1003" s="0"/>
      <c r="IV1003" s="0"/>
    </row>
    <row r="1004" customFormat="false" ht="15.75" hidden="false" customHeight="true" outlineLevel="0" collapsed="false">
      <c r="A1004" s="1255" t="s">
        <v>1679</v>
      </c>
      <c r="B1004" s="1255"/>
      <c r="C1004" s="1170" t="n">
        <f aca="false">$B$24/$B$37</f>
        <v>38.5</v>
      </c>
      <c r="D1004" s="0"/>
      <c r="E1004" s="0"/>
      <c r="G1004" s="0"/>
      <c r="H1004" s="0"/>
      <c r="I1004" s="0"/>
      <c r="J1004" s="0"/>
      <c r="K1004" s="0"/>
      <c r="L1004" s="0"/>
      <c r="M1004" s="0"/>
      <c r="N1004" s="0"/>
      <c r="O1004" s="0"/>
      <c r="P1004" s="0"/>
      <c r="Q1004" s="0"/>
      <c r="R1004" s="0"/>
      <c r="S1004" s="0"/>
      <c r="T1004" s="0"/>
      <c r="U1004" s="0"/>
      <c r="V1004" s="0"/>
      <c r="W1004" s="0"/>
      <c r="X1004" s="0"/>
      <c r="Y1004" s="0"/>
      <c r="Z1004" s="0"/>
      <c r="AA1004" s="0"/>
      <c r="AB1004" s="0"/>
      <c r="AC1004" s="0"/>
      <c r="AD1004" s="0"/>
      <c r="AE1004" s="0"/>
      <c r="AF1004" s="0"/>
      <c r="AG1004" s="0"/>
      <c r="AH1004" s="0"/>
      <c r="AI1004" s="0"/>
      <c r="AJ1004" s="0"/>
      <c r="AK1004" s="0"/>
      <c r="AL1004" s="0"/>
      <c r="AM1004" s="0"/>
      <c r="AN1004" s="0"/>
      <c r="AO1004" s="0"/>
      <c r="AP1004" s="0"/>
      <c r="AQ1004" s="0"/>
      <c r="AR1004" s="0"/>
      <c r="AS1004" s="0"/>
      <c r="AT1004" s="0"/>
      <c r="AU1004" s="0"/>
      <c r="AV1004" s="0"/>
      <c r="AW1004" s="0"/>
      <c r="AX1004" s="0"/>
      <c r="AY1004" s="0"/>
      <c r="AZ1004" s="0"/>
      <c r="BA1004" s="0"/>
      <c r="BB1004" s="0"/>
      <c r="BC1004" s="0"/>
      <c r="BD1004" s="0"/>
      <c r="BE1004" s="0"/>
      <c r="BF1004" s="0"/>
      <c r="BG1004" s="0"/>
      <c r="BH1004" s="0"/>
      <c r="BI1004" s="0"/>
      <c r="BJ1004" s="0"/>
      <c r="BK1004" s="0"/>
      <c r="BL1004" s="0"/>
      <c r="BM1004" s="0"/>
      <c r="BN1004" s="0"/>
      <c r="BO1004" s="0"/>
      <c r="BP1004" s="0"/>
      <c r="BQ1004" s="0"/>
      <c r="BR1004" s="0"/>
      <c r="BS1004" s="0"/>
      <c r="BT1004" s="0"/>
      <c r="BU1004" s="0"/>
      <c r="BV1004" s="0"/>
      <c r="BW1004" s="0"/>
      <c r="BX1004" s="0"/>
      <c r="BY1004" s="0"/>
      <c r="BZ1004" s="0"/>
      <c r="CA1004" s="0"/>
      <c r="CB1004" s="0"/>
      <c r="CC1004" s="0"/>
      <c r="CD1004" s="0"/>
      <c r="CE1004" s="0"/>
      <c r="CF1004" s="0"/>
      <c r="CG1004" s="0"/>
      <c r="CH1004" s="0"/>
      <c r="CI1004" s="0"/>
      <c r="CJ1004" s="0"/>
      <c r="CK1004" s="0"/>
      <c r="CL1004" s="0"/>
      <c r="CM1004" s="0"/>
      <c r="CN1004" s="0"/>
      <c r="CO1004" s="0"/>
      <c r="CP1004" s="0"/>
      <c r="CQ1004" s="0"/>
      <c r="CR1004" s="0"/>
      <c r="CS1004" s="0"/>
      <c r="CT1004" s="0"/>
      <c r="CU1004" s="0"/>
      <c r="CV1004" s="0"/>
      <c r="CW1004" s="0"/>
      <c r="CX1004" s="0"/>
      <c r="CY1004" s="0"/>
      <c r="CZ1004" s="0"/>
      <c r="DA1004" s="0"/>
      <c r="DB1004" s="0"/>
      <c r="DC1004" s="0"/>
      <c r="DD1004" s="0"/>
      <c r="DE1004" s="0"/>
      <c r="DF1004" s="0"/>
      <c r="DG1004" s="0"/>
      <c r="DH1004" s="0"/>
      <c r="DI1004" s="0"/>
      <c r="DJ1004" s="0"/>
      <c r="DK1004" s="0"/>
      <c r="DL1004" s="0"/>
      <c r="DM1004" s="0"/>
      <c r="DN1004" s="0"/>
      <c r="DO1004" s="0"/>
      <c r="DP1004" s="0"/>
      <c r="DQ1004" s="0"/>
      <c r="DR1004" s="0"/>
      <c r="DS1004" s="0"/>
      <c r="DT1004" s="0"/>
      <c r="DU1004" s="0"/>
      <c r="DV1004" s="0"/>
      <c r="DW1004" s="0"/>
      <c r="DX1004" s="0"/>
      <c r="DY1004" s="0"/>
      <c r="DZ1004" s="0"/>
      <c r="EA1004" s="0"/>
      <c r="EB1004" s="0"/>
      <c r="EC1004" s="0"/>
      <c r="ED1004" s="0"/>
      <c r="EE1004" s="0"/>
      <c r="EF1004" s="0"/>
      <c r="EG1004" s="0"/>
      <c r="EH1004" s="0"/>
      <c r="EI1004" s="0"/>
      <c r="EJ1004" s="0"/>
      <c r="EK1004" s="0"/>
      <c r="EL1004" s="0"/>
      <c r="EM1004" s="0"/>
      <c r="EN1004" s="0"/>
      <c r="EO1004" s="0"/>
      <c r="EP1004" s="0"/>
      <c r="EQ1004" s="0"/>
      <c r="ER1004" s="0"/>
      <c r="ES1004" s="0"/>
      <c r="ET1004" s="0"/>
      <c r="EU1004" s="0"/>
      <c r="EV1004" s="0"/>
      <c r="EW1004" s="0"/>
      <c r="EX1004" s="0"/>
      <c r="EY1004" s="0"/>
      <c r="EZ1004" s="0"/>
      <c r="FA1004" s="0"/>
      <c r="FB1004" s="0"/>
      <c r="FC1004" s="0"/>
      <c r="FD1004" s="0"/>
      <c r="FE1004" s="0"/>
      <c r="FF1004" s="0"/>
      <c r="FG1004" s="0"/>
      <c r="FH1004" s="0"/>
      <c r="FI1004" s="0"/>
      <c r="FJ1004" s="0"/>
      <c r="FK1004" s="0"/>
      <c r="FL1004" s="0"/>
      <c r="FM1004" s="0"/>
      <c r="FN1004" s="0"/>
      <c r="FO1004" s="0"/>
      <c r="FP1004" s="0"/>
      <c r="FQ1004" s="0"/>
      <c r="FR1004" s="0"/>
      <c r="FS1004" s="0"/>
      <c r="FT1004" s="0"/>
      <c r="FU1004" s="0"/>
      <c r="FV1004" s="0"/>
      <c r="FW1004" s="0"/>
      <c r="FX1004" s="0"/>
      <c r="FY1004" s="0"/>
      <c r="FZ1004" s="0"/>
      <c r="GA1004" s="0"/>
      <c r="GB1004" s="0"/>
      <c r="GC1004" s="0"/>
      <c r="GD1004" s="0"/>
      <c r="GE1004" s="0"/>
      <c r="GF1004" s="0"/>
      <c r="GG1004" s="0"/>
      <c r="GH1004" s="0"/>
      <c r="GI1004" s="0"/>
      <c r="GJ1004" s="0"/>
      <c r="GK1004" s="0"/>
      <c r="GL1004" s="0"/>
      <c r="GM1004" s="0"/>
      <c r="GN1004" s="0"/>
      <c r="GO1004" s="0"/>
      <c r="GP1004" s="0"/>
      <c r="GQ1004" s="0"/>
      <c r="GR1004" s="0"/>
      <c r="GS1004" s="0"/>
      <c r="GT1004" s="0"/>
      <c r="GU1004" s="0"/>
      <c r="GV1004" s="0"/>
      <c r="GW1004" s="0"/>
      <c r="GX1004" s="0"/>
      <c r="GY1004" s="0"/>
      <c r="GZ1004" s="0"/>
      <c r="HA1004" s="0"/>
      <c r="HB1004" s="0"/>
      <c r="HC1004" s="0"/>
      <c r="HD1004" s="0"/>
      <c r="HE1004" s="0"/>
      <c r="HF1004" s="0"/>
      <c r="HG1004" s="0"/>
      <c r="HH1004" s="0"/>
      <c r="HI1004" s="0"/>
      <c r="HJ1004" s="0"/>
      <c r="HK1004" s="0"/>
      <c r="HL1004" s="0"/>
      <c r="HM1004" s="0"/>
      <c r="HN1004" s="0"/>
      <c r="HO1004" s="0"/>
      <c r="HP1004" s="0"/>
      <c r="HQ1004" s="0"/>
      <c r="HR1004" s="0"/>
      <c r="HS1004" s="0"/>
      <c r="HT1004" s="0"/>
      <c r="HU1004" s="0"/>
      <c r="HV1004" s="0"/>
      <c r="HW1004" s="0"/>
      <c r="HX1004" s="0"/>
      <c r="HY1004" s="0"/>
      <c r="HZ1004" s="0"/>
      <c r="IA1004" s="0"/>
      <c r="IB1004" s="0"/>
      <c r="IC1004" s="0"/>
      <c r="ID1004" s="0"/>
      <c r="IE1004" s="0"/>
      <c r="IF1004" s="0"/>
      <c r="IG1004" s="0"/>
      <c r="IH1004" s="0"/>
      <c r="II1004" s="0"/>
      <c r="IJ1004" s="0"/>
      <c r="IK1004" s="0"/>
      <c r="IL1004" s="0"/>
      <c r="IM1004" s="0"/>
      <c r="IN1004" s="0"/>
      <c r="IO1004" s="0"/>
      <c r="IP1004" s="0"/>
      <c r="IQ1004" s="0"/>
      <c r="IR1004" s="0"/>
      <c r="IS1004" s="0"/>
      <c r="IT1004" s="0"/>
      <c r="IU1004" s="0"/>
      <c r="IV1004" s="0"/>
    </row>
    <row r="1005" customFormat="false" ht="20.1" hidden="false" customHeight="true" outlineLevel="0" collapsed="false">
      <c r="E1005" s="414"/>
      <c r="G1005" s="414"/>
      <c r="H1005" s="414"/>
      <c r="I1005" s="414"/>
      <c r="J1005" s="1253"/>
      <c r="K1005" s="903"/>
      <c r="L1005" s="877"/>
      <c r="M1005" s="0"/>
      <c r="N1005" s="0"/>
      <c r="O1005" s="0"/>
      <c r="P1005" s="0"/>
      <c r="Q1005" s="0"/>
      <c r="R1005" s="0"/>
      <c r="S1005" s="0"/>
      <c r="T1005" s="0"/>
      <c r="U1005" s="0"/>
      <c r="V1005" s="0"/>
      <c r="W1005" s="0"/>
      <c r="X1005" s="0"/>
      <c r="Y1005" s="0"/>
      <c r="Z1005" s="0"/>
      <c r="AA1005" s="0"/>
      <c r="AB1005" s="0"/>
      <c r="AC1005" s="0"/>
      <c r="AD1005" s="0"/>
      <c r="AE1005" s="0"/>
      <c r="AF1005" s="0"/>
      <c r="AG1005" s="0"/>
      <c r="AH1005" s="0"/>
      <c r="AI1005" s="0"/>
      <c r="AJ1005" s="0"/>
      <c r="AK1005" s="0"/>
      <c r="AL1005" s="0"/>
      <c r="AM1005" s="0"/>
      <c r="AN1005" s="0"/>
      <c r="AO1005" s="0"/>
      <c r="AP1005" s="0"/>
      <c r="AQ1005" s="0"/>
      <c r="AR1005" s="0"/>
      <c r="AS1005" s="0"/>
      <c r="AT1005" s="0"/>
      <c r="AU1005" s="0"/>
      <c r="AV1005" s="0"/>
      <c r="AW1005" s="0"/>
      <c r="AX1005" s="0"/>
      <c r="AY1005" s="0"/>
      <c r="AZ1005" s="0"/>
      <c r="BA1005" s="0"/>
      <c r="BB1005" s="0"/>
      <c r="BC1005" s="0"/>
      <c r="BD1005" s="0"/>
      <c r="BE1005" s="0"/>
      <c r="BF1005" s="0"/>
      <c r="BG1005" s="0"/>
      <c r="BH1005" s="0"/>
      <c r="BI1005" s="0"/>
      <c r="BJ1005" s="0"/>
      <c r="BK1005" s="0"/>
      <c r="BL1005" s="0"/>
      <c r="BM1005" s="0"/>
      <c r="BN1005" s="0"/>
      <c r="BO1005" s="0"/>
      <c r="BP1005" s="0"/>
      <c r="BQ1005" s="0"/>
      <c r="BR1005" s="0"/>
      <c r="BS1005" s="0"/>
      <c r="BT1005" s="0"/>
      <c r="BU1005" s="0"/>
      <c r="BV1005" s="0"/>
      <c r="BW1005" s="0"/>
      <c r="BX1005" s="0"/>
      <c r="BY1005" s="0"/>
      <c r="BZ1005" s="0"/>
      <c r="CA1005" s="0"/>
      <c r="CB1005" s="0"/>
      <c r="CC1005" s="0"/>
      <c r="CD1005" s="0"/>
      <c r="CE1005" s="0"/>
      <c r="CF1005" s="0"/>
      <c r="CG1005" s="0"/>
      <c r="CH1005" s="0"/>
      <c r="CI1005" s="0"/>
      <c r="CJ1005" s="0"/>
      <c r="CK1005" s="0"/>
      <c r="CL1005" s="0"/>
      <c r="CM1005" s="0"/>
      <c r="CN1005" s="0"/>
      <c r="CO1005" s="0"/>
      <c r="CP1005" s="0"/>
      <c r="CQ1005" s="0"/>
      <c r="CR1005" s="0"/>
      <c r="CS1005" s="0"/>
      <c r="CT1005" s="0"/>
      <c r="CU1005" s="0"/>
      <c r="CV1005" s="0"/>
      <c r="CW1005" s="0"/>
      <c r="CX1005" s="0"/>
      <c r="CY1005" s="0"/>
      <c r="CZ1005" s="0"/>
      <c r="DA1005" s="0"/>
      <c r="DB1005" s="0"/>
      <c r="DC1005" s="0"/>
      <c r="DD1005" s="0"/>
      <c r="DE1005" s="0"/>
      <c r="DF1005" s="0"/>
      <c r="DG1005" s="0"/>
      <c r="DH1005" s="0"/>
      <c r="DI1005" s="0"/>
      <c r="DJ1005" s="0"/>
      <c r="DK1005" s="0"/>
      <c r="DL1005" s="0"/>
      <c r="DM1005" s="0"/>
      <c r="DN1005" s="0"/>
      <c r="DO1005" s="0"/>
      <c r="DP1005" s="0"/>
      <c r="DQ1005" s="0"/>
      <c r="DR1005" s="0"/>
      <c r="DS1005" s="0"/>
      <c r="DT1005" s="0"/>
      <c r="DU1005" s="0"/>
      <c r="DV1005" s="0"/>
      <c r="DW1005" s="0"/>
      <c r="DX1005" s="0"/>
      <c r="DY1005" s="0"/>
      <c r="DZ1005" s="0"/>
      <c r="EA1005" s="0"/>
      <c r="EB1005" s="0"/>
      <c r="EC1005" s="0"/>
      <c r="ED1005" s="0"/>
      <c r="EE1005" s="0"/>
      <c r="EF1005" s="0"/>
      <c r="EG1005" s="0"/>
      <c r="EH1005" s="0"/>
      <c r="EI1005" s="0"/>
      <c r="EJ1005" s="0"/>
      <c r="EK1005" s="0"/>
      <c r="EL1005" s="0"/>
      <c r="EM1005" s="0"/>
      <c r="EN1005" s="0"/>
      <c r="EO1005" s="0"/>
      <c r="EP1005" s="0"/>
      <c r="EQ1005" s="0"/>
      <c r="ER1005" s="0"/>
      <c r="ES1005" s="0"/>
      <c r="ET1005" s="0"/>
      <c r="EU1005" s="0"/>
      <c r="EV1005" s="0"/>
      <c r="EW1005" s="0"/>
      <c r="EX1005" s="0"/>
      <c r="EY1005" s="0"/>
      <c r="EZ1005" s="0"/>
      <c r="FA1005" s="0"/>
      <c r="FB1005" s="0"/>
      <c r="FC1005" s="0"/>
      <c r="FD1005" s="0"/>
      <c r="FE1005" s="0"/>
      <c r="FF1005" s="0"/>
      <c r="FG1005" s="0"/>
      <c r="FH1005" s="0"/>
      <c r="FI1005" s="0"/>
      <c r="FJ1005" s="0"/>
      <c r="FK1005" s="0"/>
      <c r="FL1005" s="0"/>
      <c r="FM1005" s="0"/>
      <c r="FN1005" s="0"/>
      <c r="FO1005" s="0"/>
      <c r="FP1005" s="0"/>
      <c r="FQ1005" s="0"/>
      <c r="FR1005" s="0"/>
      <c r="FS1005" s="0"/>
      <c r="FT1005" s="0"/>
      <c r="FU1005" s="0"/>
      <c r="FV1005" s="0"/>
      <c r="FW1005" s="0"/>
      <c r="FX1005" s="0"/>
      <c r="FY1005" s="0"/>
      <c r="FZ1005" s="0"/>
      <c r="GA1005" s="0"/>
      <c r="GB1005" s="0"/>
      <c r="GC1005" s="0"/>
      <c r="GD1005" s="0"/>
      <c r="GE1005" s="0"/>
      <c r="GF1005" s="0"/>
      <c r="GG1005" s="0"/>
      <c r="GH1005" s="0"/>
      <c r="GI1005" s="0"/>
      <c r="GJ1005" s="0"/>
      <c r="GK1005" s="0"/>
      <c r="GL1005" s="0"/>
      <c r="GM1005" s="0"/>
      <c r="GN1005" s="0"/>
      <c r="GO1005" s="0"/>
      <c r="GP1005" s="0"/>
      <c r="GQ1005" s="0"/>
      <c r="GR1005" s="0"/>
      <c r="GS1005" s="0"/>
      <c r="GT1005" s="0"/>
      <c r="GU1005" s="0"/>
      <c r="GV1005" s="0"/>
      <c r="GW1005" s="0"/>
      <c r="GX1005" s="0"/>
      <c r="GY1005" s="0"/>
      <c r="GZ1005" s="0"/>
      <c r="HA1005" s="0"/>
      <c r="HB1005" s="0"/>
      <c r="HC1005" s="0"/>
      <c r="HD1005" s="0"/>
      <c r="HE1005" s="0"/>
      <c r="HF1005" s="0"/>
      <c r="HG1005" s="0"/>
      <c r="HH1005" s="0"/>
      <c r="HI1005" s="0"/>
      <c r="HJ1005" s="0"/>
      <c r="HK1005" s="0"/>
      <c r="HL1005" s="0"/>
      <c r="HM1005" s="0"/>
      <c r="HN1005" s="0"/>
      <c r="HO1005" s="0"/>
      <c r="HP1005" s="0"/>
      <c r="HQ1005" s="0"/>
      <c r="HR1005" s="0"/>
      <c r="HS1005" s="0"/>
      <c r="HT1005" s="0"/>
      <c r="HU1005" s="0"/>
      <c r="HV1005" s="0"/>
      <c r="HW1005" s="0"/>
      <c r="HX1005" s="0"/>
      <c r="HY1005" s="0"/>
      <c r="HZ1005" s="0"/>
      <c r="IA1005" s="0"/>
      <c r="IB1005" s="0"/>
      <c r="IC1005" s="0"/>
      <c r="ID1005" s="0"/>
      <c r="IE1005" s="0"/>
      <c r="IF1005" s="0"/>
      <c r="IG1005" s="0"/>
      <c r="IH1005" s="0"/>
      <c r="II1005" s="0"/>
      <c r="IJ1005" s="0"/>
      <c r="IK1005" s="0"/>
      <c r="IL1005" s="0"/>
      <c r="IM1005" s="0"/>
      <c r="IN1005" s="0"/>
      <c r="IO1005" s="0"/>
      <c r="IP1005" s="0"/>
      <c r="IQ1005" s="0"/>
      <c r="IR1005" s="0"/>
      <c r="IS1005" s="0"/>
      <c r="IT1005" s="0"/>
      <c r="IU1005" s="0"/>
      <c r="IV1005" s="0"/>
    </row>
    <row r="1006" customFormat="false" ht="20.1" hidden="false" customHeight="true" outlineLevel="0" collapsed="false">
      <c r="A1006" s="14" t="s">
        <v>764</v>
      </c>
      <c r="E1006" s="950" t="s">
        <v>253</v>
      </c>
      <c r="F1006" s="0"/>
      <c r="G1006" s="414"/>
      <c r="H1006" s="414"/>
      <c r="I1006" s="414"/>
      <c r="J1006" s="1253"/>
      <c r="K1006" s="903"/>
      <c r="L1006" s="877"/>
      <c r="M1006" s="0"/>
      <c r="N1006" s="0"/>
      <c r="O1006" s="0"/>
      <c r="P1006" s="0"/>
      <c r="Q1006" s="0"/>
      <c r="R1006" s="0"/>
      <c r="S1006" s="0"/>
      <c r="T1006" s="0"/>
      <c r="U1006" s="0"/>
      <c r="V1006" s="0"/>
      <c r="W1006" s="0"/>
      <c r="X1006" s="0"/>
      <c r="Y1006" s="0"/>
      <c r="Z1006" s="0"/>
      <c r="AA1006" s="0"/>
      <c r="AB1006" s="0"/>
      <c r="AC1006" s="0"/>
      <c r="AD1006" s="0"/>
      <c r="AE1006" s="0"/>
      <c r="AF1006" s="0"/>
      <c r="AG1006" s="0"/>
      <c r="AH1006" s="0"/>
      <c r="AI1006" s="0"/>
      <c r="AJ1006" s="0"/>
      <c r="AK1006" s="0"/>
      <c r="AL1006" s="0"/>
      <c r="AM1006" s="0"/>
      <c r="AN1006" s="0"/>
      <c r="AO1006" s="0"/>
      <c r="AP1006" s="0"/>
      <c r="AQ1006" s="0"/>
      <c r="AR1006" s="0"/>
      <c r="AS1006" s="0"/>
      <c r="AT1006" s="0"/>
      <c r="AU1006" s="0"/>
      <c r="AV1006" s="0"/>
      <c r="AW1006" s="0"/>
      <c r="AX1006" s="0"/>
      <c r="AY1006" s="0"/>
      <c r="AZ1006" s="0"/>
      <c r="BA1006" s="0"/>
      <c r="BB1006" s="0"/>
      <c r="BC1006" s="0"/>
      <c r="BD1006" s="0"/>
      <c r="BE1006" s="0"/>
      <c r="BF1006" s="0"/>
      <c r="BG1006" s="0"/>
      <c r="BH1006" s="0"/>
      <c r="BI1006" s="0"/>
      <c r="BJ1006" s="0"/>
      <c r="BK1006" s="0"/>
      <c r="BL1006" s="0"/>
      <c r="BM1006" s="0"/>
      <c r="BN1006" s="0"/>
      <c r="BO1006" s="0"/>
      <c r="BP1006" s="0"/>
      <c r="BQ1006" s="0"/>
      <c r="BR1006" s="0"/>
      <c r="BS1006" s="0"/>
      <c r="BT1006" s="0"/>
      <c r="BU1006" s="0"/>
      <c r="BV1006" s="0"/>
      <c r="BW1006" s="0"/>
      <c r="BX1006" s="0"/>
      <c r="BY1006" s="0"/>
      <c r="BZ1006" s="0"/>
      <c r="CA1006" s="0"/>
      <c r="CB1006" s="0"/>
      <c r="CC1006" s="0"/>
      <c r="CD1006" s="0"/>
      <c r="CE1006" s="0"/>
      <c r="CF1006" s="0"/>
      <c r="CG1006" s="0"/>
      <c r="CH1006" s="0"/>
      <c r="CI1006" s="0"/>
      <c r="CJ1006" s="0"/>
      <c r="CK1006" s="0"/>
      <c r="CL1006" s="0"/>
      <c r="CM1006" s="0"/>
      <c r="CN1006" s="0"/>
      <c r="CO1006" s="0"/>
      <c r="CP1006" s="0"/>
      <c r="CQ1006" s="0"/>
      <c r="CR1006" s="0"/>
      <c r="CS1006" s="0"/>
      <c r="CT1006" s="0"/>
      <c r="CU1006" s="0"/>
      <c r="CV1006" s="0"/>
      <c r="CW1006" s="0"/>
      <c r="CX1006" s="0"/>
      <c r="CY1006" s="0"/>
      <c r="CZ1006" s="0"/>
      <c r="DA1006" s="0"/>
      <c r="DB1006" s="0"/>
      <c r="DC1006" s="0"/>
      <c r="DD1006" s="0"/>
      <c r="DE1006" s="0"/>
      <c r="DF1006" s="0"/>
      <c r="DG1006" s="0"/>
      <c r="DH1006" s="0"/>
      <c r="DI1006" s="0"/>
      <c r="DJ1006" s="0"/>
      <c r="DK1006" s="0"/>
      <c r="DL1006" s="0"/>
      <c r="DM1006" s="0"/>
      <c r="DN1006" s="0"/>
      <c r="DO1006" s="0"/>
      <c r="DP1006" s="0"/>
      <c r="DQ1006" s="0"/>
      <c r="DR1006" s="0"/>
      <c r="DS1006" s="0"/>
      <c r="DT1006" s="0"/>
      <c r="DU1006" s="0"/>
      <c r="DV1006" s="0"/>
      <c r="DW1006" s="0"/>
      <c r="DX1006" s="0"/>
      <c r="DY1006" s="0"/>
      <c r="DZ1006" s="0"/>
      <c r="EA1006" s="0"/>
      <c r="EB1006" s="0"/>
      <c r="EC1006" s="0"/>
      <c r="ED1006" s="0"/>
      <c r="EE1006" s="0"/>
      <c r="EF1006" s="0"/>
      <c r="EG1006" s="0"/>
      <c r="EH1006" s="0"/>
      <c r="EI1006" s="0"/>
      <c r="EJ1006" s="0"/>
      <c r="EK1006" s="0"/>
      <c r="EL1006" s="0"/>
      <c r="EM1006" s="0"/>
      <c r="EN1006" s="0"/>
      <c r="EO1006" s="0"/>
      <c r="EP1006" s="0"/>
      <c r="EQ1006" s="0"/>
      <c r="ER1006" s="0"/>
      <c r="ES1006" s="0"/>
      <c r="ET1006" s="0"/>
      <c r="EU1006" s="0"/>
      <c r="EV1006" s="0"/>
      <c r="EW1006" s="0"/>
      <c r="EX1006" s="0"/>
      <c r="EY1006" s="0"/>
      <c r="EZ1006" s="0"/>
      <c r="FA1006" s="0"/>
      <c r="FB1006" s="0"/>
      <c r="FC1006" s="0"/>
      <c r="FD1006" s="0"/>
      <c r="FE1006" s="0"/>
      <c r="FF1006" s="0"/>
      <c r="FG1006" s="0"/>
      <c r="FH1006" s="0"/>
      <c r="FI1006" s="0"/>
      <c r="FJ1006" s="0"/>
      <c r="FK1006" s="0"/>
      <c r="FL1006" s="0"/>
      <c r="FM1006" s="0"/>
      <c r="FN1006" s="0"/>
      <c r="FO1006" s="0"/>
      <c r="FP1006" s="0"/>
      <c r="FQ1006" s="0"/>
      <c r="FR1006" s="0"/>
      <c r="FS1006" s="0"/>
      <c r="FT1006" s="0"/>
      <c r="FU1006" s="0"/>
      <c r="FV1006" s="0"/>
      <c r="FW1006" s="0"/>
      <c r="FX1006" s="0"/>
      <c r="FY1006" s="0"/>
      <c r="FZ1006" s="0"/>
      <c r="GA1006" s="0"/>
      <c r="GB1006" s="0"/>
      <c r="GC1006" s="0"/>
      <c r="GD1006" s="0"/>
      <c r="GE1006" s="0"/>
      <c r="GF1006" s="0"/>
      <c r="GG1006" s="0"/>
      <c r="GH1006" s="0"/>
      <c r="GI1006" s="0"/>
      <c r="GJ1006" s="0"/>
      <c r="GK1006" s="0"/>
      <c r="GL1006" s="0"/>
      <c r="GM1006" s="0"/>
      <c r="GN1006" s="0"/>
      <c r="GO1006" s="0"/>
      <c r="GP1006" s="0"/>
      <c r="GQ1006" s="0"/>
      <c r="GR1006" s="0"/>
      <c r="GS1006" s="0"/>
      <c r="GT1006" s="0"/>
      <c r="GU1006" s="0"/>
      <c r="GV1006" s="0"/>
      <c r="GW1006" s="0"/>
      <c r="GX1006" s="0"/>
      <c r="GY1006" s="0"/>
      <c r="GZ1006" s="0"/>
      <c r="HA1006" s="0"/>
      <c r="HB1006" s="0"/>
      <c r="HC1006" s="0"/>
      <c r="HD1006" s="0"/>
      <c r="HE1006" s="0"/>
      <c r="HF1006" s="0"/>
      <c r="HG1006" s="0"/>
      <c r="HH1006" s="0"/>
      <c r="HI1006" s="0"/>
      <c r="HJ1006" s="0"/>
      <c r="HK1006" s="0"/>
      <c r="HL1006" s="0"/>
      <c r="HM1006" s="0"/>
      <c r="HN1006" s="0"/>
      <c r="HO1006" s="0"/>
      <c r="HP1006" s="0"/>
      <c r="HQ1006" s="0"/>
      <c r="HR1006" s="0"/>
      <c r="HS1006" s="0"/>
      <c r="HT1006" s="0"/>
      <c r="HU1006" s="0"/>
      <c r="HV1006" s="0"/>
      <c r="HW1006" s="0"/>
      <c r="HX1006" s="0"/>
      <c r="HY1006" s="0"/>
      <c r="HZ1006" s="0"/>
      <c r="IA1006" s="0"/>
      <c r="IB1006" s="0"/>
      <c r="IC1006" s="0"/>
      <c r="ID1006" s="0"/>
      <c r="IE1006" s="0"/>
      <c r="IF1006" s="0"/>
      <c r="IG1006" s="0"/>
      <c r="IH1006" s="0"/>
      <c r="II1006" s="0"/>
      <c r="IJ1006" s="0"/>
      <c r="IK1006" s="0"/>
      <c r="IL1006" s="0"/>
      <c r="IM1006" s="0"/>
      <c r="IN1006" s="0"/>
      <c r="IO1006" s="0"/>
      <c r="IP1006" s="0"/>
      <c r="IQ1006" s="0"/>
      <c r="IR1006" s="0"/>
      <c r="IS1006" s="0"/>
      <c r="IT1006" s="0"/>
      <c r="IU1006" s="0"/>
      <c r="IV1006" s="0"/>
    </row>
    <row r="1007" customFormat="false" ht="29.25" hidden="false" customHeight="true" outlineLevel="0" collapsed="false">
      <c r="A1007" s="1304" t="s">
        <v>765</v>
      </c>
      <c r="B1007" s="1304"/>
      <c r="C1007" s="1304"/>
      <c r="D1007" s="1304"/>
      <c r="E1007" s="902" t="s">
        <v>253</v>
      </c>
      <c r="G1007" s="414"/>
      <c r="H1007" s="0"/>
      <c r="I1007" s="0"/>
      <c r="J1007" s="0"/>
      <c r="K1007" s="903"/>
      <c r="L1007" s="877"/>
      <c r="M1007" s="0"/>
      <c r="N1007" s="0"/>
      <c r="O1007" s="0"/>
      <c r="P1007" s="0"/>
      <c r="Q1007" s="0"/>
      <c r="R1007" s="0"/>
      <c r="S1007" s="0"/>
      <c r="T1007" s="0"/>
      <c r="U1007" s="0"/>
      <c r="V1007" s="0"/>
      <c r="W1007" s="0"/>
      <c r="X1007" s="0"/>
      <c r="Y1007" s="0"/>
      <c r="Z1007" s="0"/>
      <c r="AA1007" s="0"/>
      <c r="AB1007" s="0"/>
      <c r="AC1007" s="0"/>
      <c r="AD1007" s="0"/>
      <c r="AE1007" s="0"/>
      <c r="AF1007" s="0"/>
      <c r="AG1007" s="0"/>
      <c r="AH1007" s="0"/>
      <c r="AI1007" s="0"/>
      <c r="AJ1007" s="0"/>
      <c r="AK1007" s="0"/>
      <c r="AL1007" s="0"/>
      <c r="AM1007" s="0"/>
      <c r="AN1007" s="0"/>
      <c r="AO1007" s="0"/>
      <c r="AP1007" s="0"/>
      <c r="AQ1007" s="0"/>
      <c r="AR1007" s="0"/>
      <c r="AS1007" s="0"/>
      <c r="AT1007" s="0"/>
      <c r="AU1007" s="0"/>
      <c r="AV1007" s="0"/>
      <c r="AW1007" s="0"/>
      <c r="AX1007" s="0"/>
      <c r="AY1007" s="0"/>
      <c r="AZ1007" s="0"/>
      <c r="BA1007" s="0"/>
      <c r="BB1007" s="0"/>
      <c r="BC1007" s="0"/>
      <c r="BD1007" s="0"/>
      <c r="BE1007" s="0"/>
      <c r="BF1007" s="0"/>
      <c r="BG1007" s="0"/>
      <c r="BH1007" s="0"/>
      <c r="BI1007" s="0"/>
      <c r="BJ1007" s="0"/>
      <c r="BK1007" s="0"/>
      <c r="BL1007" s="0"/>
      <c r="BM1007" s="0"/>
      <c r="BN1007" s="0"/>
      <c r="BO1007" s="0"/>
      <c r="BP1007" s="0"/>
      <c r="BQ1007" s="0"/>
      <c r="BR1007" s="0"/>
      <c r="BS1007" s="0"/>
      <c r="BT1007" s="0"/>
      <c r="BU1007" s="0"/>
      <c r="BV1007" s="0"/>
      <c r="BW1007" s="0"/>
      <c r="BX1007" s="0"/>
      <c r="BY1007" s="0"/>
      <c r="BZ1007" s="0"/>
      <c r="CA1007" s="0"/>
      <c r="CB1007" s="0"/>
      <c r="CC1007" s="0"/>
      <c r="CD1007" s="0"/>
      <c r="CE1007" s="0"/>
      <c r="CF1007" s="0"/>
      <c r="CG1007" s="0"/>
      <c r="CH1007" s="0"/>
      <c r="CI1007" s="0"/>
      <c r="CJ1007" s="0"/>
      <c r="CK1007" s="0"/>
      <c r="CL1007" s="0"/>
      <c r="CM1007" s="0"/>
      <c r="CN1007" s="0"/>
      <c r="CO1007" s="0"/>
      <c r="CP1007" s="0"/>
      <c r="CQ1007" s="0"/>
      <c r="CR1007" s="0"/>
      <c r="CS1007" s="0"/>
      <c r="CT1007" s="0"/>
      <c r="CU1007" s="0"/>
      <c r="CV1007" s="0"/>
      <c r="CW1007" s="0"/>
      <c r="CX1007" s="0"/>
      <c r="CY1007" s="0"/>
      <c r="CZ1007" s="0"/>
      <c r="DA1007" s="0"/>
      <c r="DB1007" s="0"/>
      <c r="DC1007" s="0"/>
      <c r="DD1007" s="0"/>
      <c r="DE1007" s="0"/>
      <c r="DF1007" s="0"/>
      <c r="DG1007" s="0"/>
      <c r="DH1007" s="0"/>
      <c r="DI1007" s="0"/>
      <c r="DJ1007" s="0"/>
      <c r="DK1007" s="0"/>
      <c r="DL1007" s="0"/>
      <c r="DM1007" s="0"/>
      <c r="DN1007" s="0"/>
      <c r="DO1007" s="0"/>
      <c r="DP1007" s="0"/>
      <c r="DQ1007" s="0"/>
      <c r="DR1007" s="0"/>
      <c r="DS1007" s="0"/>
      <c r="DT1007" s="0"/>
      <c r="DU1007" s="0"/>
      <c r="DV1007" s="0"/>
      <c r="DW1007" s="0"/>
      <c r="DX1007" s="0"/>
      <c r="DY1007" s="0"/>
      <c r="DZ1007" s="0"/>
      <c r="EA1007" s="0"/>
      <c r="EB1007" s="0"/>
      <c r="EC1007" s="0"/>
      <c r="ED1007" s="0"/>
      <c r="EE1007" s="0"/>
      <c r="EF1007" s="0"/>
      <c r="EG1007" s="0"/>
      <c r="EH1007" s="0"/>
      <c r="EI1007" s="0"/>
      <c r="EJ1007" s="0"/>
      <c r="EK1007" s="0"/>
      <c r="EL1007" s="0"/>
      <c r="EM1007" s="0"/>
      <c r="EN1007" s="0"/>
      <c r="EO1007" s="0"/>
      <c r="EP1007" s="0"/>
      <c r="EQ1007" s="0"/>
      <c r="ER1007" s="0"/>
      <c r="ES1007" s="0"/>
      <c r="ET1007" s="0"/>
      <c r="EU1007" s="0"/>
      <c r="EV1007" s="0"/>
      <c r="EW1007" s="0"/>
      <c r="EX1007" s="0"/>
      <c r="EY1007" s="0"/>
      <c r="EZ1007" s="0"/>
      <c r="FA1007" s="0"/>
      <c r="FB1007" s="0"/>
      <c r="FC1007" s="0"/>
      <c r="FD1007" s="0"/>
      <c r="FE1007" s="0"/>
      <c r="FF1007" s="0"/>
      <c r="FG1007" s="0"/>
      <c r="FH1007" s="0"/>
      <c r="FI1007" s="0"/>
      <c r="FJ1007" s="0"/>
      <c r="FK1007" s="0"/>
      <c r="FL1007" s="0"/>
      <c r="FM1007" s="0"/>
      <c r="FN1007" s="0"/>
      <c r="FO1007" s="0"/>
      <c r="FP1007" s="0"/>
      <c r="FQ1007" s="0"/>
      <c r="FR1007" s="0"/>
      <c r="FS1007" s="0"/>
      <c r="FT1007" s="0"/>
      <c r="FU1007" s="0"/>
      <c r="FV1007" s="0"/>
      <c r="FW1007" s="0"/>
      <c r="FX1007" s="0"/>
      <c r="FY1007" s="0"/>
      <c r="FZ1007" s="0"/>
      <c r="GA1007" s="0"/>
      <c r="GB1007" s="0"/>
      <c r="GC1007" s="0"/>
      <c r="GD1007" s="0"/>
      <c r="GE1007" s="0"/>
      <c r="GF1007" s="0"/>
      <c r="GG1007" s="0"/>
      <c r="GH1007" s="0"/>
      <c r="GI1007" s="0"/>
      <c r="GJ1007" s="0"/>
      <c r="GK1007" s="0"/>
      <c r="GL1007" s="0"/>
      <c r="GM1007" s="0"/>
      <c r="GN1007" s="0"/>
      <c r="GO1007" s="0"/>
      <c r="GP1007" s="0"/>
      <c r="GQ1007" s="0"/>
      <c r="GR1007" s="0"/>
      <c r="GS1007" s="0"/>
      <c r="GT1007" s="0"/>
      <c r="GU1007" s="0"/>
      <c r="GV1007" s="0"/>
      <c r="GW1007" s="0"/>
      <c r="GX1007" s="0"/>
      <c r="GY1007" s="0"/>
      <c r="GZ1007" s="0"/>
      <c r="HA1007" s="0"/>
      <c r="HB1007" s="0"/>
      <c r="HC1007" s="0"/>
      <c r="HD1007" s="0"/>
      <c r="HE1007" s="0"/>
      <c r="HF1007" s="0"/>
      <c r="HG1007" s="0"/>
      <c r="HH1007" s="0"/>
      <c r="HI1007" s="0"/>
      <c r="HJ1007" s="0"/>
      <c r="HK1007" s="0"/>
      <c r="HL1007" s="0"/>
      <c r="HM1007" s="0"/>
      <c r="HN1007" s="0"/>
      <c r="HO1007" s="0"/>
      <c r="HP1007" s="0"/>
      <c r="HQ1007" s="0"/>
      <c r="HR1007" s="0"/>
      <c r="HS1007" s="0"/>
      <c r="HT1007" s="0"/>
      <c r="HU1007" s="0"/>
      <c r="HV1007" s="0"/>
      <c r="HW1007" s="0"/>
      <c r="HX1007" s="0"/>
      <c r="HY1007" s="0"/>
      <c r="HZ1007" s="0"/>
      <c r="IA1007" s="0"/>
      <c r="IB1007" s="0"/>
      <c r="IC1007" s="0"/>
      <c r="ID1007" s="0"/>
      <c r="IE1007" s="0"/>
      <c r="IF1007" s="0"/>
      <c r="IG1007" s="0"/>
      <c r="IH1007" s="0"/>
      <c r="II1007" s="0"/>
      <c r="IJ1007" s="0"/>
      <c r="IK1007" s="0"/>
      <c r="IL1007" s="0"/>
      <c r="IM1007" s="0"/>
      <c r="IN1007" s="0"/>
      <c r="IO1007" s="0"/>
      <c r="IP1007" s="0"/>
      <c r="IQ1007" s="0"/>
      <c r="IR1007" s="0"/>
      <c r="IS1007" s="0"/>
      <c r="IT1007" s="0"/>
      <c r="IU1007" s="0"/>
      <c r="IV1007" s="0"/>
    </row>
    <row r="1008" s="1305" customFormat="true" ht="15" hidden="false" customHeight="true" outlineLevel="0" collapsed="false">
      <c r="A1008" s="1134" t="s">
        <v>766</v>
      </c>
      <c r="B1008" s="1134"/>
      <c r="C1008" s="1134"/>
      <c r="D1008" s="1134"/>
      <c r="G1008" s="1306"/>
      <c r="K1008" s="1307"/>
      <c r="L1008" s="1125"/>
    </row>
    <row r="1009" customFormat="false" ht="15.75" hidden="false" customHeight="true" outlineLevel="0" collapsed="false">
      <c r="F1009" s="414"/>
      <c r="G1009" s="414"/>
      <c r="H1009" s="414"/>
      <c r="I1009" s="414"/>
      <c r="J1009" s="1253"/>
      <c r="K1009" s="903"/>
      <c r="L1009" s="877"/>
    </row>
    <row r="1010" customFormat="false" ht="15.75" hidden="false" customHeight="true" outlineLevel="0" collapsed="false">
      <c r="A1010" s="14" t="s">
        <v>1680</v>
      </c>
      <c r="E1010" s="950" t="s">
        <v>253</v>
      </c>
      <c r="F1010" s="414"/>
      <c r="G1010" s="414"/>
      <c r="H1010" s="414"/>
      <c r="I1010" s="414"/>
      <c r="J1010" s="1253"/>
      <c r="K1010" s="903"/>
      <c r="L1010" s="877"/>
    </row>
    <row r="1011" customFormat="false" ht="15" hidden="false" customHeight="true" outlineLevel="0" collapsed="false">
      <c r="A1011" s="443" t="s">
        <v>1681</v>
      </c>
      <c r="B1011" s="0"/>
      <c r="C1011" s="0"/>
      <c r="D1011" s="0"/>
      <c r="E1011" s="414"/>
      <c r="F1011" s="414"/>
      <c r="G1011" s="414"/>
      <c r="H1011" s="414"/>
      <c r="I1011" s="414"/>
      <c r="J1011" s="1253"/>
      <c r="K1011" s="903"/>
      <c r="L1011" s="877"/>
    </row>
    <row r="1012" customFormat="false" ht="15.75" hidden="false" customHeight="true" outlineLevel="0" collapsed="false">
      <c r="A1012" s="443"/>
      <c r="B1012" s="0"/>
      <c r="C1012" s="0"/>
      <c r="D1012" s="0"/>
      <c r="E1012" s="414"/>
      <c r="F1012" s="414"/>
      <c r="G1012" s="414"/>
      <c r="H1012" s="414"/>
      <c r="I1012" s="414"/>
      <c r="J1012" s="1253"/>
      <c r="K1012" s="903"/>
      <c r="L1012" s="877"/>
    </row>
    <row r="1013" customFormat="false" ht="15.75" hidden="false" customHeight="true" outlineLevel="0" collapsed="false">
      <c r="A1013" s="14" t="s">
        <v>768</v>
      </c>
      <c r="B1013" s="0"/>
      <c r="C1013" s="0"/>
      <c r="D1013" s="0"/>
      <c r="E1013" s="1119" t="n">
        <f aca="false">SUM(F1014:F1016)</f>
        <v>3</v>
      </c>
      <c r="G1013" s="0"/>
      <c r="H1013" s="0"/>
      <c r="I1013" s="0"/>
      <c r="K1013" s="903"/>
      <c r="L1013" s="877"/>
      <c r="M1013" s="0"/>
      <c r="N1013" s="0"/>
      <c r="O1013" s="0"/>
      <c r="P1013" s="0"/>
      <c r="Q1013" s="0"/>
      <c r="R1013" s="0"/>
      <c r="S1013" s="0"/>
      <c r="T1013" s="0"/>
      <c r="U1013" s="0"/>
      <c r="V1013" s="0"/>
      <c r="W1013" s="0"/>
      <c r="X1013" s="0"/>
      <c r="Y1013" s="0"/>
      <c r="Z1013" s="0"/>
      <c r="AA1013" s="0"/>
      <c r="AB1013" s="0"/>
      <c r="AC1013" s="0"/>
      <c r="AD1013" s="0"/>
      <c r="AE1013" s="0"/>
      <c r="AF1013" s="0"/>
      <c r="AG1013" s="0"/>
      <c r="AH1013" s="0"/>
      <c r="AI1013" s="0"/>
      <c r="AJ1013" s="0"/>
      <c r="AK1013" s="0"/>
      <c r="AL1013" s="0"/>
      <c r="AM1013" s="0"/>
      <c r="AN1013" s="0"/>
      <c r="AO1013" s="0"/>
      <c r="AP1013" s="0"/>
      <c r="AQ1013" s="0"/>
      <c r="AR1013" s="0"/>
      <c r="AS1013" s="0"/>
      <c r="AT1013" s="0"/>
      <c r="AU1013" s="0"/>
      <c r="AV1013" s="0"/>
      <c r="AW1013" s="0"/>
      <c r="AX1013" s="0"/>
      <c r="AY1013" s="0"/>
      <c r="AZ1013" s="0"/>
      <c r="BA1013" s="0"/>
      <c r="BB1013" s="0"/>
      <c r="BC1013" s="0"/>
      <c r="BD1013" s="0"/>
      <c r="BE1013" s="0"/>
      <c r="BF1013" s="0"/>
      <c r="BG1013" s="0"/>
      <c r="BH1013" s="0"/>
      <c r="BI1013" s="0"/>
      <c r="BJ1013" s="0"/>
      <c r="BK1013" s="0"/>
      <c r="BL1013" s="0"/>
      <c r="BM1013" s="0"/>
      <c r="BN1013" s="0"/>
      <c r="BO1013" s="0"/>
      <c r="BP1013" s="0"/>
      <c r="BQ1013" s="0"/>
      <c r="BR1013" s="0"/>
      <c r="BS1013" s="0"/>
      <c r="BT1013" s="0"/>
      <c r="BU1013" s="0"/>
      <c r="BV1013" s="0"/>
      <c r="BW1013" s="0"/>
      <c r="BX1013" s="0"/>
      <c r="BY1013" s="0"/>
      <c r="BZ1013" s="0"/>
      <c r="CA1013" s="0"/>
      <c r="CB1013" s="0"/>
      <c r="CC1013" s="0"/>
      <c r="CD1013" s="0"/>
      <c r="CE1013" s="0"/>
      <c r="CF1013" s="0"/>
      <c r="CG1013" s="0"/>
      <c r="CH1013" s="0"/>
      <c r="CI1013" s="0"/>
      <c r="CJ1013" s="0"/>
      <c r="CK1013" s="0"/>
      <c r="CL1013" s="0"/>
      <c r="CM1013" s="0"/>
      <c r="CN1013" s="0"/>
      <c r="CO1013" s="0"/>
      <c r="CP1013" s="0"/>
      <c r="CQ1013" s="0"/>
      <c r="CR1013" s="0"/>
      <c r="CS1013" s="0"/>
      <c r="CT1013" s="0"/>
      <c r="CU1013" s="0"/>
      <c r="CV1013" s="0"/>
      <c r="CW1013" s="0"/>
      <c r="CX1013" s="0"/>
      <c r="CY1013" s="0"/>
      <c r="CZ1013" s="0"/>
      <c r="DA1013" s="0"/>
      <c r="DB1013" s="0"/>
      <c r="DC1013" s="0"/>
      <c r="DD1013" s="0"/>
      <c r="DE1013" s="0"/>
      <c r="DF1013" s="0"/>
      <c r="DG1013" s="0"/>
      <c r="DH1013" s="0"/>
      <c r="DI1013" s="0"/>
      <c r="DJ1013" s="0"/>
      <c r="DK1013" s="0"/>
      <c r="DL1013" s="0"/>
      <c r="DM1013" s="0"/>
      <c r="DN1013" s="0"/>
      <c r="DO1013" s="0"/>
      <c r="DP1013" s="0"/>
      <c r="DQ1013" s="0"/>
      <c r="DR1013" s="0"/>
      <c r="DS1013" s="0"/>
      <c r="DT1013" s="0"/>
      <c r="DU1013" s="0"/>
      <c r="DV1013" s="0"/>
      <c r="DW1013" s="0"/>
      <c r="DX1013" s="0"/>
      <c r="DY1013" s="0"/>
      <c r="DZ1013" s="0"/>
      <c r="EA1013" s="0"/>
      <c r="EB1013" s="0"/>
      <c r="EC1013" s="0"/>
      <c r="ED1013" s="0"/>
      <c r="EE1013" s="0"/>
      <c r="EF1013" s="0"/>
      <c r="EG1013" s="0"/>
      <c r="EH1013" s="0"/>
      <c r="EI1013" s="0"/>
      <c r="EJ1013" s="0"/>
      <c r="EK1013" s="0"/>
      <c r="EL1013" s="0"/>
      <c r="EM1013" s="0"/>
      <c r="EN1013" s="0"/>
      <c r="EO1013" s="0"/>
      <c r="EP1013" s="0"/>
      <c r="EQ1013" s="0"/>
      <c r="ER1013" s="0"/>
      <c r="ES1013" s="0"/>
      <c r="ET1013" s="0"/>
      <c r="EU1013" s="0"/>
      <c r="EV1013" s="0"/>
      <c r="EW1013" s="0"/>
      <c r="EX1013" s="0"/>
      <c r="EY1013" s="0"/>
      <c r="EZ1013" s="0"/>
      <c r="FA1013" s="0"/>
      <c r="FB1013" s="0"/>
      <c r="FC1013" s="0"/>
      <c r="FD1013" s="0"/>
      <c r="FE1013" s="0"/>
      <c r="FF1013" s="0"/>
      <c r="FG1013" s="0"/>
      <c r="FH1013" s="0"/>
      <c r="FI1013" s="0"/>
      <c r="FJ1013" s="0"/>
      <c r="FK1013" s="0"/>
      <c r="FL1013" s="0"/>
      <c r="FM1013" s="0"/>
      <c r="FN1013" s="0"/>
      <c r="FO1013" s="0"/>
      <c r="FP1013" s="0"/>
      <c r="FQ1013" s="0"/>
      <c r="FR1013" s="0"/>
      <c r="FS1013" s="0"/>
      <c r="FT1013" s="0"/>
      <c r="FU1013" s="0"/>
      <c r="FV1013" s="0"/>
      <c r="FW1013" s="0"/>
      <c r="FX1013" s="0"/>
      <c r="FY1013" s="0"/>
      <c r="FZ1013" s="0"/>
      <c r="GA1013" s="0"/>
      <c r="GB1013" s="0"/>
      <c r="GC1013" s="0"/>
      <c r="GD1013" s="0"/>
      <c r="GE1013" s="0"/>
      <c r="GF1013" s="0"/>
      <c r="GG1013" s="0"/>
      <c r="GH1013" s="0"/>
      <c r="GI1013" s="0"/>
      <c r="GJ1013" s="0"/>
      <c r="GK1013" s="0"/>
      <c r="GL1013" s="0"/>
      <c r="GM1013" s="0"/>
      <c r="GN1013" s="0"/>
      <c r="GO1013" s="0"/>
      <c r="GP1013" s="0"/>
      <c r="GQ1013" s="0"/>
      <c r="GR1013" s="0"/>
      <c r="GS1013" s="0"/>
      <c r="GT1013" s="0"/>
      <c r="GU1013" s="0"/>
      <c r="GV1013" s="0"/>
      <c r="GW1013" s="0"/>
      <c r="GX1013" s="0"/>
      <c r="GY1013" s="0"/>
      <c r="GZ1013" s="0"/>
      <c r="HA1013" s="0"/>
      <c r="HB1013" s="0"/>
      <c r="HC1013" s="0"/>
      <c r="HD1013" s="0"/>
      <c r="HE1013" s="0"/>
      <c r="HF1013" s="0"/>
      <c r="HG1013" s="0"/>
      <c r="HH1013" s="0"/>
      <c r="HI1013" s="0"/>
      <c r="HJ1013" s="0"/>
      <c r="HK1013" s="0"/>
      <c r="HL1013" s="0"/>
      <c r="HM1013" s="0"/>
      <c r="HN1013" s="0"/>
      <c r="HO1013" s="0"/>
      <c r="HP1013" s="0"/>
      <c r="HQ1013" s="0"/>
      <c r="HR1013" s="0"/>
      <c r="HS1013" s="0"/>
      <c r="HT1013" s="0"/>
      <c r="HU1013" s="0"/>
      <c r="HV1013" s="0"/>
      <c r="HW1013" s="0"/>
      <c r="HX1013" s="0"/>
      <c r="HY1013" s="0"/>
      <c r="HZ1013" s="0"/>
      <c r="IA1013" s="0"/>
      <c r="IB1013" s="0"/>
      <c r="IC1013" s="0"/>
      <c r="ID1013" s="0"/>
      <c r="IE1013" s="0"/>
      <c r="IF1013" s="0"/>
      <c r="IG1013" s="0"/>
      <c r="IH1013" s="0"/>
      <c r="II1013" s="0"/>
      <c r="IJ1013" s="0"/>
      <c r="IK1013" s="0"/>
      <c r="IL1013" s="0"/>
      <c r="IM1013" s="0"/>
      <c r="IN1013" s="0"/>
      <c r="IO1013" s="0"/>
      <c r="IP1013" s="0"/>
      <c r="IQ1013" s="0"/>
      <c r="IR1013" s="0"/>
      <c r="IS1013" s="0"/>
      <c r="IT1013" s="0"/>
      <c r="IU1013" s="0"/>
      <c r="IV1013" s="0"/>
    </row>
    <row r="1014" customFormat="false" ht="15.75" hidden="false" customHeight="true" outlineLevel="0" collapsed="false">
      <c r="A1014" s="11" t="s">
        <v>769</v>
      </c>
      <c r="B1014" s="0"/>
      <c r="C1014" s="0"/>
      <c r="D1014" s="0"/>
      <c r="E1014" s="1257" t="s">
        <v>254</v>
      </c>
      <c r="F1014" s="1284" t="n">
        <f aca="false">IF(E1014="non",1,0)</f>
        <v>1</v>
      </c>
      <c r="H1014" s="0"/>
      <c r="I1014" s="0"/>
      <c r="K1014" s="903"/>
      <c r="L1014" s="877"/>
      <c r="M1014" s="0"/>
      <c r="N1014" s="0"/>
      <c r="O1014" s="0"/>
      <c r="P1014" s="0"/>
      <c r="Q1014" s="0"/>
      <c r="R1014" s="0"/>
      <c r="S1014" s="0"/>
      <c r="T1014" s="0"/>
      <c r="U1014" s="0"/>
      <c r="V1014" s="0"/>
      <c r="W1014" s="0"/>
      <c r="X1014" s="0"/>
      <c r="Y1014" s="0"/>
      <c r="Z1014" s="0"/>
      <c r="AA1014" s="0"/>
      <c r="AB1014" s="0"/>
      <c r="AC1014" s="0"/>
      <c r="AD1014" s="0"/>
      <c r="AE1014" s="0"/>
      <c r="AF1014" s="0"/>
      <c r="AG1014" s="0"/>
      <c r="AH1014" s="0"/>
      <c r="AI1014" s="0"/>
      <c r="AJ1014" s="0"/>
      <c r="AK1014" s="0"/>
      <c r="AL1014" s="0"/>
      <c r="AM1014" s="0"/>
      <c r="AN1014" s="0"/>
      <c r="AO1014" s="0"/>
      <c r="AP1014" s="0"/>
      <c r="AQ1014" s="0"/>
      <c r="AR1014" s="0"/>
      <c r="AS1014" s="0"/>
      <c r="AT1014" s="0"/>
      <c r="AU1014" s="0"/>
      <c r="AV1014" s="0"/>
      <c r="AW1014" s="0"/>
      <c r="AX1014" s="0"/>
      <c r="AY1014" s="0"/>
      <c r="AZ1014" s="0"/>
      <c r="BA1014" s="0"/>
      <c r="BB1014" s="0"/>
      <c r="BC1014" s="0"/>
      <c r="BD1014" s="0"/>
      <c r="BE1014" s="0"/>
      <c r="BF1014" s="0"/>
      <c r="BG1014" s="0"/>
      <c r="BH1014" s="0"/>
      <c r="BI1014" s="0"/>
      <c r="BJ1014" s="0"/>
      <c r="BK1014" s="0"/>
      <c r="BL1014" s="0"/>
      <c r="BM1014" s="0"/>
      <c r="BN1014" s="0"/>
      <c r="BO1014" s="0"/>
      <c r="BP1014" s="0"/>
      <c r="BQ1014" s="0"/>
      <c r="BR1014" s="0"/>
      <c r="BS1014" s="0"/>
      <c r="BT1014" s="0"/>
      <c r="BU1014" s="0"/>
      <c r="BV1014" s="0"/>
      <c r="BW1014" s="0"/>
      <c r="BX1014" s="0"/>
      <c r="BY1014" s="0"/>
      <c r="BZ1014" s="0"/>
      <c r="CA1014" s="0"/>
      <c r="CB1014" s="0"/>
      <c r="CC1014" s="0"/>
      <c r="CD1014" s="0"/>
      <c r="CE1014" s="0"/>
      <c r="CF1014" s="0"/>
      <c r="CG1014" s="0"/>
      <c r="CH1014" s="0"/>
      <c r="CI1014" s="0"/>
      <c r="CJ1014" s="0"/>
      <c r="CK1014" s="0"/>
      <c r="CL1014" s="0"/>
      <c r="CM1014" s="0"/>
      <c r="CN1014" s="0"/>
      <c r="CO1014" s="0"/>
      <c r="CP1014" s="0"/>
      <c r="CQ1014" s="0"/>
      <c r="CR1014" s="0"/>
      <c r="CS1014" s="0"/>
      <c r="CT1014" s="0"/>
      <c r="CU1014" s="0"/>
      <c r="CV1014" s="0"/>
      <c r="CW1014" s="0"/>
      <c r="CX1014" s="0"/>
      <c r="CY1014" s="0"/>
      <c r="CZ1014" s="0"/>
      <c r="DA1014" s="0"/>
      <c r="DB1014" s="0"/>
      <c r="DC1014" s="0"/>
      <c r="DD1014" s="0"/>
      <c r="DE1014" s="0"/>
      <c r="DF1014" s="0"/>
      <c r="DG1014" s="0"/>
      <c r="DH1014" s="0"/>
      <c r="DI1014" s="0"/>
      <c r="DJ1014" s="0"/>
      <c r="DK1014" s="0"/>
      <c r="DL1014" s="0"/>
      <c r="DM1014" s="0"/>
      <c r="DN1014" s="0"/>
      <c r="DO1014" s="0"/>
      <c r="DP1014" s="0"/>
      <c r="DQ1014" s="0"/>
      <c r="DR1014" s="0"/>
      <c r="DS1014" s="0"/>
      <c r="DT1014" s="0"/>
      <c r="DU1014" s="0"/>
      <c r="DV1014" s="0"/>
      <c r="DW1014" s="0"/>
      <c r="DX1014" s="0"/>
      <c r="DY1014" s="0"/>
      <c r="DZ1014" s="0"/>
      <c r="EA1014" s="0"/>
      <c r="EB1014" s="0"/>
      <c r="EC1014" s="0"/>
      <c r="ED1014" s="0"/>
      <c r="EE1014" s="0"/>
      <c r="EF1014" s="0"/>
      <c r="EG1014" s="0"/>
      <c r="EH1014" s="0"/>
      <c r="EI1014" s="0"/>
      <c r="EJ1014" s="0"/>
      <c r="EK1014" s="0"/>
      <c r="EL1014" s="0"/>
      <c r="EM1014" s="0"/>
      <c r="EN1014" s="0"/>
      <c r="EO1014" s="0"/>
      <c r="EP1014" s="0"/>
      <c r="EQ1014" s="0"/>
      <c r="ER1014" s="0"/>
      <c r="ES1014" s="0"/>
      <c r="ET1014" s="0"/>
      <c r="EU1014" s="0"/>
      <c r="EV1014" s="0"/>
      <c r="EW1014" s="0"/>
      <c r="EX1014" s="0"/>
      <c r="EY1014" s="0"/>
      <c r="EZ1014" s="0"/>
      <c r="FA1014" s="0"/>
      <c r="FB1014" s="0"/>
      <c r="FC1014" s="0"/>
      <c r="FD1014" s="0"/>
      <c r="FE1014" s="0"/>
      <c r="FF1014" s="0"/>
      <c r="FG1014" s="0"/>
      <c r="FH1014" s="0"/>
      <c r="FI1014" s="0"/>
      <c r="FJ1014" s="0"/>
      <c r="FK1014" s="0"/>
      <c r="FL1014" s="0"/>
      <c r="FM1014" s="0"/>
      <c r="FN1014" s="0"/>
      <c r="FO1014" s="0"/>
      <c r="FP1014" s="0"/>
      <c r="FQ1014" s="0"/>
      <c r="FR1014" s="0"/>
      <c r="FS1014" s="0"/>
      <c r="FT1014" s="0"/>
      <c r="FU1014" s="0"/>
      <c r="FV1014" s="0"/>
      <c r="FW1014" s="0"/>
      <c r="FX1014" s="0"/>
      <c r="FY1014" s="0"/>
      <c r="FZ1014" s="0"/>
      <c r="GA1014" s="0"/>
      <c r="GB1014" s="0"/>
      <c r="GC1014" s="0"/>
      <c r="GD1014" s="0"/>
      <c r="GE1014" s="0"/>
      <c r="GF1014" s="0"/>
      <c r="GG1014" s="0"/>
      <c r="GH1014" s="0"/>
      <c r="GI1014" s="0"/>
      <c r="GJ1014" s="0"/>
      <c r="GK1014" s="0"/>
      <c r="GL1014" s="0"/>
      <c r="GM1014" s="0"/>
      <c r="GN1014" s="0"/>
      <c r="GO1014" s="0"/>
      <c r="GP1014" s="0"/>
      <c r="GQ1014" s="0"/>
      <c r="GR1014" s="0"/>
      <c r="GS1014" s="0"/>
      <c r="GT1014" s="0"/>
      <c r="GU1014" s="0"/>
      <c r="GV1014" s="0"/>
      <c r="GW1014" s="0"/>
      <c r="GX1014" s="0"/>
      <c r="GY1014" s="0"/>
      <c r="GZ1014" s="0"/>
      <c r="HA1014" s="0"/>
      <c r="HB1014" s="0"/>
      <c r="HC1014" s="0"/>
      <c r="HD1014" s="0"/>
      <c r="HE1014" s="0"/>
      <c r="HF1014" s="0"/>
      <c r="HG1014" s="0"/>
      <c r="HH1014" s="0"/>
      <c r="HI1014" s="0"/>
      <c r="HJ1014" s="0"/>
      <c r="HK1014" s="0"/>
      <c r="HL1014" s="0"/>
      <c r="HM1014" s="0"/>
      <c r="HN1014" s="0"/>
      <c r="HO1014" s="0"/>
      <c r="HP1014" s="0"/>
      <c r="HQ1014" s="0"/>
      <c r="HR1014" s="0"/>
      <c r="HS1014" s="0"/>
      <c r="HT1014" s="0"/>
      <c r="HU1014" s="0"/>
      <c r="HV1014" s="0"/>
      <c r="HW1014" s="0"/>
      <c r="HX1014" s="0"/>
      <c r="HY1014" s="0"/>
      <c r="HZ1014" s="0"/>
      <c r="IA1014" s="0"/>
      <c r="IB1014" s="0"/>
      <c r="IC1014" s="0"/>
      <c r="ID1014" s="0"/>
      <c r="IE1014" s="0"/>
      <c r="IF1014" s="0"/>
      <c r="IG1014" s="0"/>
      <c r="IH1014" s="0"/>
      <c r="II1014" s="0"/>
      <c r="IJ1014" s="0"/>
      <c r="IK1014" s="0"/>
      <c r="IL1014" s="0"/>
      <c r="IM1014" s="0"/>
      <c r="IN1014" s="0"/>
      <c r="IO1014" s="0"/>
      <c r="IP1014" s="0"/>
      <c r="IQ1014" s="0"/>
      <c r="IR1014" s="0"/>
      <c r="IS1014" s="0"/>
      <c r="IT1014" s="0"/>
      <c r="IU1014" s="0"/>
      <c r="IV1014" s="0"/>
    </row>
    <row r="1015" customFormat="false" ht="15.75" hidden="false" customHeight="true" outlineLevel="0" collapsed="false">
      <c r="A1015" s="11" t="s">
        <v>1682</v>
      </c>
      <c r="B1015" s="0"/>
      <c r="C1015" s="0"/>
      <c r="D1015" s="0"/>
      <c r="E1015" s="1257" t="s">
        <v>1683</v>
      </c>
      <c r="F1015" s="1284" t="n">
        <f aca="false">IF(E1015="variées",1,0)</f>
        <v>1</v>
      </c>
      <c r="H1015" s="0"/>
      <c r="I1015" s="0"/>
      <c r="K1015" s="903"/>
      <c r="L1015" s="877"/>
      <c r="M1015" s="0"/>
      <c r="N1015" s="0"/>
      <c r="O1015" s="0"/>
      <c r="P1015" s="0"/>
      <c r="Q1015" s="0"/>
      <c r="R1015" s="0"/>
      <c r="S1015" s="0"/>
      <c r="T1015" s="0"/>
      <c r="U1015" s="0"/>
      <c r="V1015" s="0"/>
      <c r="W1015" s="0"/>
      <c r="X1015" s="0"/>
      <c r="Y1015" s="0"/>
      <c r="Z1015" s="0"/>
      <c r="AA1015" s="0"/>
      <c r="AB1015" s="0"/>
      <c r="AC1015" s="0"/>
      <c r="AD1015" s="0"/>
      <c r="AE1015" s="0"/>
      <c r="AF1015" s="0"/>
      <c r="AG1015" s="0"/>
      <c r="AH1015" s="0"/>
      <c r="AI1015" s="0"/>
      <c r="AJ1015" s="0"/>
      <c r="AK1015" s="0"/>
      <c r="AL1015" s="0"/>
      <c r="AM1015" s="0"/>
      <c r="AN1015" s="0"/>
      <c r="AO1015" s="0"/>
      <c r="AP1015" s="0"/>
      <c r="AQ1015" s="0"/>
      <c r="AR1015" s="0"/>
      <c r="AS1015" s="0"/>
      <c r="AT1015" s="0"/>
      <c r="AU1015" s="0"/>
      <c r="AV1015" s="0"/>
      <c r="AW1015" s="0"/>
      <c r="AX1015" s="0"/>
      <c r="AY1015" s="0"/>
      <c r="AZ1015" s="0"/>
      <c r="BA1015" s="0"/>
      <c r="BB1015" s="0"/>
      <c r="BC1015" s="0"/>
      <c r="BD1015" s="0"/>
      <c r="BE1015" s="0"/>
      <c r="BF1015" s="0"/>
      <c r="BG1015" s="0"/>
      <c r="BH1015" s="0"/>
      <c r="BI1015" s="0"/>
      <c r="BJ1015" s="0"/>
      <c r="BK1015" s="0"/>
      <c r="BL1015" s="0"/>
      <c r="BM1015" s="0"/>
      <c r="BN1015" s="0"/>
      <c r="BO1015" s="0"/>
      <c r="BP1015" s="0"/>
      <c r="BQ1015" s="0"/>
      <c r="BR1015" s="0"/>
      <c r="BS1015" s="0"/>
      <c r="BT1015" s="0"/>
      <c r="BU1015" s="0"/>
      <c r="BV1015" s="0"/>
      <c r="BW1015" s="0"/>
      <c r="BX1015" s="0"/>
      <c r="BY1015" s="0"/>
      <c r="BZ1015" s="0"/>
      <c r="CA1015" s="0"/>
      <c r="CB1015" s="0"/>
      <c r="CC1015" s="0"/>
      <c r="CD1015" s="0"/>
      <c r="CE1015" s="0"/>
      <c r="CF1015" s="0"/>
      <c r="CG1015" s="0"/>
      <c r="CH1015" s="0"/>
      <c r="CI1015" s="0"/>
      <c r="CJ1015" s="0"/>
      <c r="CK1015" s="0"/>
      <c r="CL1015" s="0"/>
      <c r="CM1015" s="0"/>
      <c r="CN1015" s="0"/>
      <c r="CO1015" s="0"/>
      <c r="CP1015" s="0"/>
      <c r="CQ1015" s="0"/>
      <c r="CR1015" s="0"/>
      <c r="CS1015" s="0"/>
      <c r="CT1015" s="0"/>
      <c r="CU1015" s="0"/>
      <c r="CV1015" s="0"/>
      <c r="CW1015" s="0"/>
      <c r="CX1015" s="0"/>
      <c r="CY1015" s="0"/>
      <c r="CZ1015" s="0"/>
      <c r="DA1015" s="0"/>
      <c r="DB1015" s="0"/>
      <c r="DC1015" s="0"/>
      <c r="DD1015" s="0"/>
      <c r="DE1015" s="0"/>
      <c r="DF1015" s="0"/>
      <c r="DG1015" s="0"/>
      <c r="DH1015" s="0"/>
      <c r="DI1015" s="0"/>
      <c r="DJ1015" s="0"/>
      <c r="DK1015" s="0"/>
      <c r="DL1015" s="0"/>
      <c r="DM1015" s="0"/>
      <c r="DN1015" s="0"/>
      <c r="DO1015" s="0"/>
      <c r="DP1015" s="0"/>
      <c r="DQ1015" s="0"/>
      <c r="DR1015" s="0"/>
      <c r="DS1015" s="0"/>
      <c r="DT1015" s="0"/>
      <c r="DU1015" s="0"/>
      <c r="DV1015" s="0"/>
      <c r="DW1015" s="0"/>
      <c r="DX1015" s="0"/>
      <c r="DY1015" s="0"/>
      <c r="DZ1015" s="0"/>
      <c r="EA1015" s="0"/>
      <c r="EB1015" s="0"/>
      <c r="EC1015" s="0"/>
      <c r="ED1015" s="0"/>
      <c r="EE1015" s="0"/>
      <c r="EF1015" s="0"/>
      <c r="EG1015" s="0"/>
      <c r="EH1015" s="0"/>
      <c r="EI1015" s="0"/>
      <c r="EJ1015" s="0"/>
      <c r="EK1015" s="0"/>
      <c r="EL1015" s="0"/>
      <c r="EM1015" s="0"/>
      <c r="EN1015" s="0"/>
      <c r="EO1015" s="0"/>
      <c r="EP1015" s="0"/>
      <c r="EQ1015" s="0"/>
      <c r="ER1015" s="0"/>
      <c r="ES1015" s="0"/>
      <c r="ET1015" s="0"/>
      <c r="EU1015" s="0"/>
      <c r="EV1015" s="0"/>
      <c r="EW1015" s="0"/>
      <c r="EX1015" s="0"/>
      <c r="EY1015" s="0"/>
      <c r="EZ1015" s="0"/>
      <c r="FA1015" s="0"/>
      <c r="FB1015" s="0"/>
      <c r="FC1015" s="0"/>
      <c r="FD1015" s="0"/>
      <c r="FE1015" s="0"/>
      <c r="FF1015" s="0"/>
      <c r="FG1015" s="0"/>
      <c r="FH1015" s="0"/>
      <c r="FI1015" s="0"/>
      <c r="FJ1015" s="0"/>
      <c r="FK1015" s="0"/>
      <c r="FL1015" s="0"/>
      <c r="FM1015" s="0"/>
      <c r="FN1015" s="0"/>
      <c r="FO1015" s="0"/>
      <c r="FP1015" s="0"/>
      <c r="FQ1015" s="0"/>
      <c r="FR1015" s="0"/>
      <c r="FS1015" s="0"/>
      <c r="FT1015" s="0"/>
      <c r="FU1015" s="0"/>
      <c r="FV1015" s="0"/>
      <c r="FW1015" s="0"/>
      <c r="FX1015" s="0"/>
      <c r="FY1015" s="0"/>
      <c r="FZ1015" s="0"/>
      <c r="GA1015" s="0"/>
      <c r="GB1015" s="0"/>
      <c r="GC1015" s="0"/>
      <c r="GD1015" s="0"/>
      <c r="GE1015" s="0"/>
      <c r="GF1015" s="0"/>
      <c r="GG1015" s="0"/>
      <c r="GH1015" s="0"/>
      <c r="GI1015" s="0"/>
      <c r="GJ1015" s="0"/>
      <c r="GK1015" s="0"/>
      <c r="GL1015" s="0"/>
      <c r="GM1015" s="0"/>
      <c r="GN1015" s="0"/>
      <c r="GO1015" s="0"/>
      <c r="GP1015" s="0"/>
      <c r="GQ1015" s="0"/>
      <c r="GR1015" s="0"/>
      <c r="GS1015" s="0"/>
      <c r="GT1015" s="0"/>
      <c r="GU1015" s="0"/>
      <c r="GV1015" s="0"/>
      <c r="GW1015" s="0"/>
      <c r="GX1015" s="0"/>
      <c r="GY1015" s="0"/>
      <c r="GZ1015" s="0"/>
      <c r="HA1015" s="0"/>
      <c r="HB1015" s="0"/>
      <c r="HC1015" s="0"/>
      <c r="HD1015" s="0"/>
      <c r="HE1015" s="0"/>
      <c r="HF1015" s="0"/>
      <c r="HG1015" s="0"/>
      <c r="HH1015" s="0"/>
      <c r="HI1015" s="0"/>
      <c r="HJ1015" s="0"/>
      <c r="HK1015" s="0"/>
      <c r="HL1015" s="0"/>
      <c r="HM1015" s="0"/>
      <c r="HN1015" s="0"/>
      <c r="HO1015" s="0"/>
      <c r="HP1015" s="0"/>
      <c r="HQ1015" s="0"/>
      <c r="HR1015" s="0"/>
      <c r="HS1015" s="0"/>
      <c r="HT1015" s="0"/>
      <c r="HU1015" s="0"/>
      <c r="HV1015" s="0"/>
      <c r="HW1015" s="0"/>
      <c r="HX1015" s="0"/>
      <c r="HY1015" s="0"/>
      <c r="HZ1015" s="0"/>
      <c r="IA1015" s="0"/>
      <c r="IB1015" s="0"/>
      <c r="IC1015" s="0"/>
      <c r="ID1015" s="0"/>
      <c r="IE1015" s="0"/>
      <c r="IF1015" s="0"/>
      <c r="IG1015" s="0"/>
      <c r="IH1015" s="0"/>
      <c r="II1015" s="0"/>
      <c r="IJ1015" s="0"/>
      <c r="IK1015" s="0"/>
      <c r="IL1015" s="0"/>
      <c r="IM1015" s="0"/>
      <c r="IN1015" s="0"/>
      <c r="IO1015" s="0"/>
      <c r="IP1015" s="0"/>
      <c r="IQ1015" s="0"/>
      <c r="IR1015" s="0"/>
      <c r="IS1015" s="0"/>
      <c r="IT1015" s="0"/>
      <c r="IU1015" s="0"/>
      <c r="IV1015" s="0"/>
    </row>
    <row r="1016" customFormat="false" ht="15.75" hidden="false" customHeight="true" outlineLevel="0" collapsed="false">
      <c r="A1016" s="11" t="s">
        <v>770</v>
      </c>
      <c r="B1016" s="19"/>
      <c r="C1016" s="0"/>
      <c r="D1016" s="0"/>
      <c r="E1016" s="1257" t="s">
        <v>253</v>
      </c>
      <c r="F1016" s="1284" t="n">
        <f aca="false">IF(E1016="oui",1,0)</f>
        <v>1</v>
      </c>
      <c r="H1016" s="0"/>
      <c r="I1016" s="0"/>
      <c r="K1016" s="903"/>
      <c r="L1016" s="877"/>
      <c r="M1016" s="0"/>
      <c r="N1016" s="0"/>
      <c r="O1016" s="0"/>
      <c r="P1016" s="0"/>
      <c r="Q1016" s="0"/>
      <c r="R1016" s="0"/>
      <c r="S1016" s="0"/>
      <c r="T1016" s="0"/>
      <c r="U1016" s="0"/>
      <c r="V1016" s="0"/>
      <c r="W1016" s="0"/>
      <c r="X1016" s="0"/>
      <c r="Y1016" s="0"/>
      <c r="Z1016" s="0"/>
      <c r="AA1016" s="0"/>
      <c r="AB1016" s="0"/>
      <c r="AC1016" s="0"/>
      <c r="AD1016" s="0"/>
      <c r="AE1016" s="0"/>
      <c r="AF1016" s="0"/>
      <c r="AG1016" s="0"/>
      <c r="AH1016" s="0"/>
      <c r="AI1016" s="0"/>
      <c r="AJ1016" s="0"/>
      <c r="AK1016" s="0"/>
      <c r="AL1016" s="0"/>
      <c r="AM1016" s="0"/>
      <c r="AN1016" s="0"/>
      <c r="AO1016" s="0"/>
      <c r="AP1016" s="0"/>
      <c r="AQ1016" s="0"/>
      <c r="AR1016" s="0"/>
      <c r="AS1016" s="0"/>
      <c r="AT1016" s="0"/>
      <c r="AU1016" s="0"/>
      <c r="AV1016" s="0"/>
      <c r="AW1016" s="0"/>
      <c r="AX1016" s="0"/>
      <c r="AY1016" s="0"/>
      <c r="AZ1016" s="0"/>
      <c r="BA1016" s="0"/>
      <c r="BB1016" s="0"/>
      <c r="BC1016" s="0"/>
      <c r="BD1016" s="0"/>
      <c r="BE1016" s="0"/>
      <c r="BF1016" s="0"/>
      <c r="BG1016" s="0"/>
      <c r="BH1016" s="0"/>
      <c r="BI1016" s="0"/>
      <c r="BJ1016" s="0"/>
      <c r="BK1016" s="0"/>
      <c r="BL1016" s="0"/>
      <c r="BM1016" s="0"/>
      <c r="BN1016" s="0"/>
      <c r="BO1016" s="0"/>
      <c r="BP1016" s="0"/>
      <c r="BQ1016" s="0"/>
      <c r="BR1016" s="0"/>
      <c r="BS1016" s="0"/>
      <c r="BT1016" s="0"/>
      <c r="BU1016" s="0"/>
      <c r="BV1016" s="0"/>
      <c r="BW1016" s="0"/>
      <c r="BX1016" s="0"/>
      <c r="BY1016" s="0"/>
      <c r="BZ1016" s="0"/>
      <c r="CA1016" s="0"/>
      <c r="CB1016" s="0"/>
      <c r="CC1016" s="0"/>
      <c r="CD1016" s="0"/>
      <c r="CE1016" s="0"/>
      <c r="CF1016" s="0"/>
      <c r="CG1016" s="0"/>
      <c r="CH1016" s="0"/>
      <c r="CI1016" s="0"/>
      <c r="CJ1016" s="0"/>
      <c r="CK1016" s="0"/>
      <c r="CL1016" s="0"/>
      <c r="CM1016" s="0"/>
      <c r="CN1016" s="0"/>
      <c r="CO1016" s="0"/>
      <c r="CP1016" s="0"/>
      <c r="CQ1016" s="0"/>
      <c r="CR1016" s="0"/>
      <c r="CS1016" s="0"/>
      <c r="CT1016" s="0"/>
      <c r="CU1016" s="0"/>
      <c r="CV1016" s="0"/>
      <c r="CW1016" s="0"/>
      <c r="CX1016" s="0"/>
      <c r="CY1016" s="0"/>
      <c r="CZ1016" s="0"/>
      <c r="DA1016" s="0"/>
      <c r="DB1016" s="0"/>
      <c r="DC1016" s="0"/>
      <c r="DD1016" s="0"/>
      <c r="DE1016" s="0"/>
      <c r="DF1016" s="0"/>
      <c r="DG1016" s="0"/>
      <c r="DH1016" s="0"/>
      <c r="DI1016" s="0"/>
      <c r="DJ1016" s="0"/>
      <c r="DK1016" s="0"/>
      <c r="DL1016" s="0"/>
      <c r="DM1016" s="0"/>
      <c r="DN1016" s="0"/>
      <c r="DO1016" s="0"/>
      <c r="DP1016" s="0"/>
      <c r="DQ1016" s="0"/>
      <c r="DR1016" s="0"/>
      <c r="DS1016" s="0"/>
      <c r="DT1016" s="0"/>
      <c r="DU1016" s="0"/>
      <c r="DV1016" s="0"/>
      <c r="DW1016" s="0"/>
      <c r="DX1016" s="0"/>
      <c r="DY1016" s="0"/>
      <c r="DZ1016" s="0"/>
      <c r="EA1016" s="0"/>
      <c r="EB1016" s="0"/>
      <c r="EC1016" s="0"/>
      <c r="ED1016" s="0"/>
      <c r="EE1016" s="0"/>
      <c r="EF1016" s="0"/>
      <c r="EG1016" s="0"/>
      <c r="EH1016" s="0"/>
      <c r="EI1016" s="0"/>
      <c r="EJ1016" s="0"/>
      <c r="EK1016" s="0"/>
      <c r="EL1016" s="0"/>
      <c r="EM1016" s="0"/>
      <c r="EN1016" s="0"/>
      <c r="EO1016" s="0"/>
      <c r="EP1016" s="0"/>
      <c r="EQ1016" s="0"/>
      <c r="ER1016" s="0"/>
      <c r="ES1016" s="0"/>
      <c r="ET1016" s="0"/>
      <c r="EU1016" s="0"/>
      <c r="EV1016" s="0"/>
      <c r="EW1016" s="0"/>
      <c r="EX1016" s="0"/>
      <c r="EY1016" s="0"/>
      <c r="EZ1016" s="0"/>
      <c r="FA1016" s="0"/>
      <c r="FB1016" s="0"/>
      <c r="FC1016" s="0"/>
      <c r="FD1016" s="0"/>
      <c r="FE1016" s="0"/>
      <c r="FF1016" s="0"/>
      <c r="FG1016" s="0"/>
      <c r="FH1016" s="0"/>
      <c r="FI1016" s="0"/>
      <c r="FJ1016" s="0"/>
      <c r="FK1016" s="0"/>
      <c r="FL1016" s="0"/>
      <c r="FM1016" s="0"/>
      <c r="FN1016" s="0"/>
      <c r="FO1016" s="0"/>
      <c r="FP1016" s="0"/>
      <c r="FQ1016" s="0"/>
      <c r="FR1016" s="0"/>
      <c r="FS1016" s="0"/>
      <c r="FT1016" s="0"/>
      <c r="FU1016" s="0"/>
      <c r="FV1016" s="0"/>
      <c r="FW1016" s="0"/>
      <c r="FX1016" s="0"/>
      <c r="FY1016" s="0"/>
      <c r="FZ1016" s="0"/>
      <c r="GA1016" s="0"/>
      <c r="GB1016" s="0"/>
      <c r="GC1016" s="0"/>
      <c r="GD1016" s="0"/>
      <c r="GE1016" s="0"/>
      <c r="GF1016" s="0"/>
      <c r="GG1016" s="0"/>
      <c r="GH1016" s="0"/>
      <c r="GI1016" s="0"/>
      <c r="GJ1016" s="0"/>
      <c r="GK1016" s="0"/>
      <c r="GL1016" s="0"/>
      <c r="GM1016" s="0"/>
      <c r="GN1016" s="0"/>
      <c r="GO1016" s="0"/>
      <c r="GP1016" s="0"/>
      <c r="GQ1016" s="0"/>
      <c r="GR1016" s="0"/>
      <c r="GS1016" s="0"/>
      <c r="GT1016" s="0"/>
      <c r="GU1016" s="0"/>
      <c r="GV1016" s="0"/>
      <c r="GW1016" s="0"/>
      <c r="GX1016" s="0"/>
      <c r="GY1016" s="0"/>
      <c r="GZ1016" s="0"/>
      <c r="HA1016" s="0"/>
      <c r="HB1016" s="0"/>
      <c r="HC1016" s="0"/>
      <c r="HD1016" s="0"/>
      <c r="HE1016" s="0"/>
      <c r="HF1016" s="0"/>
      <c r="HG1016" s="0"/>
      <c r="HH1016" s="0"/>
      <c r="HI1016" s="0"/>
      <c r="HJ1016" s="0"/>
      <c r="HK1016" s="0"/>
      <c r="HL1016" s="0"/>
      <c r="HM1016" s="0"/>
      <c r="HN1016" s="0"/>
      <c r="HO1016" s="0"/>
      <c r="HP1016" s="0"/>
      <c r="HQ1016" s="0"/>
      <c r="HR1016" s="0"/>
      <c r="HS1016" s="0"/>
      <c r="HT1016" s="0"/>
      <c r="HU1016" s="0"/>
      <c r="HV1016" s="0"/>
      <c r="HW1016" s="0"/>
      <c r="HX1016" s="0"/>
      <c r="HY1016" s="0"/>
      <c r="HZ1016" s="0"/>
      <c r="IA1016" s="0"/>
      <c r="IB1016" s="0"/>
      <c r="IC1016" s="0"/>
      <c r="ID1016" s="0"/>
      <c r="IE1016" s="0"/>
      <c r="IF1016" s="0"/>
      <c r="IG1016" s="0"/>
      <c r="IH1016" s="0"/>
      <c r="II1016" s="0"/>
      <c r="IJ1016" s="0"/>
      <c r="IK1016" s="0"/>
      <c r="IL1016" s="0"/>
      <c r="IM1016" s="0"/>
      <c r="IN1016" s="0"/>
      <c r="IO1016" s="0"/>
      <c r="IP1016" s="0"/>
      <c r="IQ1016" s="0"/>
      <c r="IR1016" s="0"/>
      <c r="IS1016" s="0"/>
      <c r="IT1016" s="0"/>
      <c r="IU1016" s="0"/>
      <c r="IV1016" s="0"/>
    </row>
    <row r="1017" customFormat="false" ht="15" hidden="false" customHeight="true" outlineLevel="0" collapsed="false">
      <c r="A1017" s="0"/>
      <c r="B1017" s="0"/>
      <c r="C1017" s="0"/>
      <c r="D1017" s="0"/>
      <c r="E1017" s="0"/>
      <c r="F1017" s="0"/>
      <c r="G1017" s="0"/>
      <c r="H1017" s="0"/>
      <c r="I1017" s="0"/>
      <c r="K1017" s="903"/>
      <c r="L1017" s="877"/>
      <c r="M1017" s="0"/>
      <c r="N1017" s="0"/>
      <c r="O1017" s="0"/>
      <c r="P1017" s="0"/>
      <c r="Q1017" s="0"/>
      <c r="R1017" s="0"/>
      <c r="S1017" s="0"/>
      <c r="T1017" s="0"/>
      <c r="U1017" s="0"/>
      <c r="V1017" s="0"/>
      <c r="W1017" s="0"/>
      <c r="X1017" s="0"/>
      <c r="Y1017" s="0"/>
      <c r="Z1017" s="0"/>
      <c r="AA1017" s="0"/>
      <c r="AB1017" s="0"/>
      <c r="AC1017" s="0"/>
      <c r="AD1017" s="0"/>
      <c r="AE1017" s="0"/>
      <c r="AF1017" s="0"/>
      <c r="AG1017" s="0"/>
      <c r="AH1017" s="0"/>
      <c r="AI1017" s="0"/>
      <c r="AJ1017" s="0"/>
      <c r="AK1017" s="0"/>
      <c r="AL1017" s="0"/>
      <c r="AM1017" s="0"/>
      <c r="AN1017" s="0"/>
      <c r="AO1017" s="0"/>
      <c r="AP1017" s="0"/>
      <c r="AQ1017" s="0"/>
      <c r="AR1017" s="0"/>
      <c r="AS1017" s="0"/>
      <c r="AT1017" s="0"/>
      <c r="AU1017" s="0"/>
      <c r="AV1017" s="0"/>
      <c r="AW1017" s="0"/>
      <c r="AX1017" s="0"/>
      <c r="AY1017" s="0"/>
      <c r="AZ1017" s="0"/>
      <c r="BA1017" s="0"/>
      <c r="BB1017" s="0"/>
      <c r="BC1017" s="0"/>
      <c r="BD1017" s="0"/>
      <c r="BE1017" s="0"/>
      <c r="BF1017" s="0"/>
      <c r="BG1017" s="0"/>
      <c r="BH1017" s="0"/>
      <c r="BI1017" s="0"/>
      <c r="BJ1017" s="0"/>
      <c r="BK1017" s="0"/>
      <c r="BL1017" s="0"/>
      <c r="BM1017" s="0"/>
      <c r="BN1017" s="0"/>
      <c r="BO1017" s="0"/>
      <c r="BP1017" s="0"/>
      <c r="BQ1017" s="0"/>
      <c r="BR1017" s="0"/>
      <c r="BS1017" s="0"/>
      <c r="BT1017" s="0"/>
      <c r="BU1017" s="0"/>
      <c r="BV1017" s="0"/>
      <c r="BW1017" s="0"/>
      <c r="BX1017" s="0"/>
      <c r="BY1017" s="0"/>
      <c r="BZ1017" s="0"/>
      <c r="CA1017" s="0"/>
      <c r="CB1017" s="0"/>
      <c r="CC1017" s="0"/>
      <c r="CD1017" s="0"/>
      <c r="CE1017" s="0"/>
      <c r="CF1017" s="0"/>
      <c r="CG1017" s="0"/>
      <c r="CH1017" s="0"/>
      <c r="CI1017" s="0"/>
      <c r="CJ1017" s="0"/>
      <c r="CK1017" s="0"/>
      <c r="CL1017" s="0"/>
      <c r="CM1017" s="0"/>
      <c r="CN1017" s="0"/>
      <c r="CO1017" s="0"/>
      <c r="CP1017" s="0"/>
      <c r="CQ1017" s="0"/>
      <c r="CR1017" s="0"/>
      <c r="CS1017" s="0"/>
      <c r="CT1017" s="0"/>
      <c r="CU1017" s="0"/>
      <c r="CV1017" s="0"/>
      <c r="CW1017" s="0"/>
      <c r="CX1017" s="0"/>
      <c r="CY1017" s="0"/>
      <c r="CZ1017" s="0"/>
      <c r="DA1017" s="0"/>
      <c r="DB1017" s="0"/>
      <c r="DC1017" s="0"/>
      <c r="DD1017" s="0"/>
      <c r="DE1017" s="0"/>
      <c r="DF1017" s="0"/>
      <c r="DG1017" s="0"/>
      <c r="DH1017" s="0"/>
      <c r="DI1017" s="0"/>
      <c r="DJ1017" s="0"/>
      <c r="DK1017" s="0"/>
      <c r="DL1017" s="0"/>
      <c r="DM1017" s="0"/>
      <c r="DN1017" s="0"/>
      <c r="DO1017" s="0"/>
      <c r="DP1017" s="0"/>
      <c r="DQ1017" s="0"/>
      <c r="DR1017" s="0"/>
      <c r="DS1017" s="0"/>
      <c r="DT1017" s="0"/>
      <c r="DU1017" s="0"/>
      <c r="DV1017" s="0"/>
      <c r="DW1017" s="0"/>
      <c r="DX1017" s="0"/>
      <c r="DY1017" s="0"/>
      <c r="DZ1017" s="0"/>
      <c r="EA1017" s="0"/>
      <c r="EB1017" s="0"/>
      <c r="EC1017" s="0"/>
      <c r="ED1017" s="0"/>
      <c r="EE1017" s="0"/>
      <c r="EF1017" s="0"/>
      <c r="EG1017" s="0"/>
      <c r="EH1017" s="0"/>
      <c r="EI1017" s="0"/>
      <c r="EJ1017" s="0"/>
      <c r="EK1017" s="0"/>
      <c r="EL1017" s="0"/>
      <c r="EM1017" s="0"/>
      <c r="EN1017" s="0"/>
      <c r="EO1017" s="0"/>
      <c r="EP1017" s="0"/>
      <c r="EQ1017" s="0"/>
      <c r="ER1017" s="0"/>
      <c r="ES1017" s="0"/>
      <c r="ET1017" s="0"/>
      <c r="EU1017" s="0"/>
      <c r="EV1017" s="0"/>
      <c r="EW1017" s="0"/>
      <c r="EX1017" s="0"/>
      <c r="EY1017" s="0"/>
      <c r="EZ1017" s="0"/>
      <c r="FA1017" s="0"/>
      <c r="FB1017" s="0"/>
      <c r="FC1017" s="0"/>
      <c r="FD1017" s="0"/>
      <c r="FE1017" s="0"/>
      <c r="FF1017" s="0"/>
      <c r="FG1017" s="0"/>
      <c r="FH1017" s="0"/>
      <c r="FI1017" s="0"/>
      <c r="FJ1017" s="0"/>
      <c r="FK1017" s="0"/>
      <c r="FL1017" s="0"/>
      <c r="FM1017" s="0"/>
      <c r="FN1017" s="0"/>
      <c r="FO1017" s="0"/>
      <c r="FP1017" s="0"/>
      <c r="FQ1017" s="0"/>
      <c r="FR1017" s="0"/>
      <c r="FS1017" s="0"/>
      <c r="FT1017" s="0"/>
      <c r="FU1017" s="0"/>
      <c r="FV1017" s="0"/>
      <c r="FW1017" s="0"/>
      <c r="FX1017" s="0"/>
      <c r="FY1017" s="0"/>
      <c r="FZ1017" s="0"/>
      <c r="GA1017" s="0"/>
      <c r="GB1017" s="0"/>
      <c r="GC1017" s="0"/>
      <c r="GD1017" s="0"/>
      <c r="GE1017" s="0"/>
      <c r="GF1017" s="0"/>
      <c r="GG1017" s="0"/>
      <c r="GH1017" s="0"/>
      <c r="GI1017" s="0"/>
      <c r="GJ1017" s="0"/>
      <c r="GK1017" s="0"/>
      <c r="GL1017" s="0"/>
      <c r="GM1017" s="0"/>
      <c r="GN1017" s="0"/>
      <c r="GO1017" s="0"/>
      <c r="GP1017" s="0"/>
      <c r="GQ1017" s="0"/>
      <c r="GR1017" s="0"/>
      <c r="GS1017" s="0"/>
      <c r="GT1017" s="0"/>
      <c r="GU1017" s="0"/>
      <c r="GV1017" s="0"/>
      <c r="GW1017" s="0"/>
      <c r="GX1017" s="0"/>
      <c r="GY1017" s="0"/>
      <c r="GZ1017" s="0"/>
      <c r="HA1017" s="0"/>
      <c r="HB1017" s="0"/>
      <c r="HC1017" s="0"/>
      <c r="HD1017" s="0"/>
      <c r="HE1017" s="0"/>
      <c r="HF1017" s="0"/>
      <c r="HG1017" s="0"/>
      <c r="HH1017" s="0"/>
      <c r="HI1017" s="0"/>
      <c r="HJ1017" s="0"/>
      <c r="HK1017" s="0"/>
      <c r="HL1017" s="0"/>
      <c r="HM1017" s="0"/>
      <c r="HN1017" s="0"/>
      <c r="HO1017" s="0"/>
      <c r="HP1017" s="0"/>
      <c r="HQ1017" s="0"/>
      <c r="HR1017" s="0"/>
      <c r="HS1017" s="0"/>
      <c r="HT1017" s="0"/>
      <c r="HU1017" s="0"/>
      <c r="HV1017" s="0"/>
      <c r="HW1017" s="0"/>
      <c r="HX1017" s="0"/>
      <c r="HY1017" s="0"/>
      <c r="HZ1017" s="0"/>
      <c r="IA1017" s="0"/>
      <c r="IB1017" s="0"/>
      <c r="IC1017" s="0"/>
      <c r="ID1017" s="0"/>
      <c r="IE1017" s="0"/>
      <c r="IF1017" s="0"/>
      <c r="IG1017" s="0"/>
      <c r="IH1017" s="0"/>
      <c r="II1017" s="0"/>
      <c r="IJ1017" s="0"/>
      <c r="IK1017" s="0"/>
      <c r="IL1017" s="0"/>
      <c r="IM1017" s="0"/>
      <c r="IN1017" s="0"/>
      <c r="IO1017" s="0"/>
      <c r="IP1017" s="0"/>
      <c r="IQ1017" s="0"/>
      <c r="IR1017" s="0"/>
      <c r="IS1017" s="0"/>
      <c r="IT1017" s="0"/>
      <c r="IU1017" s="0"/>
      <c r="IV1017" s="0"/>
    </row>
    <row r="1018" customFormat="false" ht="15" hidden="false" customHeight="true" outlineLevel="0" collapsed="false">
      <c r="A1018" s="0"/>
      <c r="B1018" s="0"/>
      <c r="C1018" s="0"/>
      <c r="D1018" s="0"/>
      <c r="E1018" s="0"/>
      <c r="F1018" s="0"/>
      <c r="G1018" s="0"/>
      <c r="H1018" s="0"/>
      <c r="I1018" s="0"/>
      <c r="K1018" s="903"/>
      <c r="L1018" s="877"/>
      <c r="M1018" s="0"/>
      <c r="N1018" s="0"/>
      <c r="O1018" s="0"/>
      <c r="P1018" s="0"/>
      <c r="Q1018" s="0"/>
      <c r="R1018" s="0"/>
      <c r="S1018" s="0"/>
      <c r="T1018" s="0"/>
      <c r="U1018" s="0"/>
      <c r="V1018" s="0"/>
      <c r="W1018" s="0"/>
      <c r="X1018" s="0"/>
      <c r="Y1018" s="0"/>
      <c r="Z1018" s="0"/>
      <c r="AA1018" s="0"/>
      <c r="AB1018" s="0"/>
      <c r="AC1018" s="0"/>
      <c r="AD1018" s="0"/>
      <c r="AE1018" s="0"/>
      <c r="AF1018" s="0"/>
      <c r="AG1018" s="0"/>
      <c r="AH1018" s="0"/>
      <c r="AI1018" s="0"/>
      <c r="AJ1018" s="0"/>
      <c r="AK1018" s="0"/>
      <c r="AL1018" s="0"/>
      <c r="AM1018" s="0"/>
      <c r="AN1018" s="0"/>
      <c r="AO1018" s="0"/>
      <c r="AP1018" s="0"/>
      <c r="AQ1018" s="0"/>
      <c r="AR1018" s="0"/>
      <c r="AS1018" s="0"/>
      <c r="AT1018" s="0"/>
      <c r="AU1018" s="0"/>
      <c r="AV1018" s="0"/>
      <c r="AW1018" s="0"/>
      <c r="AX1018" s="0"/>
      <c r="AY1018" s="0"/>
      <c r="AZ1018" s="0"/>
      <c r="BA1018" s="0"/>
      <c r="BB1018" s="0"/>
      <c r="BC1018" s="0"/>
      <c r="BD1018" s="0"/>
      <c r="BE1018" s="0"/>
      <c r="BF1018" s="0"/>
      <c r="BG1018" s="0"/>
      <c r="BH1018" s="0"/>
      <c r="BI1018" s="0"/>
      <c r="BJ1018" s="0"/>
      <c r="BK1018" s="0"/>
      <c r="BL1018" s="0"/>
      <c r="BM1018" s="0"/>
      <c r="BN1018" s="0"/>
      <c r="BO1018" s="0"/>
      <c r="BP1018" s="0"/>
      <c r="BQ1018" s="0"/>
      <c r="BR1018" s="0"/>
      <c r="BS1018" s="0"/>
      <c r="BT1018" s="0"/>
      <c r="BU1018" s="0"/>
      <c r="BV1018" s="0"/>
      <c r="BW1018" s="0"/>
      <c r="BX1018" s="0"/>
      <c r="BY1018" s="0"/>
      <c r="BZ1018" s="0"/>
      <c r="CA1018" s="0"/>
      <c r="CB1018" s="0"/>
      <c r="CC1018" s="0"/>
      <c r="CD1018" s="0"/>
      <c r="CE1018" s="0"/>
      <c r="CF1018" s="0"/>
      <c r="CG1018" s="0"/>
      <c r="CH1018" s="0"/>
      <c r="CI1018" s="0"/>
      <c r="CJ1018" s="0"/>
      <c r="CK1018" s="0"/>
      <c r="CL1018" s="0"/>
      <c r="CM1018" s="0"/>
      <c r="CN1018" s="0"/>
      <c r="CO1018" s="0"/>
      <c r="CP1018" s="0"/>
      <c r="CQ1018" s="0"/>
      <c r="CR1018" s="0"/>
      <c r="CS1018" s="0"/>
      <c r="CT1018" s="0"/>
      <c r="CU1018" s="0"/>
      <c r="CV1018" s="0"/>
      <c r="CW1018" s="0"/>
      <c r="CX1018" s="0"/>
      <c r="CY1018" s="0"/>
      <c r="CZ1018" s="0"/>
      <c r="DA1018" s="0"/>
      <c r="DB1018" s="0"/>
      <c r="DC1018" s="0"/>
      <c r="DD1018" s="0"/>
      <c r="DE1018" s="0"/>
      <c r="DF1018" s="0"/>
      <c r="DG1018" s="0"/>
      <c r="DH1018" s="0"/>
      <c r="DI1018" s="0"/>
      <c r="DJ1018" s="0"/>
      <c r="DK1018" s="0"/>
      <c r="DL1018" s="0"/>
      <c r="DM1018" s="0"/>
      <c r="DN1018" s="0"/>
      <c r="DO1018" s="0"/>
      <c r="DP1018" s="0"/>
      <c r="DQ1018" s="0"/>
      <c r="DR1018" s="0"/>
      <c r="DS1018" s="0"/>
      <c r="DT1018" s="0"/>
      <c r="DU1018" s="0"/>
      <c r="DV1018" s="0"/>
      <c r="DW1018" s="0"/>
      <c r="DX1018" s="0"/>
      <c r="DY1018" s="0"/>
      <c r="DZ1018" s="0"/>
      <c r="EA1018" s="0"/>
      <c r="EB1018" s="0"/>
      <c r="EC1018" s="0"/>
      <c r="ED1018" s="0"/>
      <c r="EE1018" s="0"/>
      <c r="EF1018" s="0"/>
      <c r="EG1018" s="0"/>
      <c r="EH1018" s="0"/>
      <c r="EI1018" s="0"/>
      <c r="EJ1018" s="0"/>
      <c r="EK1018" s="0"/>
      <c r="EL1018" s="0"/>
      <c r="EM1018" s="0"/>
      <c r="EN1018" s="0"/>
      <c r="EO1018" s="0"/>
      <c r="EP1018" s="0"/>
      <c r="EQ1018" s="0"/>
      <c r="ER1018" s="0"/>
      <c r="ES1018" s="0"/>
      <c r="ET1018" s="0"/>
      <c r="EU1018" s="0"/>
      <c r="EV1018" s="0"/>
      <c r="EW1018" s="0"/>
      <c r="EX1018" s="0"/>
      <c r="EY1018" s="0"/>
      <c r="EZ1018" s="0"/>
      <c r="FA1018" s="0"/>
      <c r="FB1018" s="0"/>
      <c r="FC1018" s="0"/>
      <c r="FD1018" s="0"/>
      <c r="FE1018" s="0"/>
      <c r="FF1018" s="0"/>
      <c r="FG1018" s="0"/>
      <c r="FH1018" s="0"/>
      <c r="FI1018" s="0"/>
      <c r="FJ1018" s="0"/>
      <c r="FK1018" s="0"/>
      <c r="FL1018" s="0"/>
      <c r="FM1018" s="0"/>
      <c r="FN1018" s="0"/>
      <c r="FO1018" s="0"/>
      <c r="FP1018" s="0"/>
      <c r="FQ1018" s="0"/>
      <c r="FR1018" s="0"/>
      <c r="FS1018" s="0"/>
      <c r="FT1018" s="0"/>
      <c r="FU1018" s="0"/>
      <c r="FV1018" s="0"/>
      <c r="FW1018" s="0"/>
      <c r="FX1018" s="0"/>
      <c r="FY1018" s="0"/>
      <c r="FZ1018" s="0"/>
      <c r="GA1018" s="0"/>
      <c r="GB1018" s="0"/>
      <c r="GC1018" s="0"/>
      <c r="GD1018" s="0"/>
      <c r="GE1018" s="0"/>
      <c r="GF1018" s="0"/>
      <c r="GG1018" s="0"/>
      <c r="GH1018" s="0"/>
      <c r="GI1018" s="0"/>
      <c r="GJ1018" s="0"/>
      <c r="GK1018" s="0"/>
      <c r="GL1018" s="0"/>
      <c r="GM1018" s="0"/>
      <c r="GN1018" s="0"/>
      <c r="GO1018" s="0"/>
      <c r="GP1018" s="0"/>
      <c r="GQ1018" s="0"/>
      <c r="GR1018" s="0"/>
      <c r="GS1018" s="0"/>
      <c r="GT1018" s="0"/>
      <c r="GU1018" s="0"/>
      <c r="GV1018" s="0"/>
      <c r="GW1018" s="0"/>
      <c r="GX1018" s="0"/>
      <c r="GY1018" s="0"/>
      <c r="GZ1018" s="0"/>
      <c r="HA1018" s="0"/>
      <c r="HB1018" s="0"/>
      <c r="HC1018" s="0"/>
      <c r="HD1018" s="0"/>
      <c r="HE1018" s="0"/>
      <c r="HF1018" s="0"/>
      <c r="HG1018" s="0"/>
      <c r="HH1018" s="0"/>
      <c r="HI1018" s="0"/>
      <c r="HJ1018" s="0"/>
      <c r="HK1018" s="0"/>
      <c r="HL1018" s="0"/>
      <c r="HM1018" s="0"/>
      <c r="HN1018" s="0"/>
      <c r="HO1018" s="0"/>
      <c r="HP1018" s="0"/>
      <c r="HQ1018" s="0"/>
      <c r="HR1018" s="0"/>
      <c r="HS1018" s="0"/>
      <c r="HT1018" s="0"/>
      <c r="HU1018" s="0"/>
      <c r="HV1018" s="0"/>
      <c r="HW1018" s="0"/>
      <c r="HX1018" s="0"/>
      <c r="HY1018" s="0"/>
      <c r="HZ1018" s="0"/>
      <c r="IA1018" s="0"/>
      <c r="IB1018" s="0"/>
      <c r="IC1018" s="0"/>
      <c r="ID1018" s="0"/>
      <c r="IE1018" s="0"/>
      <c r="IF1018" s="0"/>
      <c r="IG1018" s="0"/>
      <c r="IH1018" s="0"/>
      <c r="II1018" s="0"/>
      <c r="IJ1018" s="0"/>
      <c r="IK1018" s="0"/>
      <c r="IL1018" s="0"/>
      <c r="IM1018" s="0"/>
      <c r="IN1018" s="0"/>
      <c r="IO1018" s="0"/>
      <c r="IP1018" s="0"/>
      <c r="IQ1018" s="0"/>
      <c r="IR1018" s="0"/>
      <c r="IS1018" s="0"/>
      <c r="IT1018" s="0"/>
      <c r="IU1018" s="0"/>
      <c r="IV1018" s="0"/>
    </row>
    <row r="1019" customFormat="false" ht="16.5" hidden="false" customHeight="true" outlineLevel="0" collapsed="false">
      <c r="A1019" s="869" t="s">
        <v>1684</v>
      </c>
      <c r="B1019" s="869"/>
      <c r="C1019" s="869"/>
      <c r="D1019" s="869"/>
      <c r="E1019" s="869"/>
      <c r="F1019" s="869"/>
      <c r="G1019" s="869"/>
      <c r="H1019" s="53"/>
      <c r="I1019" s="53"/>
      <c r="J1019" s="53"/>
      <c r="K1019" s="870"/>
      <c r="L1019" s="871" t="s">
        <v>1685</v>
      </c>
      <c r="M1019" s="0"/>
      <c r="T1019" s="0"/>
      <c r="U1019" s="0"/>
      <c r="V1019" s="0"/>
      <c r="W1019" s="0"/>
      <c r="X1019" s="0"/>
      <c r="Y1019" s="0"/>
      <c r="Z1019" s="0"/>
      <c r="AA1019" s="0"/>
      <c r="AB1019" s="0"/>
      <c r="AC1019" s="0"/>
      <c r="AD1019" s="0"/>
      <c r="AE1019" s="0"/>
      <c r="AF1019" s="0"/>
      <c r="AG1019" s="0"/>
      <c r="AH1019" s="0"/>
      <c r="AI1019" s="0"/>
      <c r="AJ1019" s="0"/>
      <c r="AK1019" s="0"/>
      <c r="AL1019" s="0"/>
      <c r="AM1019" s="0"/>
      <c r="AN1019" s="0"/>
      <c r="AO1019" s="0"/>
      <c r="AP1019" s="0"/>
      <c r="AQ1019" s="0"/>
      <c r="AR1019" s="0"/>
      <c r="AS1019" s="0"/>
      <c r="AT1019" s="0"/>
      <c r="AU1019" s="0"/>
      <c r="AV1019" s="0"/>
      <c r="AW1019" s="0"/>
      <c r="AX1019" s="0"/>
      <c r="AY1019" s="0"/>
      <c r="AZ1019" s="0"/>
      <c r="BA1019" s="0"/>
      <c r="BB1019" s="0"/>
      <c r="BC1019" s="0"/>
      <c r="BD1019" s="0"/>
      <c r="BE1019" s="0"/>
      <c r="BF1019" s="0"/>
      <c r="BG1019" s="0"/>
      <c r="BH1019" s="0"/>
      <c r="BI1019" s="0"/>
      <c r="BJ1019" s="0"/>
      <c r="BK1019" s="0"/>
      <c r="BL1019" s="0"/>
      <c r="BM1019" s="0"/>
      <c r="BN1019" s="0"/>
      <c r="BO1019" s="0"/>
      <c r="BP1019" s="0"/>
      <c r="BQ1019" s="0"/>
      <c r="BR1019" s="0"/>
      <c r="BS1019" s="0"/>
      <c r="BT1019" s="0"/>
      <c r="BU1019" s="0"/>
      <c r="BV1019" s="0"/>
      <c r="BW1019" s="0"/>
      <c r="BX1019" s="0"/>
      <c r="BY1019" s="0"/>
      <c r="BZ1019" s="0"/>
      <c r="CA1019" s="0"/>
      <c r="CB1019" s="0"/>
      <c r="CC1019" s="0"/>
      <c r="CD1019" s="0"/>
      <c r="CE1019" s="0"/>
      <c r="CF1019" s="0"/>
      <c r="CG1019" s="0"/>
      <c r="CH1019" s="0"/>
      <c r="CI1019" s="0"/>
      <c r="CJ1019" s="0"/>
      <c r="CK1019" s="0"/>
      <c r="CL1019" s="0"/>
      <c r="CM1019" s="0"/>
      <c r="CN1019" s="0"/>
      <c r="CO1019" s="0"/>
      <c r="CP1019" s="0"/>
      <c r="CQ1019" s="0"/>
      <c r="CR1019" s="0"/>
      <c r="CS1019" s="0"/>
      <c r="CT1019" s="0"/>
      <c r="CU1019" s="0"/>
      <c r="CV1019" s="0"/>
      <c r="CW1019" s="0"/>
      <c r="CX1019" s="0"/>
      <c r="CY1019" s="0"/>
      <c r="CZ1019" s="0"/>
      <c r="DA1019" s="0"/>
      <c r="DB1019" s="0"/>
      <c r="DC1019" s="0"/>
      <c r="DD1019" s="0"/>
      <c r="DE1019" s="0"/>
      <c r="DF1019" s="0"/>
      <c r="DG1019" s="0"/>
      <c r="DH1019" s="0"/>
      <c r="DI1019" s="0"/>
      <c r="DJ1019" s="0"/>
      <c r="DK1019" s="0"/>
      <c r="DL1019" s="0"/>
      <c r="DM1019" s="0"/>
      <c r="DN1019" s="0"/>
      <c r="DO1019" s="0"/>
      <c r="DP1019" s="0"/>
      <c r="DQ1019" s="0"/>
      <c r="DR1019" s="0"/>
      <c r="DS1019" s="0"/>
      <c r="DT1019" s="0"/>
      <c r="DU1019" s="0"/>
      <c r="DV1019" s="0"/>
      <c r="DW1019" s="0"/>
      <c r="DX1019" s="0"/>
      <c r="DY1019" s="0"/>
      <c r="DZ1019" s="0"/>
      <c r="EA1019" s="0"/>
      <c r="EB1019" s="0"/>
      <c r="EC1019" s="0"/>
      <c r="ED1019" s="0"/>
      <c r="EE1019" s="0"/>
      <c r="EF1019" s="0"/>
      <c r="EG1019" s="0"/>
      <c r="EH1019" s="0"/>
      <c r="EI1019" s="0"/>
      <c r="EJ1019" s="0"/>
      <c r="EK1019" s="0"/>
      <c r="EL1019" s="0"/>
      <c r="EM1019" s="0"/>
      <c r="EN1019" s="0"/>
      <c r="EO1019" s="0"/>
      <c r="EP1019" s="0"/>
      <c r="EQ1019" s="0"/>
      <c r="ER1019" s="0"/>
      <c r="ES1019" s="0"/>
      <c r="ET1019" s="0"/>
      <c r="EU1019" s="0"/>
      <c r="EV1019" s="0"/>
      <c r="EW1019" s="0"/>
      <c r="EX1019" s="0"/>
      <c r="EY1019" s="0"/>
      <c r="EZ1019" s="0"/>
      <c r="FA1019" s="0"/>
      <c r="FB1019" s="0"/>
      <c r="FC1019" s="0"/>
      <c r="FD1019" s="0"/>
      <c r="FE1019" s="0"/>
      <c r="FF1019" s="0"/>
      <c r="FG1019" s="0"/>
      <c r="FH1019" s="0"/>
      <c r="FI1019" s="0"/>
      <c r="FJ1019" s="0"/>
      <c r="FK1019" s="0"/>
      <c r="FL1019" s="0"/>
      <c r="FM1019" s="0"/>
      <c r="FN1019" s="0"/>
      <c r="FO1019" s="0"/>
      <c r="FP1019" s="0"/>
      <c r="FQ1019" s="0"/>
      <c r="FR1019" s="0"/>
      <c r="FS1019" s="0"/>
      <c r="FT1019" s="0"/>
      <c r="FU1019" s="0"/>
      <c r="FV1019" s="0"/>
      <c r="FW1019" s="0"/>
      <c r="FX1019" s="0"/>
      <c r="FY1019" s="0"/>
      <c r="FZ1019" s="0"/>
      <c r="GA1019" s="0"/>
      <c r="GB1019" s="0"/>
      <c r="GC1019" s="0"/>
      <c r="GD1019" s="0"/>
      <c r="GE1019" s="0"/>
      <c r="GF1019" s="0"/>
      <c r="GG1019" s="0"/>
      <c r="GH1019" s="0"/>
      <c r="GI1019" s="0"/>
      <c r="GJ1019" s="0"/>
      <c r="GK1019" s="0"/>
      <c r="GL1019" s="0"/>
      <c r="GM1019" s="0"/>
      <c r="GN1019" s="0"/>
      <c r="GO1019" s="0"/>
      <c r="GP1019" s="0"/>
      <c r="GQ1019" s="0"/>
      <c r="GR1019" s="0"/>
      <c r="GS1019" s="0"/>
      <c r="GT1019" s="0"/>
      <c r="GU1019" s="0"/>
      <c r="GV1019" s="0"/>
      <c r="GW1019" s="0"/>
      <c r="GX1019" s="0"/>
      <c r="GY1019" s="0"/>
      <c r="GZ1019" s="0"/>
      <c r="HA1019" s="0"/>
      <c r="HB1019" s="0"/>
      <c r="HC1019" s="0"/>
      <c r="HD1019" s="0"/>
      <c r="HE1019" s="0"/>
      <c r="HF1019" s="0"/>
      <c r="HG1019" s="0"/>
      <c r="HH1019" s="0"/>
      <c r="HI1019" s="0"/>
      <c r="HJ1019" s="0"/>
      <c r="HK1019" s="0"/>
      <c r="HL1019" s="0"/>
      <c r="HM1019" s="0"/>
      <c r="HN1019" s="0"/>
      <c r="HO1019" s="0"/>
      <c r="HP1019" s="0"/>
      <c r="HQ1019" s="0"/>
      <c r="HR1019" s="0"/>
      <c r="HS1019" s="0"/>
      <c r="HT1019" s="0"/>
      <c r="HU1019" s="0"/>
      <c r="HV1019" s="0"/>
      <c r="HW1019" s="0"/>
      <c r="HX1019" s="0"/>
      <c r="HY1019" s="0"/>
      <c r="HZ1019" s="0"/>
      <c r="IA1019" s="0"/>
      <c r="IB1019" s="0"/>
      <c r="IC1019" s="0"/>
      <c r="ID1019" s="0"/>
      <c r="IE1019" s="0"/>
      <c r="IF1019" s="0"/>
      <c r="IG1019" s="0"/>
      <c r="IH1019" s="0"/>
      <c r="II1019" s="0"/>
      <c r="IJ1019" s="0"/>
      <c r="IK1019" s="0"/>
      <c r="IL1019" s="0"/>
      <c r="IM1019" s="0"/>
      <c r="IN1019" s="0"/>
      <c r="IO1019" s="0"/>
      <c r="IP1019" s="0"/>
      <c r="IQ1019" s="0"/>
      <c r="IR1019" s="0"/>
      <c r="IS1019" s="0"/>
      <c r="IT1019" s="0"/>
      <c r="IU1019" s="0"/>
      <c r="IV1019" s="0"/>
    </row>
    <row r="1020" customFormat="false" ht="15.75" hidden="false" customHeight="true" outlineLevel="0" collapsed="false">
      <c r="A1020" s="1005"/>
      <c r="B1020" s="1005"/>
      <c r="C1020" s="1005"/>
      <c r="D1020" s="1005"/>
      <c r="E1020" s="1005"/>
      <c r="F1020" s="1005"/>
      <c r="G1020" s="1005"/>
      <c r="H1020" s="0"/>
      <c r="I1020" s="0"/>
      <c r="J1020" s="620"/>
      <c r="K1020" s="903"/>
      <c r="L1020" s="877"/>
      <c r="M1020" s="0"/>
      <c r="T1020" s="0"/>
      <c r="U1020" s="0"/>
      <c r="V1020" s="0"/>
      <c r="W1020" s="0"/>
      <c r="X1020" s="0"/>
      <c r="Y1020" s="0"/>
      <c r="Z1020" s="0"/>
      <c r="AA1020" s="0"/>
      <c r="AB1020" s="0"/>
      <c r="AC1020" s="0"/>
      <c r="AD1020" s="0"/>
      <c r="AE1020" s="0"/>
      <c r="AF1020" s="0"/>
      <c r="AG1020" s="0"/>
      <c r="AH1020" s="0"/>
      <c r="AI1020" s="0"/>
      <c r="AJ1020" s="0"/>
      <c r="AK1020" s="0"/>
      <c r="AL1020" s="0"/>
      <c r="AM1020" s="0"/>
      <c r="AN1020" s="0"/>
      <c r="AO1020" s="0"/>
      <c r="AP1020" s="0"/>
      <c r="AQ1020" s="0"/>
      <c r="AR1020" s="0"/>
      <c r="AS1020" s="0"/>
      <c r="AT1020" s="0"/>
      <c r="AU1020" s="0"/>
      <c r="AV1020" s="0"/>
      <c r="AW1020" s="0"/>
      <c r="AX1020" s="0"/>
      <c r="AY1020" s="0"/>
      <c r="AZ1020" s="0"/>
      <c r="BA1020" s="0"/>
      <c r="BB1020" s="0"/>
      <c r="BC1020" s="0"/>
      <c r="BD1020" s="0"/>
      <c r="BE1020" s="0"/>
      <c r="BF1020" s="0"/>
      <c r="BG1020" s="0"/>
      <c r="BH1020" s="0"/>
      <c r="BI1020" s="0"/>
      <c r="BJ1020" s="0"/>
      <c r="BK1020" s="0"/>
      <c r="BL1020" s="0"/>
      <c r="BM1020" s="0"/>
      <c r="BN1020" s="0"/>
      <c r="BO1020" s="0"/>
      <c r="BP1020" s="0"/>
      <c r="BQ1020" s="0"/>
      <c r="BR1020" s="0"/>
      <c r="BS1020" s="0"/>
      <c r="BT1020" s="0"/>
      <c r="BU1020" s="0"/>
      <c r="BV1020" s="0"/>
      <c r="BW1020" s="0"/>
      <c r="BX1020" s="0"/>
      <c r="BY1020" s="0"/>
      <c r="BZ1020" s="0"/>
      <c r="CA1020" s="0"/>
      <c r="CB1020" s="0"/>
      <c r="CC1020" s="0"/>
      <c r="CD1020" s="0"/>
      <c r="CE1020" s="0"/>
      <c r="CF1020" s="0"/>
      <c r="CG1020" s="0"/>
      <c r="CH1020" s="0"/>
      <c r="CI1020" s="0"/>
      <c r="CJ1020" s="0"/>
      <c r="CK1020" s="0"/>
      <c r="CL1020" s="0"/>
      <c r="CM1020" s="0"/>
      <c r="CN1020" s="0"/>
      <c r="CO1020" s="0"/>
      <c r="CP1020" s="0"/>
      <c r="CQ1020" s="0"/>
      <c r="CR1020" s="0"/>
      <c r="CS1020" s="0"/>
      <c r="CT1020" s="0"/>
      <c r="CU1020" s="0"/>
      <c r="CV1020" s="0"/>
      <c r="CW1020" s="0"/>
      <c r="CX1020" s="0"/>
      <c r="CY1020" s="0"/>
      <c r="CZ1020" s="0"/>
      <c r="DA1020" s="0"/>
      <c r="DB1020" s="0"/>
      <c r="DC1020" s="0"/>
      <c r="DD1020" s="0"/>
      <c r="DE1020" s="0"/>
      <c r="DF1020" s="0"/>
      <c r="DG1020" s="0"/>
      <c r="DH1020" s="0"/>
      <c r="DI1020" s="0"/>
      <c r="DJ1020" s="0"/>
      <c r="DK1020" s="0"/>
      <c r="DL1020" s="0"/>
      <c r="DM1020" s="0"/>
      <c r="DN1020" s="0"/>
      <c r="DO1020" s="0"/>
      <c r="DP1020" s="0"/>
      <c r="DQ1020" s="0"/>
      <c r="DR1020" s="0"/>
      <c r="DS1020" s="0"/>
      <c r="DT1020" s="0"/>
      <c r="DU1020" s="0"/>
      <c r="DV1020" s="0"/>
      <c r="DW1020" s="0"/>
      <c r="DX1020" s="0"/>
      <c r="DY1020" s="0"/>
      <c r="DZ1020" s="0"/>
      <c r="EA1020" s="0"/>
      <c r="EB1020" s="0"/>
      <c r="EC1020" s="0"/>
      <c r="ED1020" s="0"/>
      <c r="EE1020" s="0"/>
      <c r="EF1020" s="0"/>
      <c r="EG1020" s="0"/>
      <c r="EH1020" s="0"/>
      <c r="EI1020" s="0"/>
      <c r="EJ1020" s="0"/>
      <c r="EK1020" s="0"/>
      <c r="EL1020" s="0"/>
      <c r="EM1020" s="0"/>
      <c r="EN1020" s="0"/>
      <c r="EO1020" s="0"/>
      <c r="EP1020" s="0"/>
      <c r="EQ1020" s="0"/>
      <c r="ER1020" s="0"/>
      <c r="ES1020" s="0"/>
      <c r="ET1020" s="0"/>
      <c r="EU1020" s="0"/>
      <c r="EV1020" s="0"/>
      <c r="EW1020" s="0"/>
      <c r="EX1020" s="0"/>
      <c r="EY1020" s="0"/>
      <c r="EZ1020" s="0"/>
      <c r="FA1020" s="0"/>
      <c r="FB1020" s="0"/>
      <c r="FC1020" s="0"/>
      <c r="FD1020" s="0"/>
      <c r="FE1020" s="0"/>
      <c r="FF1020" s="0"/>
      <c r="FG1020" s="0"/>
      <c r="FH1020" s="0"/>
      <c r="FI1020" s="0"/>
      <c r="FJ1020" s="0"/>
      <c r="FK1020" s="0"/>
      <c r="FL1020" s="0"/>
      <c r="FM1020" s="0"/>
      <c r="FN1020" s="0"/>
      <c r="FO1020" s="0"/>
      <c r="FP1020" s="0"/>
      <c r="FQ1020" s="0"/>
      <c r="FR1020" s="0"/>
      <c r="FS1020" s="0"/>
      <c r="FT1020" s="0"/>
      <c r="FU1020" s="0"/>
      <c r="FV1020" s="0"/>
      <c r="FW1020" s="0"/>
      <c r="FX1020" s="0"/>
      <c r="FY1020" s="0"/>
      <c r="FZ1020" s="0"/>
      <c r="GA1020" s="0"/>
      <c r="GB1020" s="0"/>
      <c r="GC1020" s="0"/>
      <c r="GD1020" s="0"/>
      <c r="GE1020" s="0"/>
      <c r="GF1020" s="0"/>
      <c r="GG1020" s="0"/>
      <c r="GH1020" s="0"/>
      <c r="GI1020" s="0"/>
      <c r="GJ1020" s="0"/>
      <c r="GK1020" s="0"/>
      <c r="GL1020" s="0"/>
      <c r="GM1020" s="0"/>
      <c r="GN1020" s="0"/>
      <c r="GO1020" s="0"/>
      <c r="GP1020" s="0"/>
      <c r="GQ1020" s="0"/>
      <c r="GR1020" s="0"/>
      <c r="GS1020" s="0"/>
      <c r="GT1020" s="0"/>
      <c r="GU1020" s="0"/>
      <c r="GV1020" s="0"/>
      <c r="GW1020" s="0"/>
      <c r="GX1020" s="0"/>
      <c r="GY1020" s="0"/>
      <c r="GZ1020" s="0"/>
      <c r="HA1020" s="0"/>
      <c r="HB1020" s="0"/>
      <c r="HC1020" s="0"/>
      <c r="HD1020" s="0"/>
      <c r="HE1020" s="0"/>
      <c r="HF1020" s="0"/>
      <c r="HG1020" s="0"/>
      <c r="HH1020" s="0"/>
      <c r="HI1020" s="0"/>
      <c r="HJ1020" s="0"/>
      <c r="HK1020" s="0"/>
      <c r="HL1020" s="0"/>
      <c r="HM1020" s="0"/>
      <c r="HN1020" s="0"/>
      <c r="HO1020" s="0"/>
      <c r="HP1020" s="0"/>
      <c r="HQ1020" s="0"/>
      <c r="HR1020" s="0"/>
      <c r="HS1020" s="0"/>
      <c r="HT1020" s="0"/>
      <c r="HU1020" s="0"/>
      <c r="HV1020" s="0"/>
      <c r="HW1020" s="0"/>
      <c r="HX1020" s="0"/>
      <c r="HY1020" s="0"/>
      <c r="HZ1020" s="0"/>
      <c r="IA1020" s="0"/>
      <c r="IB1020" s="0"/>
      <c r="IC1020" s="0"/>
      <c r="ID1020" s="0"/>
      <c r="IE1020" s="0"/>
      <c r="IF1020" s="0"/>
      <c r="IG1020" s="0"/>
      <c r="IH1020" s="0"/>
      <c r="II1020" s="0"/>
      <c r="IJ1020" s="0"/>
      <c r="IK1020" s="0"/>
      <c r="IL1020" s="0"/>
      <c r="IM1020" s="0"/>
      <c r="IN1020" s="0"/>
      <c r="IO1020" s="0"/>
      <c r="IP1020" s="0"/>
      <c r="IQ1020" s="0"/>
      <c r="IR1020" s="0"/>
      <c r="IS1020" s="0"/>
      <c r="IT1020" s="0"/>
      <c r="IU1020" s="0"/>
      <c r="IV1020" s="0"/>
    </row>
    <row r="1021" customFormat="false" ht="15.75" hidden="false" customHeight="true" outlineLevel="0" collapsed="false">
      <c r="A1021" s="14" t="s">
        <v>1686</v>
      </c>
      <c r="D1021" s="1119" t="n">
        <f aca="false">MIN(3,SUM(E1022:E1025))</f>
        <v>2</v>
      </c>
      <c r="F1021" s="935"/>
      <c r="G1021" s="14"/>
      <c r="H1021" s="0"/>
      <c r="I1021" s="0"/>
      <c r="J1021" s="0"/>
      <c r="K1021" s="903"/>
      <c r="L1021" s="877" t="s">
        <v>1678</v>
      </c>
      <c r="M1021" s="0"/>
      <c r="N1021" s="0"/>
      <c r="O1021" s="0"/>
      <c r="P1021" s="0"/>
      <c r="Q1021" s="0"/>
      <c r="R1021" s="0"/>
      <c r="S1021" s="0"/>
      <c r="T1021" s="0"/>
      <c r="U1021" s="0"/>
      <c r="V1021" s="0"/>
      <c r="W1021" s="0"/>
      <c r="X1021" s="0"/>
      <c r="Y1021" s="0"/>
      <c r="Z1021" s="0"/>
      <c r="AA1021" s="0"/>
      <c r="AB1021" s="0"/>
      <c r="AC1021" s="0"/>
      <c r="AD1021" s="0"/>
      <c r="AE1021" s="0"/>
      <c r="AF1021" s="0"/>
      <c r="AG1021" s="0"/>
      <c r="AH1021" s="0"/>
      <c r="AI1021" s="0"/>
      <c r="AJ1021" s="0"/>
      <c r="AK1021" s="0"/>
      <c r="AL1021" s="0"/>
      <c r="AM1021" s="0"/>
      <c r="AN1021" s="0"/>
      <c r="AO1021" s="0"/>
      <c r="AP1021" s="0"/>
      <c r="AQ1021" s="0"/>
      <c r="AR1021" s="0"/>
      <c r="AS1021" s="0"/>
      <c r="AT1021" s="0"/>
      <c r="AU1021" s="0"/>
      <c r="AV1021" s="0"/>
      <c r="AW1021" s="0"/>
      <c r="AX1021" s="0"/>
      <c r="AY1021" s="0"/>
      <c r="AZ1021" s="0"/>
      <c r="BA1021" s="0"/>
      <c r="BB1021" s="0"/>
      <c r="BC1021" s="0"/>
      <c r="BD1021" s="0"/>
      <c r="BE1021" s="0"/>
      <c r="BF1021" s="0"/>
      <c r="BG1021" s="0"/>
      <c r="BH1021" s="0"/>
      <c r="BI1021" s="0"/>
      <c r="BJ1021" s="0"/>
      <c r="BK1021" s="0"/>
      <c r="BL1021" s="0"/>
      <c r="BM1021" s="0"/>
      <c r="BN1021" s="0"/>
      <c r="BO1021" s="0"/>
      <c r="BP1021" s="0"/>
      <c r="BQ1021" s="0"/>
      <c r="BR1021" s="0"/>
      <c r="BS1021" s="0"/>
      <c r="BT1021" s="0"/>
      <c r="BU1021" s="0"/>
      <c r="BV1021" s="0"/>
      <c r="BW1021" s="0"/>
      <c r="BX1021" s="0"/>
      <c r="BY1021" s="0"/>
      <c r="BZ1021" s="0"/>
      <c r="CA1021" s="0"/>
      <c r="CB1021" s="0"/>
      <c r="CC1021" s="0"/>
      <c r="CD1021" s="0"/>
      <c r="CE1021" s="0"/>
      <c r="CF1021" s="0"/>
      <c r="CG1021" s="0"/>
      <c r="CH1021" s="0"/>
      <c r="CI1021" s="0"/>
      <c r="CJ1021" s="0"/>
      <c r="CK1021" s="0"/>
      <c r="CL1021" s="0"/>
      <c r="CM1021" s="0"/>
      <c r="CN1021" s="0"/>
      <c r="CO1021" s="0"/>
      <c r="CP1021" s="0"/>
      <c r="CQ1021" s="0"/>
      <c r="CR1021" s="0"/>
      <c r="CS1021" s="0"/>
      <c r="CT1021" s="0"/>
      <c r="CU1021" s="0"/>
      <c r="CV1021" s="0"/>
      <c r="CW1021" s="0"/>
      <c r="CX1021" s="0"/>
      <c r="CY1021" s="0"/>
      <c r="CZ1021" s="0"/>
      <c r="DA1021" s="0"/>
      <c r="DB1021" s="0"/>
      <c r="DC1021" s="0"/>
      <c r="DD1021" s="0"/>
      <c r="DE1021" s="0"/>
      <c r="DF1021" s="0"/>
      <c r="DG1021" s="0"/>
      <c r="DH1021" s="0"/>
      <c r="DI1021" s="0"/>
      <c r="DJ1021" s="0"/>
      <c r="DK1021" s="0"/>
      <c r="DL1021" s="0"/>
      <c r="DM1021" s="0"/>
      <c r="DN1021" s="0"/>
      <c r="DO1021" s="0"/>
      <c r="DP1021" s="0"/>
      <c r="DQ1021" s="0"/>
      <c r="DR1021" s="0"/>
      <c r="DS1021" s="0"/>
      <c r="DT1021" s="0"/>
      <c r="DU1021" s="0"/>
      <c r="DV1021" s="0"/>
      <c r="DW1021" s="0"/>
      <c r="DX1021" s="0"/>
      <c r="DY1021" s="0"/>
      <c r="DZ1021" s="0"/>
      <c r="EA1021" s="0"/>
      <c r="EB1021" s="0"/>
      <c r="EC1021" s="0"/>
      <c r="ED1021" s="0"/>
      <c r="EE1021" s="0"/>
      <c r="EF1021" s="0"/>
      <c r="EG1021" s="0"/>
      <c r="EH1021" s="0"/>
      <c r="EI1021" s="0"/>
      <c r="EJ1021" s="0"/>
      <c r="EK1021" s="0"/>
      <c r="EL1021" s="0"/>
      <c r="EM1021" s="0"/>
      <c r="EN1021" s="0"/>
      <c r="EO1021" s="0"/>
      <c r="EP1021" s="0"/>
      <c r="EQ1021" s="0"/>
      <c r="ER1021" s="0"/>
      <c r="ES1021" s="0"/>
      <c r="ET1021" s="0"/>
      <c r="EU1021" s="0"/>
      <c r="EV1021" s="0"/>
      <c r="EW1021" s="0"/>
      <c r="EX1021" s="0"/>
      <c r="EY1021" s="0"/>
      <c r="EZ1021" s="0"/>
      <c r="FA1021" s="0"/>
      <c r="FB1021" s="0"/>
      <c r="FC1021" s="0"/>
      <c r="FD1021" s="0"/>
      <c r="FE1021" s="0"/>
      <c r="FF1021" s="0"/>
      <c r="FG1021" s="0"/>
      <c r="FH1021" s="0"/>
      <c r="FI1021" s="0"/>
      <c r="FJ1021" s="0"/>
      <c r="FK1021" s="0"/>
      <c r="FL1021" s="0"/>
      <c r="FM1021" s="0"/>
      <c r="FN1021" s="0"/>
      <c r="FO1021" s="0"/>
      <c r="FP1021" s="0"/>
      <c r="FQ1021" s="0"/>
      <c r="FR1021" s="0"/>
      <c r="FS1021" s="0"/>
      <c r="FT1021" s="0"/>
      <c r="FU1021" s="0"/>
      <c r="FV1021" s="0"/>
      <c r="FW1021" s="0"/>
      <c r="FX1021" s="0"/>
      <c r="FY1021" s="0"/>
      <c r="FZ1021" s="0"/>
      <c r="GA1021" s="0"/>
      <c r="GB1021" s="0"/>
      <c r="GC1021" s="0"/>
      <c r="GD1021" s="0"/>
      <c r="GE1021" s="0"/>
      <c r="GF1021" s="0"/>
      <c r="GG1021" s="0"/>
      <c r="GH1021" s="0"/>
      <c r="GI1021" s="0"/>
      <c r="GJ1021" s="0"/>
      <c r="GK1021" s="0"/>
      <c r="GL1021" s="0"/>
      <c r="GM1021" s="0"/>
      <c r="GN1021" s="0"/>
      <c r="GO1021" s="0"/>
      <c r="GP1021" s="0"/>
      <c r="GQ1021" s="0"/>
      <c r="GR1021" s="0"/>
      <c r="GS1021" s="0"/>
      <c r="GT1021" s="0"/>
      <c r="GU1021" s="0"/>
      <c r="GV1021" s="0"/>
      <c r="GW1021" s="0"/>
      <c r="GX1021" s="0"/>
      <c r="GY1021" s="0"/>
      <c r="GZ1021" s="0"/>
      <c r="HA1021" s="0"/>
      <c r="HB1021" s="0"/>
      <c r="HC1021" s="0"/>
      <c r="HD1021" s="0"/>
      <c r="HE1021" s="0"/>
      <c r="HF1021" s="0"/>
      <c r="HG1021" s="0"/>
      <c r="HH1021" s="0"/>
      <c r="HI1021" s="0"/>
      <c r="HJ1021" s="0"/>
      <c r="HK1021" s="0"/>
      <c r="HL1021" s="0"/>
      <c r="HM1021" s="0"/>
      <c r="HN1021" s="0"/>
      <c r="HO1021" s="0"/>
      <c r="HP1021" s="0"/>
      <c r="HQ1021" s="0"/>
      <c r="HR1021" s="0"/>
      <c r="HS1021" s="0"/>
      <c r="HT1021" s="0"/>
      <c r="HU1021" s="0"/>
      <c r="HV1021" s="0"/>
      <c r="HW1021" s="0"/>
      <c r="HX1021" s="0"/>
      <c r="HY1021" s="0"/>
      <c r="HZ1021" s="0"/>
      <c r="IA1021" s="0"/>
      <c r="IB1021" s="0"/>
      <c r="IC1021" s="0"/>
      <c r="ID1021" s="0"/>
      <c r="IE1021" s="0"/>
      <c r="IF1021" s="0"/>
      <c r="IG1021" s="0"/>
      <c r="IH1021" s="0"/>
      <c r="II1021" s="0"/>
      <c r="IJ1021" s="0"/>
      <c r="IK1021" s="0"/>
      <c r="IL1021" s="0"/>
      <c r="IM1021" s="0"/>
      <c r="IN1021" s="0"/>
      <c r="IO1021" s="0"/>
      <c r="IP1021" s="0"/>
      <c r="IQ1021" s="0"/>
      <c r="IR1021" s="0"/>
      <c r="IS1021" s="0"/>
      <c r="IT1021" s="0"/>
      <c r="IU1021" s="0"/>
      <c r="IV1021" s="0"/>
    </row>
    <row r="1022" customFormat="false" ht="15.75" hidden="false" customHeight="true" outlineLevel="0" collapsed="false">
      <c r="A1022" s="16" t="s">
        <v>761</v>
      </c>
      <c r="D1022" s="1257" t="s">
        <v>254</v>
      </c>
      <c r="E1022" s="1284" t="n">
        <f aca="false">IF(D1022="oui",1,0)</f>
        <v>0</v>
      </c>
      <c r="F1022" s="935"/>
      <c r="G1022" s="14"/>
      <c r="H1022" s="0"/>
      <c r="I1022" s="0"/>
      <c r="J1022" s="0"/>
      <c r="K1022" s="903"/>
      <c r="L1022" s="877"/>
      <c r="M1022" s="0"/>
      <c r="N1022" s="0"/>
      <c r="O1022" s="0"/>
      <c r="P1022" s="0"/>
      <c r="Q1022" s="0"/>
      <c r="R1022" s="0"/>
      <c r="S1022" s="0"/>
      <c r="T1022" s="0"/>
      <c r="U1022" s="0"/>
      <c r="V1022" s="0"/>
      <c r="W1022" s="0"/>
      <c r="X1022" s="0"/>
      <c r="Y1022" s="0"/>
      <c r="Z1022" s="0"/>
      <c r="AA1022" s="0"/>
      <c r="AB1022" s="0"/>
      <c r="AC1022" s="0"/>
      <c r="AD1022" s="0"/>
      <c r="AE1022" s="0"/>
      <c r="AF1022" s="0"/>
      <c r="AG1022" s="0"/>
      <c r="AH1022" s="0"/>
      <c r="AI1022" s="0"/>
      <c r="AJ1022" s="0"/>
      <c r="AK1022" s="0"/>
      <c r="AL1022" s="0"/>
      <c r="AM1022" s="0"/>
      <c r="AN1022" s="0"/>
      <c r="AO1022" s="0"/>
      <c r="AP1022" s="0"/>
      <c r="AQ1022" s="0"/>
      <c r="AR1022" s="0"/>
      <c r="AS1022" s="0"/>
      <c r="AT1022" s="0"/>
      <c r="AU1022" s="0"/>
      <c r="AV1022" s="0"/>
      <c r="AW1022" s="0"/>
      <c r="AX1022" s="0"/>
      <c r="AY1022" s="0"/>
      <c r="AZ1022" s="0"/>
      <c r="BA1022" s="0"/>
      <c r="BB1022" s="0"/>
      <c r="BC1022" s="0"/>
      <c r="BD1022" s="0"/>
      <c r="BE1022" s="0"/>
      <c r="BF1022" s="0"/>
      <c r="BG1022" s="0"/>
      <c r="BH1022" s="0"/>
      <c r="BI1022" s="0"/>
      <c r="BJ1022" s="0"/>
      <c r="BK1022" s="0"/>
      <c r="BL1022" s="0"/>
      <c r="BM1022" s="0"/>
      <c r="BN1022" s="0"/>
      <c r="BO1022" s="0"/>
      <c r="BP1022" s="0"/>
      <c r="BQ1022" s="0"/>
      <c r="BR1022" s="0"/>
      <c r="BS1022" s="0"/>
      <c r="BT1022" s="0"/>
      <c r="BU1022" s="0"/>
      <c r="BV1022" s="0"/>
      <c r="BW1022" s="0"/>
      <c r="BX1022" s="0"/>
      <c r="BY1022" s="0"/>
      <c r="BZ1022" s="0"/>
      <c r="CA1022" s="0"/>
      <c r="CB1022" s="0"/>
      <c r="CC1022" s="0"/>
      <c r="CD1022" s="0"/>
      <c r="CE1022" s="0"/>
      <c r="CF1022" s="0"/>
      <c r="CG1022" s="0"/>
      <c r="CH1022" s="0"/>
      <c r="CI1022" s="0"/>
      <c r="CJ1022" s="0"/>
      <c r="CK1022" s="0"/>
      <c r="CL1022" s="0"/>
      <c r="CM1022" s="0"/>
      <c r="CN1022" s="0"/>
      <c r="CO1022" s="0"/>
      <c r="CP1022" s="0"/>
      <c r="CQ1022" s="0"/>
      <c r="CR1022" s="0"/>
      <c r="CS1022" s="0"/>
      <c r="CT1022" s="0"/>
      <c r="CU1022" s="0"/>
      <c r="CV1022" s="0"/>
      <c r="CW1022" s="0"/>
      <c r="CX1022" s="0"/>
      <c r="CY1022" s="0"/>
      <c r="CZ1022" s="0"/>
      <c r="DA1022" s="0"/>
      <c r="DB1022" s="0"/>
      <c r="DC1022" s="0"/>
      <c r="DD1022" s="0"/>
      <c r="DE1022" s="0"/>
      <c r="DF1022" s="0"/>
      <c r="DG1022" s="0"/>
      <c r="DH1022" s="0"/>
      <c r="DI1022" s="0"/>
      <c r="DJ1022" s="0"/>
      <c r="DK1022" s="0"/>
      <c r="DL1022" s="0"/>
      <c r="DM1022" s="0"/>
      <c r="DN1022" s="0"/>
      <c r="DO1022" s="0"/>
      <c r="DP1022" s="0"/>
      <c r="DQ1022" s="0"/>
      <c r="DR1022" s="0"/>
      <c r="DS1022" s="0"/>
      <c r="DT1022" s="0"/>
      <c r="DU1022" s="0"/>
      <c r="DV1022" s="0"/>
      <c r="DW1022" s="0"/>
      <c r="DX1022" s="0"/>
      <c r="DY1022" s="0"/>
      <c r="DZ1022" s="0"/>
      <c r="EA1022" s="0"/>
      <c r="EB1022" s="0"/>
      <c r="EC1022" s="0"/>
      <c r="ED1022" s="0"/>
      <c r="EE1022" s="0"/>
      <c r="EF1022" s="0"/>
      <c r="EG1022" s="0"/>
      <c r="EH1022" s="0"/>
      <c r="EI1022" s="0"/>
      <c r="EJ1022" s="0"/>
      <c r="EK1022" s="0"/>
      <c r="EL1022" s="0"/>
      <c r="EM1022" s="0"/>
      <c r="EN1022" s="0"/>
      <c r="EO1022" s="0"/>
      <c r="EP1022" s="0"/>
      <c r="EQ1022" s="0"/>
      <c r="ER1022" s="0"/>
      <c r="ES1022" s="0"/>
      <c r="ET1022" s="0"/>
      <c r="EU1022" s="0"/>
      <c r="EV1022" s="0"/>
      <c r="EW1022" s="0"/>
      <c r="EX1022" s="0"/>
      <c r="EY1022" s="0"/>
      <c r="EZ1022" s="0"/>
      <c r="FA1022" s="0"/>
      <c r="FB1022" s="0"/>
      <c r="FC1022" s="0"/>
      <c r="FD1022" s="0"/>
      <c r="FE1022" s="0"/>
      <c r="FF1022" s="0"/>
      <c r="FG1022" s="0"/>
      <c r="FH1022" s="0"/>
      <c r="FI1022" s="0"/>
      <c r="FJ1022" s="0"/>
      <c r="FK1022" s="0"/>
      <c r="FL1022" s="0"/>
      <c r="FM1022" s="0"/>
      <c r="FN1022" s="0"/>
      <c r="FO1022" s="0"/>
      <c r="FP1022" s="0"/>
      <c r="FQ1022" s="0"/>
      <c r="FR1022" s="0"/>
      <c r="FS1022" s="0"/>
      <c r="FT1022" s="0"/>
      <c r="FU1022" s="0"/>
      <c r="FV1022" s="0"/>
      <c r="FW1022" s="0"/>
      <c r="FX1022" s="0"/>
      <c r="FY1022" s="0"/>
      <c r="FZ1022" s="0"/>
      <c r="GA1022" s="0"/>
      <c r="GB1022" s="0"/>
      <c r="GC1022" s="0"/>
      <c r="GD1022" s="0"/>
      <c r="GE1022" s="0"/>
      <c r="GF1022" s="0"/>
      <c r="GG1022" s="0"/>
      <c r="GH1022" s="0"/>
      <c r="GI1022" s="0"/>
      <c r="GJ1022" s="0"/>
      <c r="GK1022" s="0"/>
      <c r="GL1022" s="0"/>
      <c r="GM1022" s="0"/>
      <c r="GN1022" s="0"/>
      <c r="GO1022" s="0"/>
      <c r="GP1022" s="0"/>
      <c r="GQ1022" s="0"/>
      <c r="GR1022" s="0"/>
      <c r="GS1022" s="0"/>
      <c r="GT1022" s="0"/>
      <c r="GU1022" s="0"/>
      <c r="GV1022" s="0"/>
      <c r="GW1022" s="0"/>
      <c r="GX1022" s="0"/>
      <c r="GY1022" s="0"/>
      <c r="GZ1022" s="0"/>
      <c r="HA1022" s="0"/>
      <c r="HB1022" s="0"/>
      <c r="HC1022" s="0"/>
      <c r="HD1022" s="0"/>
      <c r="HE1022" s="0"/>
      <c r="HF1022" s="0"/>
      <c r="HG1022" s="0"/>
      <c r="HH1022" s="0"/>
      <c r="HI1022" s="0"/>
      <c r="HJ1022" s="0"/>
      <c r="HK1022" s="0"/>
      <c r="HL1022" s="0"/>
      <c r="HM1022" s="0"/>
      <c r="HN1022" s="0"/>
      <c r="HO1022" s="0"/>
      <c r="HP1022" s="0"/>
      <c r="HQ1022" s="0"/>
      <c r="HR1022" s="0"/>
      <c r="HS1022" s="0"/>
      <c r="HT1022" s="0"/>
      <c r="HU1022" s="0"/>
      <c r="HV1022" s="0"/>
      <c r="HW1022" s="0"/>
      <c r="HX1022" s="0"/>
      <c r="HY1022" s="0"/>
      <c r="HZ1022" s="0"/>
      <c r="IA1022" s="0"/>
      <c r="IB1022" s="0"/>
      <c r="IC1022" s="0"/>
      <c r="ID1022" s="0"/>
      <c r="IE1022" s="0"/>
      <c r="IF1022" s="0"/>
      <c r="IG1022" s="0"/>
      <c r="IH1022" s="0"/>
      <c r="II1022" s="0"/>
      <c r="IJ1022" s="0"/>
      <c r="IK1022" s="0"/>
      <c r="IL1022" s="0"/>
      <c r="IM1022" s="0"/>
      <c r="IN1022" s="0"/>
      <c r="IO1022" s="0"/>
      <c r="IP1022" s="0"/>
      <c r="IQ1022" s="0"/>
      <c r="IR1022" s="0"/>
      <c r="IS1022" s="0"/>
      <c r="IT1022" s="0"/>
      <c r="IU1022" s="0"/>
      <c r="IV1022" s="0"/>
    </row>
    <row r="1023" customFormat="false" ht="15.75" hidden="false" customHeight="true" outlineLevel="0" collapsed="false">
      <c r="A1023" s="11" t="s">
        <v>760</v>
      </c>
      <c r="D1023" s="1257" t="s">
        <v>253</v>
      </c>
      <c r="E1023" s="1284" t="n">
        <f aca="false">IF(D1023="oui",1,0)</f>
        <v>1</v>
      </c>
      <c r="F1023" s="935"/>
      <c r="G1023" s="14"/>
      <c r="H1023" s="0"/>
      <c r="I1023" s="0"/>
      <c r="K1023" s="903"/>
      <c r="L1023" s="877"/>
      <c r="M1023" s="0"/>
      <c r="N1023" s="0"/>
      <c r="O1023" s="0"/>
      <c r="P1023" s="0"/>
      <c r="Q1023" s="0"/>
      <c r="R1023" s="0"/>
      <c r="S1023" s="0"/>
      <c r="T1023" s="0"/>
      <c r="U1023" s="0"/>
      <c r="V1023" s="0"/>
      <c r="W1023" s="0"/>
      <c r="X1023" s="0"/>
      <c r="Y1023" s="0"/>
      <c r="Z1023" s="0"/>
      <c r="AA1023" s="0"/>
      <c r="AB1023" s="0"/>
      <c r="AC1023" s="0"/>
      <c r="AD1023" s="0"/>
      <c r="AE1023" s="0"/>
      <c r="AF1023" s="0"/>
      <c r="AG1023" s="0"/>
      <c r="AH1023" s="0"/>
      <c r="AI1023" s="0"/>
      <c r="AJ1023" s="0"/>
      <c r="AK1023" s="0"/>
      <c r="AL1023" s="0"/>
      <c r="AM1023" s="0"/>
      <c r="AN1023" s="0"/>
      <c r="AO1023" s="0"/>
      <c r="AP1023" s="0"/>
      <c r="AQ1023" s="0"/>
      <c r="AR1023" s="0"/>
      <c r="AS1023" s="0"/>
      <c r="AT1023" s="0"/>
      <c r="AU1023" s="0"/>
      <c r="AV1023" s="0"/>
      <c r="AW1023" s="0"/>
      <c r="AX1023" s="0"/>
      <c r="AY1023" s="0"/>
      <c r="AZ1023" s="0"/>
      <c r="BA1023" s="0"/>
      <c r="BB1023" s="0"/>
      <c r="BC1023" s="0"/>
      <c r="BD1023" s="0"/>
      <c r="BE1023" s="0"/>
      <c r="BF1023" s="0"/>
      <c r="BG1023" s="0"/>
      <c r="BH1023" s="0"/>
      <c r="BI1023" s="0"/>
      <c r="BJ1023" s="0"/>
      <c r="BK1023" s="0"/>
      <c r="BL1023" s="0"/>
      <c r="BM1023" s="0"/>
      <c r="BN1023" s="0"/>
      <c r="BO1023" s="0"/>
      <c r="BP1023" s="0"/>
      <c r="BQ1023" s="0"/>
      <c r="BR1023" s="0"/>
      <c r="BS1023" s="0"/>
      <c r="BT1023" s="0"/>
      <c r="BU1023" s="0"/>
      <c r="BV1023" s="0"/>
      <c r="BW1023" s="0"/>
      <c r="BX1023" s="0"/>
      <c r="BY1023" s="0"/>
      <c r="BZ1023" s="0"/>
      <c r="CA1023" s="0"/>
      <c r="CB1023" s="0"/>
      <c r="CC1023" s="0"/>
      <c r="CD1023" s="0"/>
      <c r="CE1023" s="0"/>
      <c r="CF1023" s="0"/>
      <c r="CG1023" s="0"/>
      <c r="CH1023" s="0"/>
      <c r="CI1023" s="0"/>
      <c r="CJ1023" s="0"/>
      <c r="CK1023" s="0"/>
      <c r="CL1023" s="0"/>
      <c r="CM1023" s="0"/>
      <c r="CN1023" s="0"/>
      <c r="CO1023" s="0"/>
      <c r="CP1023" s="0"/>
      <c r="CQ1023" s="0"/>
      <c r="CR1023" s="0"/>
      <c r="CS1023" s="0"/>
      <c r="CT1023" s="0"/>
      <c r="CU1023" s="0"/>
      <c r="CV1023" s="0"/>
      <c r="CW1023" s="0"/>
      <c r="CX1023" s="0"/>
      <c r="CY1023" s="0"/>
      <c r="CZ1023" s="0"/>
      <c r="DA1023" s="0"/>
      <c r="DB1023" s="0"/>
      <c r="DC1023" s="0"/>
      <c r="DD1023" s="0"/>
      <c r="DE1023" s="0"/>
      <c r="DF1023" s="0"/>
      <c r="DG1023" s="0"/>
      <c r="DH1023" s="0"/>
      <c r="DI1023" s="0"/>
      <c r="DJ1023" s="0"/>
      <c r="DK1023" s="0"/>
      <c r="DL1023" s="0"/>
      <c r="DM1023" s="0"/>
      <c r="DN1023" s="0"/>
      <c r="DO1023" s="0"/>
      <c r="DP1023" s="0"/>
      <c r="DQ1023" s="0"/>
      <c r="DR1023" s="0"/>
      <c r="DS1023" s="0"/>
      <c r="DT1023" s="0"/>
      <c r="DU1023" s="0"/>
      <c r="DV1023" s="0"/>
      <c r="DW1023" s="0"/>
      <c r="DX1023" s="0"/>
      <c r="DY1023" s="0"/>
      <c r="DZ1023" s="0"/>
      <c r="EA1023" s="0"/>
      <c r="EB1023" s="0"/>
      <c r="EC1023" s="0"/>
      <c r="ED1023" s="0"/>
      <c r="EE1023" s="0"/>
      <c r="EF1023" s="0"/>
      <c r="EG1023" s="0"/>
      <c r="EH1023" s="0"/>
      <c r="EI1023" s="0"/>
      <c r="EJ1023" s="0"/>
      <c r="EK1023" s="0"/>
      <c r="EL1023" s="0"/>
      <c r="EM1023" s="0"/>
      <c r="EN1023" s="0"/>
      <c r="EO1023" s="0"/>
      <c r="EP1023" s="0"/>
      <c r="EQ1023" s="0"/>
      <c r="ER1023" s="0"/>
      <c r="ES1023" s="0"/>
      <c r="ET1023" s="0"/>
      <c r="EU1023" s="0"/>
      <c r="EV1023" s="0"/>
      <c r="EW1023" s="0"/>
      <c r="EX1023" s="0"/>
      <c r="EY1023" s="0"/>
      <c r="EZ1023" s="0"/>
      <c r="FA1023" s="0"/>
      <c r="FB1023" s="0"/>
      <c r="FC1023" s="0"/>
      <c r="FD1023" s="0"/>
      <c r="FE1023" s="0"/>
      <c r="FF1023" s="0"/>
      <c r="FG1023" s="0"/>
      <c r="FH1023" s="0"/>
      <c r="FI1023" s="0"/>
      <c r="FJ1023" s="0"/>
      <c r="FK1023" s="0"/>
      <c r="FL1023" s="0"/>
      <c r="FM1023" s="0"/>
      <c r="FN1023" s="0"/>
      <c r="FO1023" s="0"/>
      <c r="FP1023" s="0"/>
      <c r="FQ1023" s="0"/>
      <c r="FR1023" s="0"/>
      <c r="FS1023" s="0"/>
      <c r="FT1023" s="0"/>
      <c r="FU1023" s="0"/>
      <c r="FV1023" s="0"/>
      <c r="FW1023" s="0"/>
      <c r="FX1023" s="0"/>
      <c r="FY1023" s="0"/>
      <c r="FZ1023" s="0"/>
      <c r="GA1023" s="0"/>
      <c r="GB1023" s="0"/>
      <c r="GC1023" s="0"/>
      <c r="GD1023" s="0"/>
      <c r="GE1023" s="0"/>
      <c r="GF1023" s="0"/>
      <c r="GG1023" s="0"/>
      <c r="GH1023" s="0"/>
      <c r="GI1023" s="0"/>
      <c r="GJ1023" s="0"/>
      <c r="GK1023" s="0"/>
      <c r="GL1023" s="0"/>
      <c r="GM1023" s="0"/>
      <c r="GN1023" s="0"/>
      <c r="GO1023" s="0"/>
      <c r="GP1023" s="0"/>
      <c r="GQ1023" s="0"/>
      <c r="GR1023" s="0"/>
      <c r="GS1023" s="0"/>
      <c r="GT1023" s="0"/>
      <c r="GU1023" s="0"/>
      <c r="GV1023" s="0"/>
      <c r="GW1023" s="0"/>
      <c r="GX1023" s="0"/>
      <c r="GY1023" s="0"/>
      <c r="GZ1023" s="0"/>
      <c r="HA1023" s="0"/>
      <c r="HB1023" s="0"/>
      <c r="HC1023" s="0"/>
      <c r="HD1023" s="0"/>
      <c r="HE1023" s="0"/>
      <c r="HF1023" s="0"/>
      <c r="HG1023" s="0"/>
      <c r="HH1023" s="0"/>
      <c r="HI1023" s="0"/>
      <c r="HJ1023" s="0"/>
      <c r="HK1023" s="0"/>
      <c r="HL1023" s="0"/>
      <c r="HM1023" s="0"/>
      <c r="HN1023" s="0"/>
      <c r="HO1023" s="0"/>
      <c r="HP1023" s="0"/>
      <c r="HQ1023" s="0"/>
      <c r="HR1023" s="0"/>
      <c r="HS1023" s="0"/>
      <c r="HT1023" s="0"/>
      <c r="HU1023" s="0"/>
      <c r="HV1023" s="0"/>
      <c r="HW1023" s="0"/>
      <c r="HX1023" s="0"/>
      <c r="HY1023" s="0"/>
      <c r="HZ1023" s="0"/>
      <c r="IA1023" s="0"/>
      <c r="IB1023" s="0"/>
      <c r="IC1023" s="0"/>
      <c r="ID1023" s="0"/>
      <c r="IE1023" s="0"/>
      <c r="IF1023" s="0"/>
      <c r="IG1023" s="0"/>
      <c r="IH1023" s="0"/>
      <c r="II1023" s="0"/>
      <c r="IJ1023" s="0"/>
      <c r="IK1023" s="0"/>
      <c r="IL1023" s="0"/>
      <c r="IM1023" s="0"/>
      <c r="IN1023" s="0"/>
      <c r="IO1023" s="0"/>
      <c r="IP1023" s="0"/>
      <c r="IQ1023" s="0"/>
      <c r="IR1023" s="0"/>
      <c r="IS1023" s="0"/>
      <c r="IT1023" s="0"/>
      <c r="IU1023" s="0"/>
      <c r="IV1023" s="0"/>
    </row>
    <row r="1024" customFormat="false" ht="15.75" hidden="false" customHeight="true" outlineLevel="0" collapsed="false">
      <c r="A1024" s="11" t="s">
        <v>762</v>
      </c>
      <c r="B1024" s="0"/>
      <c r="C1024" s="0"/>
      <c r="D1024" s="1257" t="s">
        <v>253</v>
      </c>
      <c r="E1024" s="1284" t="n">
        <f aca="false">IF(D1024="oui",1,0)</f>
        <v>1</v>
      </c>
      <c r="F1024" s="935"/>
      <c r="G1024" s="14"/>
      <c r="H1024" s="0"/>
      <c r="I1024" s="0"/>
      <c r="J1024" s="620"/>
      <c r="K1024" s="903"/>
      <c r="L1024" s="877"/>
      <c r="M1024" s="0"/>
      <c r="N1024" s="0"/>
      <c r="O1024" s="0"/>
      <c r="P1024" s="0"/>
      <c r="Q1024" s="0"/>
      <c r="R1024" s="0"/>
      <c r="S1024" s="0"/>
      <c r="T1024" s="0"/>
      <c r="U1024" s="0"/>
      <c r="V1024" s="0"/>
      <c r="W1024" s="0"/>
      <c r="X1024" s="0"/>
      <c r="Y1024" s="0"/>
      <c r="Z1024" s="0"/>
      <c r="AA1024" s="0"/>
      <c r="AB1024" s="0"/>
      <c r="AC1024" s="0"/>
      <c r="AD1024" s="0"/>
      <c r="AE1024" s="0"/>
      <c r="AF1024" s="0"/>
      <c r="AG1024" s="0"/>
      <c r="AH1024" s="0"/>
      <c r="AI1024" s="0"/>
      <c r="AJ1024" s="0"/>
      <c r="AK1024" s="0"/>
      <c r="AL1024" s="0"/>
      <c r="AM1024" s="0"/>
      <c r="AN1024" s="0"/>
      <c r="AO1024" s="0"/>
      <c r="AP1024" s="0"/>
      <c r="AQ1024" s="0"/>
      <c r="AR1024" s="0"/>
      <c r="AS1024" s="0"/>
      <c r="AT1024" s="0"/>
      <c r="AU1024" s="0"/>
      <c r="AV1024" s="0"/>
      <c r="AW1024" s="0"/>
      <c r="AX1024" s="0"/>
      <c r="AY1024" s="0"/>
      <c r="AZ1024" s="0"/>
      <c r="BA1024" s="0"/>
      <c r="BB1024" s="0"/>
      <c r="BC1024" s="0"/>
      <c r="BD1024" s="0"/>
      <c r="BE1024" s="0"/>
      <c r="BF1024" s="0"/>
      <c r="BG1024" s="0"/>
      <c r="BH1024" s="0"/>
      <c r="BI1024" s="0"/>
      <c r="BJ1024" s="0"/>
      <c r="BK1024" s="0"/>
      <c r="BL1024" s="0"/>
      <c r="BM1024" s="0"/>
      <c r="BN1024" s="0"/>
      <c r="BO1024" s="0"/>
      <c r="BP1024" s="0"/>
      <c r="BQ1024" s="0"/>
      <c r="BR1024" s="0"/>
      <c r="BS1024" s="0"/>
      <c r="BT1024" s="0"/>
      <c r="BU1024" s="0"/>
      <c r="BV1024" s="0"/>
      <c r="BW1024" s="0"/>
      <c r="BX1024" s="0"/>
      <c r="BY1024" s="0"/>
      <c r="BZ1024" s="0"/>
      <c r="CA1024" s="0"/>
      <c r="CB1024" s="0"/>
      <c r="CC1024" s="0"/>
      <c r="CD1024" s="0"/>
      <c r="CE1024" s="0"/>
      <c r="CF1024" s="0"/>
      <c r="CG1024" s="0"/>
      <c r="CH1024" s="0"/>
      <c r="CI1024" s="0"/>
      <c r="CJ1024" s="0"/>
      <c r="CK1024" s="0"/>
      <c r="CL1024" s="0"/>
      <c r="CM1024" s="0"/>
      <c r="CN1024" s="0"/>
      <c r="CO1024" s="0"/>
      <c r="CP1024" s="0"/>
      <c r="CQ1024" s="0"/>
      <c r="CR1024" s="0"/>
      <c r="CS1024" s="0"/>
      <c r="CT1024" s="0"/>
      <c r="CU1024" s="0"/>
      <c r="CV1024" s="0"/>
      <c r="CW1024" s="0"/>
      <c r="CX1024" s="0"/>
      <c r="CY1024" s="0"/>
      <c r="CZ1024" s="0"/>
      <c r="DA1024" s="0"/>
      <c r="DB1024" s="0"/>
      <c r="DC1024" s="0"/>
      <c r="DD1024" s="0"/>
      <c r="DE1024" s="0"/>
      <c r="DF1024" s="0"/>
      <c r="DG1024" s="0"/>
      <c r="DH1024" s="0"/>
      <c r="DI1024" s="0"/>
      <c r="DJ1024" s="0"/>
      <c r="DK1024" s="0"/>
      <c r="DL1024" s="0"/>
      <c r="DM1024" s="0"/>
      <c r="DN1024" s="0"/>
      <c r="DO1024" s="0"/>
      <c r="DP1024" s="0"/>
      <c r="DQ1024" s="0"/>
      <c r="DR1024" s="0"/>
      <c r="DS1024" s="0"/>
      <c r="DT1024" s="0"/>
      <c r="DU1024" s="0"/>
      <c r="DV1024" s="0"/>
      <c r="DW1024" s="0"/>
      <c r="DX1024" s="0"/>
      <c r="DY1024" s="0"/>
      <c r="DZ1024" s="0"/>
      <c r="EA1024" s="0"/>
      <c r="EB1024" s="0"/>
      <c r="EC1024" s="0"/>
      <c r="ED1024" s="0"/>
      <c r="EE1024" s="0"/>
      <c r="EF1024" s="0"/>
      <c r="EG1024" s="0"/>
      <c r="EH1024" s="0"/>
      <c r="EI1024" s="0"/>
      <c r="EJ1024" s="0"/>
      <c r="EK1024" s="0"/>
      <c r="EL1024" s="0"/>
      <c r="EM1024" s="0"/>
      <c r="EN1024" s="0"/>
      <c r="EO1024" s="0"/>
      <c r="EP1024" s="0"/>
      <c r="EQ1024" s="0"/>
      <c r="ER1024" s="0"/>
      <c r="ES1024" s="0"/>
      <c r="ET1024" s="0"/>
      <c r="EU1024" s="0"/>
      <c r="EV1024" s="0"/>
      <c r="EW1024" s="0"/>
      <c r="EX1024" s="0"/>
      <c r="EY1024" s="0"/>
      <c r="EZ1024" s="0"/>
      <c r="FA1024" s="0"/>
      <c r="FB1024" s="0"/>
      <c r="FC1024" s="0"/>
      <c r="FD1024" s="0"/>
      <c r="FE1024" s="0"/>
      <c r="FF1024" s="0"/>
      <c r="FG1024" s="0"/>
      <c r="FH1024" s="0"/>
      <c r="FI1024" s="0"/>
      <c r="FJ1024" s="0"/>
      <c r="FK1024" s="0"/>
      <c r="FL1024" s="0"/>
      <c r="FM1024" s="0"/>
      <c r="FN1024" s="0"/>
      <c r="FO1024" s="0"/>
      <c r="FP1024" s="0"/>
      <c r="FQ1024" s="0"/>
      <c r="FR1024" s="0"/>
      <c r="FS1024" s="0"/>
      <c r="FT1024" s="0"/>
      <c r="FU1024" s="0"/>
      <c r="FV1024" s="0"/>
      <c r="FW1024" s="0"/>
      <c r="FX1024" s="0"/>
      <c r="FY1024" s="0"/>
      <c r="FZ1024" s="0"/>
      <c r="GA1024" s="0"/>
      <c r="GB1024" s="0"/>
      <c r="GC1024" s="0"/>
      <c r="GD1024" s="0"/>
      <c r="GE1024" s="0"/>
      <c r="GF1024" s="0"/>
      <c r="GG1024" s="0"/>
      <c r="GH1024" s="0"/>
      <c r="GI1024" s="0"/>
      <c r="GJ1024" s="0"/>
      <c r="GK1024" s="0"/>
      <c r="GL1024" s="0"/>
      <c r="GM1024" s="0"/>
      <c r="GN1024" s="0"/>
      <c r="GO1024" s="0"/>
      <c r="GP1024" s="0"/>
      <c r="GQ1024" s="0"/>
      <c r="GR1024" s="0"/>
      <c r="GS1024" s="0"/>
      <c r="GT1024" s="0"/>
      <c r="GU1024" s="0"/>
      <c r="GV1024" s="0"/>
      <c r="GW1024" s="0"/>
      <c r="GX1024" s="0"/>
      <c r="GY1024" s="0"/>
      <c r="GZ1024" s="0"/>
      <c r="HA1024" s="0"/>
      <c r="HB1024" s="0"/>
      <c r="HC1024" s="0"/>
      <c r="HD1024" s="0"/>
      <c r="HE1024" s="0"/>
      <c r="HF1024" s="0"/>
      <c r="HG1024" s="0"/>
      <c r="HH1024" s="0"/>
      <c r="HI1024" s="0"/>
      <c r="HJ1024" s="0"/>
      <c r="HK1024" s="0"/>
      <c r="HL1024" s="0"/>
      <c r="HM1024" s="0"/>
      <c r="HN1024" s="0"/>
      <c r="HO1024" s="0"/>
      <c r="HP1024" s="0"/>
      <c r="HQ1024" s="0"/>
      <c r="HR1024" s="0"/>
      <c r="HS1024" s="0"/>
      <c r="HT1024" s="0"/>
      <c r="HU1024" s="0"/>
      <c r="HV1024" s="0"/>
      <c r="HW1024" s="0"/>
      <c r="HX1024" s="0"/>
      <c r="HY1024" s="0"/>
      <c r="HZ1024" s="0"/>
      <c r="IA1024" s="0"/>
      <c r="IB1024" s="0"/>
      <c r="IC1024" s="0"/>
      <c r="ID1024" s="0"/>
      <c r="IE1024" s="0"/>
      <c r="IF1024" s="0"/>
      <c r="IG1024" s="0"/>
      <c r="IH1024" s="0"/>
      <c r="II1024" s="0"/>
      <c r="IJ1024" s="0"/>
      <c r="IK1024" s="0"/>
      <c r="IL1024" s="0"/>
      <c r="IM1024" s="0"/>
      <c r="IN1024" s="0"/>
      <c r="IO1024" s="0"/>
      <c r="IP1024" s="0"/>
      <c r="IQ1024" s="0"/>
      <c r="IR1024" s="0"/>
      <c r="IS1024" s="0"/>
      <c r="IT1024" s="0"/>
      <c r="IU1024" s="0"/>
      <c r="IV1024" s="0"/>
    </row>
    <row r="1025" customFormat="false" ht="15.75" hidden="false" customHeight="true" outlineLevel="0" collapsed="false">
      <c r="A1025" s="11" t="s">
        <v>763</v>
      </c>
      <c r="B1025" s="0"/>
      <c r="C1025" s="0"/>
      <c r="D1025" s="1257" t="s">
        <v>254</v>
      </c>
      <c r="E1025" s="1284" t="n">
        <f aca="false">IF(D1025="oui",1,0)</f>
        <v>0</v>
      </c>
      <c r="F1025" s="935"/>
      <c r="G1025" s="14"/>
      <c r="H1025" s="0"/>
      <c r="I1025" s="0"/>
      <c r="J1025" s="620"/>
      <c r="K1025" s="903"/>
      <c r="L1025" s="877"/>
      <c r="M1025" s="0"/>
      <c r="N1025" s="0"/>
      <c r="O1025" s="0"/>
      <c r="P1025" s="0"/>
      <c r="Q1025" s="0"/>
      <c r="R1025" s="0"/>
      <c r="S1025" s="0"/>
      <c r="T1025" s="0"/>
      <c r="U1025" s="0"/>
      <c r="V1025" s="0"/>
      <c r="W1025" s="0"/>
      <c r="X1025" s="0"/>
      <c r="Y1025" s="0"/>
      <c r="Z1025" s="0"/>
      <c r="AA1025" s="0"/>
      <c r="AB1025" s="0"/>
      <c r="AC1025" s="0"/>
      <c r="AD1025" s="0"/>
      <c r="AE1025" s="0"/>
      <c r="AF1025" s="0"/>
      <c r="AG1025" s="0"/>
      <c r="AH1025" s="0"/>
      <c r="AI1025" s="0"/>
      <c r="AJ1025" s="0"/>
      <c r="AK1025" s="0"/>
      <c r="AL1025" s="0"/>
      <c r="AM1025" s="0"/>
      <c r="AN1025" s="0"/>
      <c r="AO1025" s="0"/>
      <c r="AP1025" s="0"/>
      <c r="AQ1025" s="0"/>
      <c r="AR1025" s="0"/>
      <c r="AS1025" s="0"/>
      <c r="AT1025" s="0"/>
      <c r="AU1025" s="0"/>
      <c r="AV1025" s="0"/>
      <c r="AW1025" s="0"/>
      <c r="AX1025" s="0"/>
      <c r="AY1025" s="0"/>
      <c r="AZ1025" s="0"/>
      <c r="BA1025" s="0"/>
      <c r="BB1025" s="0"/>
      <c r="BC1025" s="0"/>
      <c r="BD1025" s="0"/>
      <c r="BE1025" s="0"/>
      <c r="BF1025" s="0"/>
      <c r="BG1025" s="0"/>
      <c r="BH1025" s="0"/>
      <c r="BI1025" s="0"/>
      <c r="BJ1025" s="0"/>
      <c r="BK1025" s="0"/>
      <c r="BL1025" s="0"/>
      <c r="BM1025" s="0"/>
      <c r="BN1025" s="0"/>
      <c r="BO1025" s="0"/>
      <c r="BP1025" s="0"/>
      <c r="BQ1025" s="0"/>
      <c r="BR1025" s="0"/>
      <c r="BS1025" s="0"/>
      <c r="BT1025" s="0"/>
      <c r="BU1025" s="0"/>
      <c r="BV1025" s="0"/>
      <c r="BW1025" s="0"/>
      <c r="BX1025" s="0"/>
      <c r="BY1025" s="0"/>
      <c r="BZ1025" s="0"/>
      <c r="CA1025" s="0"/>
      <c r="CB1025" s="0"/>
      <c r="CC1025" s="0"/>
      <c r="CD1025" s="0"/>
      <c r="CE1025" s="0"/>
      <c r="CF1025" s="0"/>
      <c r="CG1025" s="0"/>
      <c r="CH1025" s="0"/>
      <c r="CI1025" s="0"/>
      <c r="CJ1025" s="0"/>
      <c r="CK1025" s="0"/>
      <c r="CL1025" s="0"/>
      <c r="CM1025" s="0"/>
      <c r="CN1025" s="0"/>
      <c r="CO1025" s="0"/>
      <c r="CP1025" s="0"/>
      <c r="CQ1025" s="0"/>
      <c r="CR1025" s="0"/>
      <c r="CS1025" s="0"/>
      <c r="CT1025" s="0"/>
      <c r="CU1025" s="0"/>
      <c r="CV1025" s="0"/>
      <c r="CW1025" s="0"/>
      <c r="CX1025" s="0"/>
      <c r="CY1025" s="0"/>
      <c r="CZ1025" s="0"/>
      <c r="DA1025" s="0"/>
      <c r="DB1025" s="0"/>
      <c r="DC1025" s="0"/>
      <c r="DD1025" s="0"/>
      <c r="DE1025" s="0"/>
      <c r="DF1025" s="0"/>
      <c r="DG1025" s="0"/>
      <c r="DH1025" s="0"/>
      <c r="DI1025" s="0"/>
      <c r="DJ1025" s="0"/>
      <c r="DK1025" s="0"/>
      <c r="DL1025" s="0"/>
      <c r="DM1025" s="0"/>
      <c r="DN1025" s="0"/>
      <c r="DO1025" s="0"/>
      <c r="DP1025" s="0"/>
      <c r="DQ1025" s="0"/>
      <c r="DR1025" s="0"/>
      <c r="DS1025" s="0"/>
      <c r="DT1025" s="0"/>
      <c r="DU1025" s="0"/>
      <c r="DV1025" s="0"/>
      <c r="DW1025" s="0"/>
      <c r="DX1025" s="0"/>
      <c r="DY1025" s="0"/>
      <c r="DZ1025" s="0"/>
      <c r="EA1025" s="0"/>
      <c r="EB1025" s="0"/>
      <c r="EC1025" s="0"/>
      <c r="ED1025" s="0"/>
      <c r="EE1025" s="0"/>
      <c r="EF1025" s="0"/>
      <c r="EG1025" s="0"/>
      <c r="EH1025" s="0"/>
      <c r="EI1025" s="0"/>
      <c r="EJ1025" s="0"/>
      <c r="EK1025" s="0"/>
      <c r="EL1025" s="0"/>
      <c r="EM1025" s="0"/>
      <c r="EN1025" s="0"/>
      <c r="EO1025" s="0"/>
      <c r="EP1025" s="0"/>
      <c r="EQ1025" s="0"/>
      <c r="ER1025" s="0"/>
      <c r="ES1025" s="0"/>
      <c r="ET1025" s="0"/>
      <c r="EU1025" s="0"/>
      <c r="EV1025" s="0"/>
      <c r="EW1025" s="0"/>
      <c r="EX1025" s="0"/>
      <c r="EY1025" s="0"/>
      <c r="EZ1025" s="0"/>
      <c r="FA1025" s="0"/>
      <c r="FB1025" s="0"/>
      <c r="FC1025" s="0"/>
      <c r="FD1025" s="0"/>
      <c r="FE1025" s="0"/>
      <c r="FF1025" s="0"/>
      <c r="FG1025" s="0"/>
      <c r="FH1025" s="0"/>
      <c r="FI1025" s="0"/>
      <c r="FJ1025" s="0"/>
      <c r="FK1025" s="0"/>
      <c r="FL1025" s="0"/>
      <c r="FM1025" s="0"/>
      <c r="FN1025" s="0"/>
      <c r="FO1025" s="0"/>
      <c r="FP1025" s="0"/>
      <c r="FQ1025" s="0"/>
      <c r="FR1025" s="0"/>
      <c r="FS1025" s="0"/>
      <c r="FT1025" s="0"/>
      <c r="FU1025" s="0"/>
      <c r="FV1025" s="0"/>
      <c r="FW1025" s="0"/>
      <c r="FX1025" s="0"/>
      <c r="FY1025" s="0"/>
      <c r="FZ1025" s="0"/>
      <c r="GA1025" s="0"/>
      <c r="GB1025" s="0"/>
      <c r="GC1025" s="0"/>
      <c r="GD1025" s="0"/>
      <c r="GE1025" s="0"/>
      <c r="GF1025" s="0"/>
      <c r="GG1025" s="0"/>
      <c r="GH1025" s="0"/>
      <c r="GI1025" s="0"/>
      <c r="GJ1025" s="0"/>
      <c r="GK1025" s="0"/>
      <c r="GL1025" s="0"/>
      <c r="GM1025" s="0"/>
      <c r="GN1025" s="0"/>
      <c r="GO1025" s="0"/>
      <c r="GP1025" s="0"/>
      <c r="GQ1025" s="0"/>
      <c r="GR1025" s="0"/>
      <c r="GS1025" s="0"/>
      <c r="GT1025" s="0"/>
      <c r="GU1025" s="0"/>
      <c r="GV1025" s="0"/>
      <c r="GW1025" s="0"/>
      <c r="GX1025" s="0"/>
      <c r="GY1025" s="0"/>
      <c r="GZ1025" s="0"/>
      <c r="HA1025" s="0"/>
      <c r="HB1025" s="0"/>
      <c r="HC1025" s="0"/>
      <c r="HD1025" s="0"/>
      <c r="HE1025" s="0"/>
      <c r="HF1025" s="0"/>
      <c r="HG1025" s="0"/>
      <c r="HH1025" s="0"/>
      <c r="HI1025" s="0"/>
      <c r="HJ1025" s="0"/>
      <c r="HK1025" s="0"/>
      <c r="HL1025" s="0"/>
      <c r="HM1025" s="0"/>
      <c r="HN1025" s="0"/>
      <c r="HO1025" s="0"/>
      <c r="HP1025" s="0"/>
      <c r="HQ1025" s="0"/>
      <c r="HR1025" s="0"/>
      <c r="HS1025" s="0"/>
      <c r="HT1025" s="0"/>
      <c r="HU1025" s="0"/>
      <c r="HV1025" s="0"/>
      <c r="HW1025" s="0"/>
      <c r="HX1025" s="0"/>
      <c r="HY1025" s="0"/>
      <c r="HZ1025" s="0"/>
      <c r="IA1025" s="0"/>
      <c r="IB1025" s="0"/>
      <c r="IC1025" s="0"/>
      <c r="ID1025" s="0"/>
      <c r="IE1025" s="0"/>
      <c r="IF1025" s="0"/>
      <c r="IG1025" s="0"/>
      <c r="IH1025" s="0"/>
      <c r="II1025" s="0"/>
      <c r="IJ1025" s="0"/>
      <c r="IK1025" s="0"/>
      <c r="IL1025" s="0"/>
      <c r="IM1025" s="0"/>
      <c r="IN1025" s="0"/>
      <c r="IO1025" s="0"/>
      <c r="IP1025" s="0"/>
      <c r="IQ1025" s="0"/>
      <c r="IR1025" s="0"/>
      <c r="IS1025" s="0"/>
      <c r="IT1025" s="0"/>
      <c r="IU1025" s="0"/>
      <c r="IV1025" s="0"/>
    </row>
    <row r="1026" customFormat="false" ht="15.75" hidden="false" customHeight="true" outlineLevel="0" collapsed="false">
      <c r="F1026" s="935"/>
      <c r="G1026" s="14"/>
      <c r="H1026" s="0"/>
      <c r="I1026" s="0"/>
      <c r="J1026" s="620"/>
      <c r="K1026" s="903"/>
      <c r="L1026" s="877"/>
      <c r="M1026" s="0"/>
      <c r="N1026" s="0"/>
      <c r="O1026" s="0"/>
      <c r="P1026" s="0"/>
      <c r="Q1026" s="0"/>
      <c r="R1026" s="0"/>
      <c r="S1026" s="0"/>
      <c r="T1026" s="0"/>
      <c r="U1026" s="0"/>
      <c r="V1026" s="0"/>
      <c r="W1026" s="0"/>
      <c r="X1026" s="0"/>
      <c r="Y1026" s="0"/>
      <c r="Z1026" s="0"/>
      <c r="AA1026" s="0"/>
      <c r="AB1026" s="0"/>
      <c r="AC1026" s="0"/>
      <c r="AD1026" s="0"/>
      <c r="AE1026" s="0"/>
      <c r="AF1026" s="0"/>
      <c r="AG1026" s="0"/>
      <c r="AH1026" s="0"/>
      <c r="AI1026" s="0"/>
      <c r="AJ1026" s="0"/>
      <c r="AK1026" s="0"/>
      <c r="AL1026" s="0"/>
      <c r="AM1026" s="0"/>
      <c r="AN1026" s="0"/>
      <c r="AO1026" s="0"/>
      <c r="AP1026" s="0"/>
      <c r="AQ1026" s="0"/>
      <c r="AR1026" s="0"/>
      <c r="AS1026" s="0"/>
      <c r="AT1026" s="0"/>
      <c r="AU1026" s="0"/>
      <c r="AV1026" s="0"/>
      <c r="AW1026" s="0"/>
      <c r="AX1026" s="0"/>
      <c r="AY1026" s="0"/>
      <c r="AZ1026" s="0"/>
      <c r="BA1026" s="0"/>
      <c r="BB1026" s="0"/>
      <c r="BC1026" s="0"/>
      <c r="BD1026" s="0"/>
      <c r="BE1026" s="0"/>
      <c r="BF1026" s="0"/>
      <c r="BG1026" s="0"/>
      <c r="BH1026" s="0"/>
      <c r="BI1026" s="0"/>
      <c r="BJ1026" s="0"/>
      <c r="BK1026" s="0"/>
      <c r="BL1026" s="0"/>
      <c r="BM1026" s="0"/>
      <c r="BN1026" s="0"/>
      <c r="BO1026" s="0"/>
      <c r="BP1026" s="0"/>
      <c r="BQ1026" s="0"/>
      <c r="BR1026" s="0"/>
      <c r="BS1026" s="0"/>
      <c r="BT1026" s="0"/>
      <c r="BU1026" s="0"/>
      <c r="BV1026" s="0"/>
      <c r="BW1026" s="0"/>
      <c r="BX1026" s="0"/>
      <c r="BY1026" s="0"/>
      <c r="BZ1026" s="0"/>
      <c r="CA1026" s="0"/>
      <c r="CB1026" s="0"/>
      <c r="CC1026" s="0"/>
      <c r="CD1026" s="0"/>
      <c r="CE1026" s="0"/>
      <c r="CF1026" s="0"/>
      <c r="CG1026" s="0"/>
      <c r="CH1026" s="0"/>
      <c r="CI1026" s="0"/>
      <c r="CJ1026" s="0"/>
      <c r="CK1026" s="0"/>
      <c r="CL1026" s="0"/>
      <c r="CM1026" s="0"/>
      <c r="CN1026" s="0"/>
      <c r="CO1026" s="0"/>
      <c r="CP1026" s="0"/>
      <c r="CQ1026" s="0"/>
      <c r="CR1026" s="0"/>
      <c r="CS1026" s="0"/>
      <c r="CT1026" s="0"/>
      <c r="CU1026" s="0"/>
      <c r="CV1026" s="0"/>
      <c r="CW1026" s="0"/>
      <c r="CX1026" s="0"/>
      <c r="CY1026" s="0"/>
      <c r="CZ1026" s="0"/>
      <c r="DA1026" s="0"/>
      <c r="DB1026" s="0"/>
      <c r="DC1026" s="0"/>
      <c r="DD1026" s="0"/>
      <c r="DE1026" s="0"/>
      <c r="DF1026" s="0"/>
      <c r="DG1026" s="0"/>
      <c r="DH1026" s="0"/>
      <c r="DI1026" s="0"/>
      <c r="DJ1026" s="0"/>
      <c r="DK1026" s="0"/>
      <c r="DL1026" s="0"/>
      <c r="DM1026" s="0"/>
      <c r="DN1026" s="0"/>
      <c r="DO1026" s="0"/>
      <c r="DP1026" s="0"/>
      <c r="DQ1026" s="0"/>
      <c r="DR1026" s="0"/>
      <c r="DS1026" s="0"/>
      <c r="DT1026" s="0"/>
      <c r="DU1026" s="0"/>
      <c r="DV1026" s="0"/>
      <c r="DW1026" s="0"/>
      <c r="DX1026" s="0"/>
      <c r="DY1026" s="0"/>
      <c r="DZ1026" s="0"/>
      <c r="EA1026" s="0"/>
      <c r="EB1026" s="0"/>
      <c r="EC1026" s="0"/>
      <c r="ED1026" s="0"/>
      <c r="EE1026" s="0"/>
      <c r="EF1026" s="0"/>
      <c r="EG1026" s="0"/>
      <c r="EH1026" s="0"/>
      <c r="EI1026" s="0"/>
      <c r="EJ1026" s="0"/>
      <c r="EK1026" s="0"/>
      <c r="EL1026" s="0"/>
      <c r="EM1026" s="0"/>
      <c r="EN1026" s="0"/>
      <c r="EO1026" s="0"/>
      <c r="EP1026" s="0"/>
      <c r="EQ1026" s="0"/>
      <c r="ER1026" s="0"/>
      <c r="ES1026" s="0"/>
      <c r="ET1026" s="0"/>
      <c r="EU1026" s="0"/>
      <c r="EV1026" s="0"/>
      <c r="EW1026" s="0"/>
      <c r="EX1026" s="0"/>
      <c r="EY1026" s="0"/>
      <c r="EZ1026" s="0"/>
      <c r="FA1026" s="0"/>
      <c r="FB1026" s="0"/>
      <c r="FC1026" s="0"/>
      <c r="FD1026" s="0"/>
      <c r="FE1026" s="0"/>
      <c r="FF1026" s="0"/>
      <c r="FG1026" s="0"/>
      <c r="FH1026" s="0"/>
      <c r="FI1026" s="0"/>
      <c r="FJ1026" s="0"/>
      <c r="FK1026" s="0"/>
      <c r="FL1026" s="0"/>
      <c r="FM1026" s="0"/>
      <c r="FN1026" s="0"/>
      <c r="FO1026" s="0"/>
      <c r="FP1026" s="0"/>
      <c r="FQ1026" s="0"/>
      <c r="FR1026" s="0"/>
      <c r="FS1026" s="0"/>
      <c r="FT1026" s="0"/>
      <c r="FU1026" s="0"/>
      <c r="FV1026" s="0"/>
      <c r="FW1026" s="0"/>
      <c r="FX1026" s="0"/>
      <c r="FY1026" s="0"/>
      <c r="FZ1026" s="0"/>
      <c r="GA1026" s="0"/>
      <c r="GB1026" s="0"/>
      <c r="GC1026" s="0"/>
      <c r="GD1026" s="0"/>
      <c r="GE1026" s="0"/>
      <c r="GF1026" s="0"/>
      <c r="GG1026" s="0"/>
      <c r="GH1026" s="0"/>
      <c r="GI1026" s="0"/>
      <c r="GJ1026" s="0"/>
      <c r="GK1026" s="0"/>
      <c r="GL1026" s="0"/>
      <c r="GM1026" s="0"/>
      <c r="GN1026" s="0"/>
      <c r="GO1026" s="0"/>
      <c r="GP1026" s="0"/>
      <c r="GQ1026" s="0"/>
      <c r="GR1026" s="0"/>
      <c r="GS1026" s="0"/>
      <c r="GT1026" s="0"/>
      <c r="GU1026" s="0"/>
      <c r="GV1026" s="0"/>
      <c r="GW1026" s="0"/>
      <c r="GX1026" s="0"/>
      <c r="GY1026" s="0"/>
      <c r="GZ1026" s="0"/>
      <c r="HA1026" s="0"/>
      <c r="HB1026" s="0"/>
      <c r="HC1026" s="0"/>
      <c r="HD1026" s="0"/>
      <c r="HE1026" s="0"/>
      <c r="HF1026" s="0"/>
      <c r="HG1026" s="0"/>
      <c r="HH1026" s="0"/>
      <c r="HI1026" s="0"/>
      <c r="HJ1026" s="0"/>
      <c r="HK1026" s="0"/>
      <c r="HL1026" s="0"/>
      <c r="HM1026" s="0"/>
      <c r="HN1026" s="0"/>
      <c r="HO1026" s="0"/>
      <c r="HP1026" s="0"/>
      <c r="HQ1026" s="0"/>
      <c r="HR1026" s="0"/>
      <c r="HS1026" s="0"/>
      <c r="HT1026" s="0"/>
      <c r="HU1026" s="0"/>
      <c r="HV1026" s="0"/>
      <c r="HW1026" s="0"/>
      <c r="HX1026" s="0"/>
      <c r="HY1026" s="0"/>
      <c r="HZ1026" s="0"/>
      <c r="IA1026" s="0"/>
      <c r="IB1026" s="0"/>
      <c r="IC1026" s="0"/>
      <c r="ID1026" s="0"/>
      <c r="IE1026" s="0"/>
      <c r="IF1026" s="0"/>
      <c r="IG1026" s="0"/>
      <c r="IH1026" s="0"/>
      <c r="II1026" s="0"/>
      <c r="IJ1026" s="0"/>
      <c r="IK1026" s="0"/>
      <c r="IL1026" s="0"/>
      <c r="IM1026" s="0"/>
      <c r="IN1026" s="0"/>
      <c r="IO1026" s="0"/>
      <c r="IP1026" s="0"/>
      <c r="IQ1026" s="0"/>
      <c r="IR1026" s="0"/>
      <c r="IS1026" s="0"/>
      <c r="IT1026" s="0"/>
      <c r="IU1026" s="0"/>
      <c r="IV1026" s="0"/>
    </row>
    <row r="1027" customFormat="false" ht="15.75" hidden="false" customHeight="true" outlineLevel="0" collapsed="false">
      <c r="A1027" s="14" t="s">
        <v>1687</v>
      </c>
      <c r="B1027" s="0"/>
      <c r="C1027" s="0"/>
      <c r="D1027" s="902" t="s">
        <v>254</v>
      </c>
      <c r="E1027" s="15" t="s">
        <v>1688</v>
      </c>
      <c r="F1027" s="1258"/>
      <c r="G1027" s="1258"/>
      <c r="H1027" s="1258"/>
      <c r="I1027" s="1258"/>
      <c r="J1027" s="1258"/>
      <c r="K1027" s="903"/>
      <c r="L1027" s="877" t="s">
        <v>1348</v>
      </c>
      <c r="M1027" s="0"/>
      <c r="N1027" s="0"/>
      <c r="O1027" s="0"/>
      <c r="P1027" s="0"/>
      <c r="Q1027" s="0"/>
      <c r="R1027" s="0"/>
      <c r="S1027" s="0"/>
      <c r="T1027" s="0"/>
      <c r="U1027" s="0"/>
      <c r="V1027" s="0"/>
      <c r="W1027" s="0"/>
      <c r="X1027" s="0"/>
      <c r="Y1027" s="0"/>
      <c r="Z1027" s="0"/>
      <c r="AA1027" s="0"/>
      <c r="AB1027" s="0"/>
      <c r="AC1027" s="0"/>
      <c r="AD1027" s="0"/>
      <c r="AE1027" s="0"/>
      <c r="AF1027" s="0"/>
      <c r="AG1027" s="0"/>
      <c r="AH1027" s="0"/>
      <c r="AI1027" s="0"/>
      <c r="AJ1027" s="0"/>
      <c r="AK1027" s="0"/>
      <c r="AL1027" s="0"/>
      <c r="AM1027" s="0"/>
      <c r="AN1027" s="0"/>
      <c r="AO1027" s="0"/>
      <c r="AP1027" s="0"/>
      <c r="AQ1027" s="0"/>
      <c r="AR1027" s="0"/>
      <c r="AS1027" s="0"/>
      <c r="AT1027" s="0"/>
      <c r="AU1027" s="0"/>
      <c r="AV1027" s="0"/>
      <c r="AW1027" s="0"/>
      <c r="AX1027" s="0"/>
      <c r="AY1027" s="0"/>
      <c r="AZ1027" s="0"/>
      <c r="BA1027" s="0"/>
      <c r="BB1027" s="0"/>
      <c r="BC1027" s="0"/>
      <c r="BD1027" s="0"/>
      <c r="BE1027" s="0"/>
      <c r="BF1027" s="0"/>
      <c r="BG1027" s="0"/>
      <c r="BH1027" s="0"/>
      <c r="BI1027" s="0"/>
      <c r="BJ1027" s="0"/>
      <c r="BK1027" s="0"/>
      <c r="BL1027" s="0"/>
      <c r="BM1027" s="0"/>
      <c r="BN1027" s="0"/>
      <c r="BO1027" s="0"/>
      <c r="BP1027" s="0"/>
      <c r="BQ1027" s="0"/>
      <c r="BR1027" s="0"/>
      <c r="BS1027" s="0"/>
      <c r="BT1027" s="0"/>
      <c r="BU1027" s="0"/>
      <c r="BV1027" s="0"/>
      <c r="BW1027" s="0"/>
      <c r="BX1027" s="0"/>
      <c r="BY1027" s="0"/>
      <c r="BZ1027" s="0"/>
      <c r="CA1027" s="0"/>
      <c r="CB1027" s="0"/>
      <c r="CC1027" s="0"/>
      <c r="CD1027" s="0"/>
      <c r="CE1027" s="0"/>
      <c r="CF1027" s="0"/>
      <c r="CG1027" s="0"/>
      <c r="CH1027" s="0"/>
      <c r="CI1027" s="0"/>
      <c r="CJ1027" s="0"/>
      <c r="CK1027" s="0"/>
      <c r="CL1027" s="0"/>
      <c r="CM1027" s="0"/>
      <c r="CN1027" s="0"/>
      <c r="CO1027" s="0"/>
      <c r="CP1027" s="0"/>
      <c r="CQ1027" s="0"/>
      <c r="CR1027" s="0"/>
      <c r="CS1027" s="0"/>
      <c r="CT1027" s="0"/>
      <c r="CU1027" s="0"/>
      <c r="CV1027" s="0"/>
      <c r="CW1027" s="0"/>
      <c r="CX1027" s="0"/>
      <c r="CY1027" s="0"/>
      <c r="CZ1027" s="0"/>
      <c r="DA1027" s="0"/>
      <c r="DB1027" s="0"/>
      <c r="DC1027" s="0"/>
      <c r="DD1027" s="0"/>
      <c r="DE1027" s="0"/>
      <c r="DF1027" s="0"/>
      <c r="DG1027" s="0"/>
      <c r="DH1027" s="0"/>
      <c r="DI1027" s="0"/>
      <c r="DJ1027" s="0"/>
      <c r="DK1027" s="0"/>
      <c r="DL1027" s="0"/>
      <c r="DM1027" s="0"/>
      <c r="DN1027" s="0"/>
      <c r="DO1027" s="0"/>
      <c r="DP1027" s="0"/>
      <c r="DQ1027" s="0"/>
      <c r="DR1027" s="0"/>
      <c r="DS1027" s="0"/>
      <c r="DT1027" s="0"/>
      <c r="DU1027" s="0"/>
      <c r="DV1027" s="0"/>
      <c r="DW1027" s="0"/>
      <c r="DX1027" s="0"/>
      <c r="DY1027" s="0"/>
      <c r="DZ1027" s="0"/>
      <c r="EA1027" s="0"/>
      <c r="EB1027" s="0"/>
      <c r="EC1027" s="0"/>
      <c r="ED1027" s="0"/>
      <c r="EE1027" s="0"/>
      <c r="EF1027" s="0"/>
      <c r="EG1027" s="0"/>
      <c r="EH1027" s="0"/>
      <c r="EI1027" s="0"/>
      <c r="EJ1027" s="0"/>
      <c r="EK1027" s="0"/>
      <c r="EL1027" s="0"/>
      <c r="EM1027" s="0"/>
      <c r="EN1027" s="0"/>
      <c r="EO1027" s="0"/>
      <c r="EP1027" s="0"/>
      <c r="EQ1027" s="0"/>
      <c r="ER1027" s="0"/>
      <c r="ES1027" s="0"/>
      <c r="ET1027" s="0"/>
      <c r="EU1027" s="0"/>
      <c r="EV1027" s="0"/>
      <c r="EW1027" s="0"/>
      <c r="EX1027" s="0"/>
      <c r="EY1027" s="0"/>
      <c r="EZ1027" s="0"/>
      <c r="FA1027" s="0"/>
      <c r="FB1027" s="0"/>
      <c r="FC1027" s="0"/>
      <c r="FD1027" s="0"/>
      <c r="FE1027" s="0"/>
      <c r="FF1027" s="0"/>
      <c r="FG1027" s="0"/>
      <c r="FH1027" s="0"/>
      <c r="FI1027" s="0"/>
      <c r="FJ1027" s="0"/>
      <c r="FK1027" s="0"/>
      <c r="FL1027" s="0"/>
      <c r="FM1027" s="0"/>
      <c r="FN1027" s="0"/>
      <c r="FO1027" s="0"/>
      <c r="FP1027" s="0"/>
      <c r="FQ1027" s="0"/>
      <c r="FR1027" s="0"/>
      <c r="FS1027" s="0"/>
      <c r="FT1027" s="0"/>
      <c r="FU1027" s="0"/>
      <c r="FV1027" s="0"/>
      <c r="FW1027" s="0"/>
      <c r="FX1027" s="0"/>
      <c r="FY1027" s="0"/>
      <c r="FZ1027" s="0"/>
      <c r="GA1027" s="0"/>
      <c r="GB1027" s="0"/>
      <c r="GC1027" s="0"/>
      <c r="GD1027" s="0"/>
      <c r="GE1027" s="0"/>
      <c r="GF1027" s="0"/>
      <c r="GG1027" s="0"/>
      <c r="GH1027" s="0"/>
      <c r="GI1027" s="0"/>
      <c r="GJ1027" s="0"/>
      <c r="GK1027" s="0"/>
      <c r="GL1027" s="0"/>
      <c r="GM1027" s="0"/>
      <c r="GN1027" s="0"/>
      <c r="GO1027" s="0"/>
      <c r="GP1027" s="0"/>
      <c r="GQ1027" s="0"/>
      <c r="GR1027" s="0"/>
      <c r="GS1027" s="0"/>
      <c r="GT1027" s="0"/>
      <c r="GU1027" s="0"/>
      <c r="GV1027" s="0"/>
      <c r="GW1027" s="0"/>
      <c r="GX1027" s="0"/>
      <c r="GY1027" s="0"/>
      <c r="GZ1027" s="0"/>
      <c r="HA1027" s="0"/>
      <c r="HB1027" s="0"/>
      <c r="HC1027" s="0"/>
      <c r="HD1027" s="0"/>
      <c r="HE1027" s="0"/>
      <c r="HF1027" s="0"/>
      <c r="HG1027" s="0"/>
      <c r="HH1027" s="0"/>
      <c r="HI1027" s="0"/>
      <c r="HJ1027" s="0"/>
      <c r="HK1027" s="0"/>
      <c r="HL1027" s="0"/>
      <c r="HM1027" s="0"/>
      <c r="HN1027" s="0"/>
      <c r="HO1027" s="0"/>
      <c r="HP1027" s="0"/>
      <c r="HQ1027" s="0"/>
      <c r="HR1027" s="0"/>
      <c r="HS1027" s="0"/>
      <c r="HT1027" s="0"/>
      <c r="HU1027" s="0"/>
      <c r="HV1027" s="0"/>
      <c r="HW1027" s="0"/>
      <c r="HX1027" s="0"/>
      <c r="HY1027" s="0"/>
      <c r="HZ1027" s="0"/>
      <c r="IA1027" s="0"/>
      <c r="IB1027" s="0"/>
      <c r="IC1027" s="0"/>
      <c r="ID1027" s="0"/>
      <c r="IE1027" s="0"/>
      <c r="IF1027" s="0"/>
      <c r="IG1027" s="0"/>
      <c r="IH1027" s="0"/>
      <c r="II1027" s="0"/>
      <c r="IJ1027" s="0"/>
      <c r="IK1027" s="0"/>
      <c r="IL1027" s="0"/>
      <c r="IM1027" s="0"/>
      <c r="IN1027" s="0"/>
      <c r="IO1027" s="0"/>
      <c r="IP1027" s="0"/>
      <c r="IQ1027" s="0"/>
      <c r="IR1027" s="0"/>
      <c r="IS1027" s="0"/>
      <c r="IT1027" s="0"/>
      <c r="IU1027" s="0"/>
      <c r="IV1027" s="0"/>
    </row>
    <row r="1028" customFormat="false" ht="15" hidden="false" customHeight="true" outlineLevel="0" collapsed="false">
      <c r="A1028" s="1302" t="s">
        <v>671</v>
      </c>
      <c r="B1028" s="1302"/>
      <c r="C1028" s="1302"/>
      <c r="D1028" s="1302"/>
      <c r="E1028" s="1302"/>
      <c r="F1028" s="0"/>
      <c r="G1028" s="14"/>
      <c r="H1028" s="0"/>
      <c r="I1028" s="0"/>
      <c r="J1028" s="620"/>
      <c r="K1028" s="903"/>
      <c r="L1028" s="877"/>
      <c r="M1028" s="0"/>
      <c r="N1028" s="0"/>
      <c r="O1028" s="0"/>
      <c r="P1028" s="0"/>
      <c r="Q1028" s="0"/>
      <c r="R1028" s="0"/>
      <c r="S1028" s="0"/>
      <c r="T1028" s="0"/>
      <c r="U1028" s="0"/>
      <c r="V1028" s="0"/>
      <c r="W1028" s="0"/>
      <c r="X1028" s="0"/>
      <c r="Y1028" s="0"/>
      <c r="Z1028" s="0"/>
      <c r="AA1028" s="0"/>
      <c r="AB1028" s="0"/>
      <c r="AC1028" s="0"/>
      <c r="AD1028" s="0"/>
      <c r="AE1028" s="0"/>
      <c r="AF1028" s="0"/>
      <c r="AG1028" s="0"/>
      <c r="AH1028" s="0"/>
      <c r="AI1028" s="0"/>
      <c r="AJ1028" s="0"/>
      <c r="AK1028" s="0"/>
      <c r="AL1028" s="0"/>
      <c r="AM1028" s="0"/>
      <c r="AN1028" s="0"/>
      <c r="AO1028" s="0"/>
      <c r="AP1028" s="0"/>
      <c r="AQ1028" s="0"/>
      <c r="AR1028" s="0"/>
      <c r="AS1028" s="0"/>
      <c r="AT1028" s="0"/>
      <c r="AU1028" s="0"/>
      <c r="AV1028" s="0"/>
      <c r="AW1028" s="0"/>
      <c r="AX1028" s="0"/>
      <c r="AY1028" s="0"/>
      <c r="AZ1028" s="0"/>
      <c r="BA1028" s="0"/>
      <c r="BB1028" s="0"/>
      <c r="BC1028" s="0"/>
      <c r="BD1028" s="0"/>
      <c r="BE1028" s="0"/>
      <c r="BF1028" s="0"/>
      <c r="BG1028" s="0"/>
      <c r="BH1028" s="0"/>
      <c r="BI1028" s="0"/>
      <c r="BJ1028" s="0"/>
      <c r="BK1028" s="0"/>
      <c r="BL1028" s="0"/>
      <c r="BM1028" s="0"/>
      <c r="BN1028" s="0"/>
      <c r="BO1028" s="0"/>
      <c r="BP1028" s="0"/>
      <c r="BQ1028" s="0"/>
      <c r="BR1028" s="0"/>
      <c r="BS1028" s="0"/>
      <c r="BT1028" s="0"/>
      <c r="BU1028" s="0"/>
      <c r="BV1028" s="0"/>
      <c r="BW1028" s="0"/>
      <c r="BX1028" s="0"/>
      <c r="BY1028" s="0"/>
      <c r="BZ1028" s="0"/>
      <c r="CA1028" s="0"/>
      <c r="CB1028" s="0"/>
      <c r="CC1028" s="0"/>
      <c r="CD1028" s="0"/>
      <c r="CE1028" s="0"/>
      <c r="CF1028" s="0"/>
      <c r="CG1028" s="0"/>
      <c r="CH1028" s="0"/>
      <c r="CI1028" s="0"/>
      <c r="CJ1028" s="0"/>
      <c r="CK1028" s="0"/>
      <c r="CL1028" s="0"/>
      <c r="CM1028" s="0"/>
      <c r="CN1028" s="0"/>
      <c r="CO1028" s="0"/>
      <c r="CP1028" s="0"/>
      <c r="CQ1028" s="0"/>
      <c r="CR1028" s="0"/>
      <c r="CS1028" s="0"/>
      <c r="CT1028" s="0"/>
      <c r="CU1028" s="0"/>
      <c r="CV1028" s="0"/>
      <c r="CW1028" s="0"/>
      <c r="CX1028" s="0"/>
      <c r="CY1028" s="0"/>
      <c r="CZ1028" s="0"/>
      <c r="DA1028" s="0"/>
      <c r="DB1028" s="0"/>
      <c r="DC1028" s="0"/>
      <c r="DD1028" s="0"/>
      <c r="DE1028" s="0"/>
      <c r="DF1028" s="0"/>
      <c r="DG1028" s="0"/>
      <c r="DH1028" s="0"/>
      <c r="DI1028" s="0"/>
      <c r="DJ1028" s="0"/>
      <c r="DK1028" s="0"/>
      <c r="DL1028" s="0"/>
      <c r="DM1028" s="0"/>
      <c r="DN1028" s="0"/>
      <c r="DO1028" s="0"/>
      <c r="DP1028" s="0"/>
      <c r="DQ1028" s="0"/>
      <c r="DR1028" s="0"/>
      <c r="DS1028" s="0"/>
      <c r="DT1028" s="0"/>
      <c r="DU1028" s="0"/>
      <c r="DV1028" s="0"/>
      <c r="DW1028" s="0"/>
      <c r="DX1028" s="0"/>
      <c r="DY1028" s="0"/>
      <c r="DZ1028" s="0"/>
      <c r="EA1028" s="0"/>
      <c r="EB1028" s="0"/>
      <c r="EC1028" s="0"/>
      <c r="ED1028" s="0"/>
      <c r="EE1028" s="0"/>
      <c r="EF1028" s="0"/>
      <c r="EG1028" s="0"/>
      <c r="EH1028" s="0"/>
      <c r="EI1028" s="0"/>
      <c r="EJ1028" s="0"/>
      <c r="EK1028" s="0"/>
      <c r="EL1028" s="0"/>
      <c r="EM1028" s="0"/>
      <c r="EN1028" s="0"/>
      <c r="EO1028" s="0"/>
      <c r="EP1028" s="0"/>
      <c r="EQ1028" s="0"/>
      <c r="ER1028" s="0"/>
      <c r="ES1028" s="0"/>
      <c r="ET1028" s="0"/>
      <c r="EU1028" s="0"/>
      <c r="EV1028" s="0"/>
      <c r="EW1028" s="0"/>
      <c r="EX1028" s="0"/>
      <c r="EY1028" s="0"/>
      <c r="EZ1028" s="0"/>
      <c r="FA1028" s="0"/>
      <c r="FB1028" s="0"/>
      <c r="FC1028" s="0"/>
      <c r="FD1028" s="0"/>
      <c r="FE1028" s="0"/>
      <c r="FF1028" s="0"/>
      <c r="FG1028" s="0"/>
      <c r="FH1028" s="0"/>
      <c r="FI1028" s="0"/>
      <c r="FJ1028" s="0"/>
      <c r="FK1028" s="0"/>
      <c r="FL1028" s="0"/>
      <c r="FM1028" s="0"/>
      <c r="FN1028" s="0"/>
      <c r="FO1028" s="0"/>
      <c r="FP1028" s="0"/>
      <c r="FQ1028" s="0"/>
      <c r="FR1028" s="0"/>
      <c r="FS1028" s="0"/>
      <c r="FT1028" s="0"/>
      <c r="FU1028" s="0"/>
      <c r="FV1028" s="0"/>
      <c r="FW1028" s="0"/>
      <c r="FX1028" s="0"/>
      <c r="FY1028" s="0"/>
      <c r="FZ1028" s="0"/>
      <c r="GA1028" s="0"/>
      <c r="GB1028" s="0"/>
      <c r="GC1028" s="0"/>
      <c r="GD1028" s="0"/>
      <c r="GE1028" s="0"/>
      <c r="GF1028" s="0"/>
      <c r="GG1028" s="0"/>
      <c r="GH1028" s="0"/>
      <c r="GI1028" s="0"/>
      <c r="GJ1028" s="0"/>
      <c r="GK1028" s="0"/>
      <c r="GL1028" s="0"/>
      <c r="GM1028" s="0"/>
      <c r="GN1028" s="0"/>
      <c r="GO1028" s="0"/>
      <c r="GP1028" s="0"/>
      <c r="GQ1028" s="0"/>
      <c r="GR1028" s="0"/>
      <c r="GS1028" s="0"/>
      <c r="GT1028" s="0"/>
      <c r="GU1028" s="0"/>
      <c r="GV1028" s="0"/>
      <c r="GW1028" s="0"/>
      <c r="GX1028" s="0"/>
      <c r="GY1028" s="0"/>
      <c r="GZ1028" s="0"/>
      <c r="HA1028" s="0"/>
      <c r="HB1028" s="0"/>
      <c r="HC1028" s="0"/>
      <c r="HD1028" s="0"/>
      <c r="HE1028" s="0"/>
      <c r="HF1028" s="0"/>
      <c r="HG1028" s="0"/>
      <c r="HH1028" s="0"/>
      <c r="HI1028" s="0"/>
      <c r="HJ1028" s="0"/>
      <c r="HK1028" s="0"/>
      <c r="HL1028" s="0"/>
      <c r="HM1028" s="0"/>
      <c r="HN1028" s="0"/>
      <c r="HO1028" s="0"/>
      <c r="HP1028" s="0"/>
      <c r="HQ1028" s="0"/>
      <c r="HR1028" s="0"/>
      <c r="HS1028" s="0"/>
      <c r="HT1028" s="0"/>
      <c r="HU1028" s="0"/>
      <c r="HV1028" s="0"/>
      <c r="HW1028" s="0"/>
      <c r="HX1028" s="0"/>
      <c r="HY1028" s="0"/>
      <c r="HZ1028" s="0"/>
      <c r="IA1028" s="0"/>
      <c r="IB1028" s="0"/>
      <c r="IC1028" s="0"/>
      <c r="ID1028" s="0"/>
      <c r="IE1028" s="0"/>
      <c r="IF1028" s="0"/>
      <c r="IG1028" s="0"/>
      <c r="IH1028" s="0"/>
      <c r="II1028" s="0"/>
      <c r="IJ1028" s="0"/>
      <c r="IK1028" s="0"/>
      <c r="IL1028" s="0"/>
      <c r="IM1028" s="0"/>
      <c r="IN1028" s="0"/>
      <c r="IO1028" s="0"/>
      <c r="IP1028" s="0"/>
      <c r="IQ1028" s="0"/>
      <c r="IR1028" s="0"/>
      <c r="IS1028" s="0"/>
      <c r="IT1028" s="0"/>
      <c r="IU1028" s="0"/>
      <c r="IV1028" s="0"/>
    </row>
    <row r="1029" customFormat="false" ht="15" hidden="false" customHeight="true" outlineLevel="0" collapsed="false">
      <c r="G1029" s="14"/>
      <c r="H1029" s="0"/>
      <c r="I1029" s="0"/>
      <c r="J1029" s="620"/>
      <c r="K1029" s="903"/>
      <c r="L1029" s="877"/>
      <c r="M1029" s="0"/>
      <c r="N1029" s="0"/>
      <c r="O1029" s="0"/>
      <c r="P1029" s="0"/>
      <c r="Q1029" s="0"/>
      <c r="R1029" s="0"/>
      <c r="S1029" s="0"/>
      <c r="T1029" s="0"/>
      <c r="U1029" s="0"/>
      <c r="V1029" s="0"/>
      <c r="W1029" s="0"/>
      <c r="X1029" s="0"/>
      <c r="Y1029" s="0"/>
      <c r="Z1029" s="0"/>
      <c r="AA1029" s="0"/>
      <c r="AB1029" s="0"/>
      <c r="AC1029" s="0"/>
      <c r="AD1029" s="0"/>
      <c r="AE1029" s="0"/>
      <c r="AF1029" s="0"/>
      <c r="AG1029" s="0"/>
      <c r="AH1029" s="0"/>
      <c r="AI1029" s="0"/>
      <c r="AJ1029" s="0"/>
      <c r="AK1029" s="0"/>
      <c r="AL1029" s="0"/>
      <c r="AM1029" s="0"/>
      <c r="AN1029" s="0"/>
      <c r="AO1029" s="0"/>
      <c r="AP1029" s="0"/>
      <c r="AQ1029" s="0"/>
      <c r="AR1029" s="0"/>
      <c r="AS1029" s="0"/>
      <c r="AT1029" s="0"/>
      <c r="AU1029" s="0"/>
      <c r="AV1029" s="0"/>
      <c r="AW1029" s="0"/>
      <c r="AX1029" s="0"/>
      <c r="AY1029" s="0"/>
      <c r="AZ1029" s="0"/>
      <c r="BA1029" s="0"/>
      <c r="BB1029" s="0"/>
      <c r="BC1029" s="0"/>
      <c r="BD1029" s="0"/>
      <c r="BE1029" s="0"/>
      <c r="BF1029" s="0"/>
      <c r="BG1029" s="0"/>
      <c r="BH1029" s="0"/>
      <c r="BI1029" s="0"/>
      <c r="BJ1029" s="0"/>
      <c r="BK1029" s="0"/>
      <c r="BL1029" s="0"/>
      <c r="BM1029" s="0"/>
      <c r="BN1029" s="0"/>
      <c r="BO1029" s="0"/>
      <c r="BP1029" s="0"/>
      <c r="BQ1029" s="0"/>
      <c r="BR1029" s="0"/>
      <c r="BS1029" s="0"/>
      <c r="BT1029" s="0"/>
      <c r="BU1029" s="0"/>
      <c r="BV1029" s="0"/>
      <c r="BW1029" s="0"/>
      <c r="BX1029" s="0"/>
      <c r="BY1029" s="0"/>
      <c r="BZ1029" s="0"/>
      <c r="CA1029" s="0"/>
      <c r="CB1029" s="0"/>
      <c r="CC1029" s="0"/>
      <c r="CD1029" s="0"/>
      <c r="CE1029" s="0"/>
      <c r="CF1029" s="0"/>
      <c r="CG1029" s="0"/>
      <c r="CH1029" s="0"/>
      <c r="CI1029" s="0"/>
      <c r="CJ1029" s="0"/>
      <c r="CK1029" s="0"/>
      <c r="CL1029" s="0"/>
      <c r="CM1029" s="0"/>
      <c r="CN1029" s="0"/>
      <c r="CO1029" s="0"/>
      <c r="CP1029" s="0"/>
      <c r="CQ1029" s="0"/>
      <c r="CR1029" s="0"/>
      <c r="CS1029" s="0"/>
      <c r="CT1029" s="0"/>
      <c r="CU1029" s="0"/>
      <c r="CV1029" s="0"/>
      <c r="CW1029" s="0"/>
      <c r="CX1029" s="0"/>
      <c r="CY1029" s="0"/>
      <c r="CZ1029" s="0"/>
      <c r="DA1029" s="0"/>
      <c r="DB1029" s="0"/>
      <c r="DC1029" s="0"/>
      <c r="DD1029" s="0"/>
      <c r="DE1029" s="0"/>
      <c r="DF1029" s="0"/>
      <c r="DG1029" s="0"/>
      <c r="DH1029" s="0"/>
      <c r="DI1029" s="0"/>
      <c r="DJ1029" s="0"/>
      <c r="DK1029" s="0"/>
      <c r="DL1029" s="0"/>
      <c r="DM1029" s="0"/>
      <c r="DN1029" s="0"/>
      <c r="DO1029" s="0"/>
      <c r="DP1029" s="0"/>
      <c r="DQ1029" s="0"/>
      <c r="DR1029" s="0"/>
      <c r="DS1029" s="0"/>
      <c r="DT1029" s="0"/>
      <c r="DU1029" s="0"/>
      <c r="DV1029" s="0"/>
      <c r="DW1029" s="0"/>
      <c r="DX1029" s="0"/>
      <c r="DY1029" s="0"/>
      <c r="DZ1029" s="0"/>
      <c r="EA1029" s="0"/>
      <c r="EB1029" s="0"/>
      <c r="EC1029" s="0"/>
      <c r="ED1029" s="0"/>
      <c r="EE1029" s="0"/>
      <c r="EF1029" s="0"/>
      <c r="EG1029" s="0"/>
      <c r="EH1029" s="0"/>
      <c r="EI1029" s="0"/>
      <c r="EJ1029" s="0"/>
      <c r="EK1029" s="0"/>
      <c r="EL1029" s="0"/>
      <c r="EM1029" s="0"/>
      <c r="EN1029" s="0"/>
      <c r="EO1029" s="0"/>
      <c r="EP1029" s="0"/>
      <c r="EQ1029" s="0"/>
      <c r="ER1029" s="0"/>
      <c r="ES1029" s="0"/>
      <c r="ET1029" s="0"/>
      <c r="EU1029" s="0"/>
      <c r="EV1029" s="0"/>
      <c r="EW1029" s="0"/>
      <c r="EX1029" s="0"/>
      <c r="EY1029" s="0"/>
      <c r="EZ1029" s="0"/>
      <c r="FA1029" s="0"/>
      <c r="FB1029" s="0"/>
      <c r="FC1029" s="0"/>
      <c r="FD1029" s="0"/>
      <c r="FE1029" s="0"/>
      <c r="FF1029" s="0"/>
      <c r="FG1029" s="0"/>
      <c r="FH1029" s="0"/>
      <c r="FI1029" s="0"/>
      <c r="FJ1029" s="0"/>
      <c r="FK1029" s="0"/>
      <c r="FL1029" s="0"/>
      <c r="FM1029" s="0"/>
      <c r="FN1029" s="0"/>
      <c r="FO1029" s="0"/>
      <c r="FP1029" s="0"/>
      <c r="FQ1029" s="0"/>
      <c r="FR1029" s="0"/>
      <c r="FS1029" s="0"/>
      <c r="FT1029" s="0"/>
      <c r="FU1029" s="0"/>
      <c r="FV1029" s="0"/>
      <c r="FW1029" s="0"/>
      <c r="FX1029" s="0"/>
      <c r="FY1029" s="0"/>
      <c r="FZ1029" s="0"/>
      <c r="GA1029" s="0"/>
      <c r="GB1029" s="0"/>
      <c r="GC1029" s="0"/>
      <c r="GD1029" s="0"/>
      <c r="GE1029" s="0"/>
      <c r="GF1029" s="0"/>
      <c r="GG1029" s="0"/>
      <c r="GH1029" s="0"/>
      <c r="GI1029" s="0"/>
      <c r="GJ1029" s="0"/>
      <c r="GK1029" s="0"/>
      <c r="GL1029" s="0"/>
      <c r="GM1029" s="0"/>
      <c r="GN1029" s="0"/>
      <c r="GO1029" s="0"/>
      <c r="GP1029" s="0"/>
      <c r="GQ1029" s="0"/>
      <c r="GR1029" s="0"/>
      <c r="GS1029" s="0"/>
      <c r="GT1029" s="0"/>
      <c r="GU1029" s="0"/>
      <c r="GV1029" s="0"/>
      <c r="GW1029" s="0"/>
      <c r="GX1029" s="0"/>
      <c r="GY1029" s="0"/>
      <c r="GZ1029" s="0"/>
      <c r="HA1029" s="0"/>
      <c r="HB1029" s="0"/>
      <c r="HC1029" s="0"/>
      <c r="HD1029" s="0"/>
      <c r="HE1029" s="0"/>
      <c r="HF1029" s="0"/>
      <c r="HG1029" s="0"/>
      <c r="HH1029" s="0"/>
      <c r="HI1029" s="0"/>
      <c r="HJ1029" s="0"/>
      <c r="HK1029" s="0"/>
      <c r="HL1029" s="0"/>
      <c r="HM1029" s="0"/>
      <c r="HN1029" s="0"/>
      <c r="HO1029" s="0"/>
      <c r="HP1029" s="0"/>
      <c r="HQ1029" s="0"/>
      <c r="HR1029" s="0"/>
      <c r="HS1029" s="0"/>
      <c r="HT1029" s="0"/>
      <c r="HU1029" s="0"/>
      <c r="HV1029" s="0"/>
      <c r="HW1029" s="0"/>
      <c r="HX1029" s="0"/>
      <c r="HY1029" s="0"/>
      <c r="HZ1029" s="0"/>
      <c r="IA1029" s="0"/>
      <c r="IB1029" s="0"/>
      <c r="IC1029" s="0"/>
      <c r="ID1029" s="0"/>
      <c r="IE1029" s="0"/>
      <c r="IF1029" s="0"/>
      <c r="IG1029" s="0"/>
      <c r="IH1029" s="0"/>
      <c r="II1029" s="0"/>
      <c r="IJ1029" s="0"/>
      <c r="IK1029" s="0"/>
      <c r="IL1029" s="0"/>
      <c r="IM1029" s="0"/>
      <c r="IN1029" s="0"/>
      <c r="IO1029" s="0"/>
      <c r="IP1029" s="0"/>
      <c r="IQ1029" s="0"/>
      <c r="IR1029" s="0"/>
      <c r="IS1029" s="0"/>
      <c r="IT1029" s="0"/>
      <c r="IU1029" s="0"/>
      <c r="IV1029" s="0"/>
    </row>
    <row r="1030" customFormat="false" ht="15" hidden="false" customHeight="true" outlineLevel="0" collapsed="false">
      <c r="G1030" s="0"/>
      <c r="H1030" s="55"/>
      <c r="I1030" s="55"/>
      <c r="K1030" s="903"/>
      <c r="L1030" s="877"/>
      <c r="M1030" s="0"/>
      <c r="N1030" s="0"/>
      <c r="O1030" s="0"/>
      <c r="P1030" s="0"/>
      <c r="Q1030" s="0"/>
      <c r="R1030" s="0"/>
      <c r="S1030" s="0"/>
      <c r="T1030" s="0"/>
      <c r="U1030" s="0"/>
      <c r="V1030" s="0"/>
      <c r="W1030" s="0"/>
      <c r="X1030" s="0"/>
      <c r="Y1030" s="0"/>
      <c r="Z1030" s="0"/>
      <c r="AA1030" s="0"/>
      <c r="AB1030" s="0"/>
      <c r="AC1030" s="0"/>
      <c r="AD1030" s="0"/>
      <c r="AE1030" s="0"/>
      <c r="AF1030" s="0"/>
      <c r="AG1030" s="0"/>
      <c r="AH1030" s="0"/>
      <c r="AI1030" s="0"/>
      <c r="AJ1030" s="0"/>
      <c r="AK1030" s="0"/>
      <c r="AL1030" s="0"/>
      <c r="AM1030" s="0"/>
      <c r="AN1030" s="0"/>
      <c r="AO1030" s="0"/>
      <c r="AP1030" s="0"/>
      <c r="AQ1030" s="0"/>
      <c r="AR1030" s="0"/>
      <c r="AS1030" s="0"/>
      <c r="AT1030" s="0"/>
      <c r="AU1030" s="0"/>
      <c r="AV1030" s="0"/>
      <c r="AW1030" s="0"/>
      <c r="AX1030" s="0"/>
      <c r="AY1030" s="0"/>
      <c r="AZ1030" s="0"/>
      <c r="BA1030" s="0"/>
      <c r="BB1030" s="0"/>
      <c r="BC1030" s="0"/>
      <c r="BD1030" s="0"/>
      <c r="BE1030" s="0"/>
      <c r="BF1030" s="0"/>
      <c r="BG1030" s="0"/>
      <c r="BH1030" s="0"/>
      <c r="BI1030" s="0"/>
      <c r="BJ1030" s="0"/>
      <c r="BK1030" s="0"/>
      <c r="BL1030" s="0"/>
      <c r="BM1030" s="0"/>
      <c r="BN1030" s="0"/>
      <c r="BO1030" s="0"/>
      <c r="BP1030" s="0"/>
      <c r="BQ1030" s="0"/>
      <c r="BR1030" s="0"/>
      <c r="BS1030" s="0"/>
      <c r="BT1030" s="0"/>
      <c r="BU1030" s="0"/>
      <c r="BV1030" s="0"/>
      <c r="BW1030" s="0"/>
      <c r="BX1030" s="0"/>
      <c r="BY1030" s="0"/>
      <c r="BZ1030" s="0"/>
      <c r="CA1030" s="0"/>
      <c r="CB1030" s="0"/>
      <c r="CC1030" s="0"/>
      <c r="CD1030" s="0"/>
      <c r="CE1030" s="0"/>
      <c r="CF1030" s="0"/>
      <c r="CG1030" s="0"/>
      <c r="CH1030" s="0"/>
      <c r="CI1030" s="0"/>
      <c r="CJ1030" s="0"/>
      <c r="CK1030" s="0"/>
      <c r="CL1030" s="0"/>
      <c r="CM1030" s="0"/>
      <c r="CN1030" s="0"/>
      <c r="CO1030" s="0"/>
      <c r="CP1030" s="0"/>
      <c r="CQ1030" s="0"/>
      <c r="CR1030" s="0"/>
      <c r="CS1030" s="0"/>
      <c r="CT1030" s="0"/>
      <c r="CU1030" s="0"/>
      <c r="CV1030" s="0"/>
      <c r="CW1030" s="0"/>
      <c r="CX1030" s="0"/>
      <c r="CY1030" s="0"/>
      <c r="CZ1030" s="0"/>
      <c r="DA1030" s="0"/>
      <c r="DB1030" s="0"/>
      <c r="DC1030" s="0"/>
      <c r="DD1030" s="0"/>
      <c r="DE1030" s="0"/>
      <c r="DF1030" s="0"/>
      <c r="DG1030" s="0"/>
      <c r="DH1030" s="0"/>
      <c r="DI1030" s="0"/>
      <c r="DJ1030" s="0"/>
      <c r="DK1030" s="0"/>
      <c r="DL1030" s="0"/>
      <c r="DM1030" s="0"/>
      <c r="DN1030" s="0"/>
      <c r="DO1030" s="0"/>
      <c r="DP1030" s="0"/>
      <c r="DQ1030" s="0"/>
      <c r="DR1030" s="0"/>
      <c r="DS1030" s="0"/>
      <c r="DT1030" s="0"/>
      <c r="DU1030" s="0"/>
      <c r="DV1030" s="0"/>
      <c r="DW1030" s="0"/>
      <c r="DX1030" s="0"/>
      <c r="DY1030" s="0"/>
      <c r="DZ1030" s="0"/>
      <c r="EA1030" s="0"/>
      <c r="EB1030" s="0"/>
      <c r="EC1030" s="0"/>
      <c r="ED1030" s="0"/>
      <c r="EE1030" s="0"/>
      <c r="EF1030" s="0"/>
      <c r="EG1030" s="0"/>
      <c r="EH1030" s="0"/>
      <c r="EI1030" s="0"/>
      <c r="EJ1030" s="0"/>
      <c r="EK1030" s="0"/>
      <c r="EL1030" s="0"/>
      <c r="EM1030" s="0"/>
      <c r="EN1030" s="0"/>
      <c r="EO1030" s="0"/>
      <c r="EP1030" s="0"/>
      <c r="EQ1030" s="0"/>
      <c r="ER1030" s="0"/>
      <c r="ES1030" s="0"/>
      <c r="ET1030" s="0"/>
      <c r="EU1030" s="0"/>
      <c r="EV1030" s="0"/>
      <c r="EW1030" s="0"/>
      <c r="EX1030" s="0"/>
      <c r="EY1030" s="0"/>
      <c r="EZ1030" s="0"/>
      <c r="FA1030" s="0"/>
      <c r="FB1030" s="0"/>
      <c r="FC1030" s="0"/>
      <c r="FD1030" s="0"/>
      <c r="FE1030" s="0"/>
      <c r="FF1030" s="0"/>
      <c r="FG1030" s="0"/>
      <c r="FH1030" s="0"/>
      <c r="FI1030" s="0"/>
      <c r="FJ1030" s="0"/>
      <c r="FK1030" s="0"/>
      <c r="FL1030" s="0"/>
      <c r="FM1030" s="0"/>
      <c r="FN1030" s="0"/>
      <c r="FO1030" s="0"/>
      <c r="FP1030" s="0"/>
      <c r="FQ1030" s="0"/>
      <c r="FR1030" s="0"/>
      <c r="FS1030" s="0"/>
      <c r="FT1030" s="0"/>
      <c r="FU1030" s="0"/>
      <c r="FV1030" s="0"/>
      <c r="FW1030" s="0"/>
      <c r="FX1030" s="0"/>
      <c r="FY1030" s="0"/>
      <c r="FZ1030" s="0"/>
      <c r="GA1030" s="0"/>
      <c r="GB1030" s="0"/>
      <c r="GC1030" s="0"/>
      <c r="GD1030" s="0"/>
      <c r="GE1030" s="0"/>
      <c r="GF1030" s="0"/>
      <c r="GG1030" s="0"/>
      <c r="GH1030" s="0"/>
      <c r="GI1030" s="0"/>
      <c r="GJ1030" s="0"/>
      <c r="GK1030" s="0"/>
      <c r="GL1030" s="0"/>
      <c r="GM1030" s="0"/>
      <c r="GN1030" s="0"/>
      <c r="GO1030" s="0"/>
      <c r="GP1030" s="0"/>
      <c r="GQ1030" s="0"/>
      <c r="GR1030" s="0"/>
      <c r="GS1030" s="0"/>
      <c r="GT1030" s="0"/>
      <c r="GU1030" s="0"/>
      <c r="GV1030" s="0"/>
      <c r="GW1030" s="0"/>
      <c r="GX1030" s="0"/>
      <c r="GY1030" s="0"/>
      <c r="GZ1030" s="0"/>
      <c r="HA1030" s="0"/>
      <c r="HB1030" s="0"/>
      <c r="HC1030" s="0"/>
      <c r="HD1030" s="0"/>
      <c r="HE1030" s="0"/>
      <c r="HF1030" s="0"/>
      <c r="HG1030" s="0"/>
      <c r="HH1030" s="0"/>
      <c r="HI1030" s="0"/>
      <c r="HJ1030" s="0"/>
      <c r="HK1030" s="0"/>
      <c r="HL1030" s="0"/>
      <c r="HM1030" s="0"/>
      <c r="HN1030" s="0"/>
      <c r="HO1030" s="0"/>
      <c r="HP1030" s="0"/>
      <c r="HQ1030" s="0"/>
      <c r="HR1030" s="0"/>
      <c r="HS1030" s="0"/>
      <c r="HT1030" s="0"/>
      <c r="HU1030" s="0"/>
      <c r="HV1030" s="0"/>
      <c r="HW1030" s="0"/>
      <c r="HX1030" s="0"/>
      <c r="HY1030" s="0"/>
      <c r="HZ1030" s="0"/>
      <c r="IA1030" s="0"/>
      <c r="IB1030" s="0"/>
      <c r="IC1030" s="0"/>
      <c r="ID1030" s="0"/>
      <c r="IE1030" s="0"/>
      <c r="IF1030" s="0"/>
      <c r="IG1030" s="0"/>
      <c r="IH1030" s="0"/>
      <c r="II1030" s="0"/>
      <c r="IJ1030" s="0"/>
      <c r="IK1030" s="0"/>
      <c r="IL1030" s="0"/>
      <c r="IM1030" s="0"/>
      <c r="IN1030" s="0"/>
      <c r="IO1030" s="0"/>
      <c r="IP1030" s="0"/>
      <c r="IQ1030" s="0"/>
      <c r="IR1030" s="0"/>
      <c r="IS1030" s="0"/>
      <c r="IT1030" s="0"/>
      <c r="IU1030" s="0"/>
      <c r="IV1030" s="0"/>
    </row>
    <row r="1031" customFormat="false" ht="15" hidden="false" customHeight="true" outlineLevel="0" collapsed="false">
      <c r="A1031" s="869" t="s">
        <v>1689</v>
      </c>
      <c r="B1031" s="869"/>
      <c r="C1031" s="869"/>
      <c r="D1031" s="869"/>
      <c r="E1031" s="869"/>
      <c r="F1031" s="869"/>
      <c r="G1031" s="869"/>
      <c r="H1031" s="53"/>
      <c r="I1031" s="53"/>
      <c r="J1031" s="53"/>
      <c r="K1031" s="870"/>
      <c r="L1031" s="871" t="s">
        <v>1678</v>
      </c>
    </row>
    <row r="1032" customFormat="false" ht="15.75" hidden="false" customHeight="true" outlineLevel="0" collapsed="false">
      <c r="J1032" s="11"/>
      <c r="M1032" s="0"/>
      <c r="N1032" s="0"/>
      <c r="O1032" s="0"/>
      <c r="P1032" s="0"/>
      <c r="Q1032" s="0"/>
      <c r="R1032" s="0"/>
      <c r="S1032" s="0"/>
      <c r="T1032" s="0"/>
      <c r="U1032" s="0"/>
      <c r="V1032" s="0"/>
      <c r="W1032" s="0"/>
      <c r="X1032" s="0"/>
      <c r="Y1032" s="0"/>
      <c r="Z1032" s="0"/>
      <c r="AA1032" s="0"/>
      <c r="AB1032" s="0"/>
      <c r="AC1032" s="0"/>
      <c r="AD1032" s="0"/>
      <c r="AE1032" s="0"/>
      <c r="AF1032" s="0"/>
      <c r="AG1032" s="0"/>
      <c r="AH1032" s="0"/>
      <c r="AI1032" s="0"/>
      <c r="AJ1032" s="0"/>
      <c r="AK1032" s="0"/>
      <c r="AL1032" s="0"/>
      <c r="AM1032" s="0"/>
      <c r="AN1032" s="0"/>
      <c r="AO1032" s="0"/>
      <c r="AP1032" s="0"/>
      <c r="AQ1032" s="0"/>
      <c r="AR1032" s="0"/>
      <c r="AS1032" s="0"/>
      <c r="AT1032" s="0"/>
      <c r="AU1032" s="0"/>
      <c r="AV1032" s="0"/>
      <c r="AW1032" s="0"/>
      <c r="AX1032" s="0"/>
      <c r="AY1032" s="0"/>
      <c r="AZ1032" s="0"/>
      <c r="BA1032" s="0"/>
      <c r="BB1032" s="0"/>
      <c r="BC1032" s="0"/>
      <c r="BD1032" s="0"/>
      <c r="BE1032" s="0"/>
      <c r="BF1032" s="0"/>
      <c r="BG1032" s="0"/>
      <c r="BH1032" s="0"/>
      <c r="BI1032" s="0"/>
      <c r="BJ1032" s="0"/>
      <c r="BK1032" s="0"/>
      <c r="BL1032" s="0"/>
      <c r="BM1032" s="0"/>
      <c r="BN1032" s="0"/>
      <c r="BO1032" s="0"/>
      <c r="BP1032" s="0"/>
      <c r="BQ1032" s="0"/>
      <c r="BR1032" s="0"/>
      <c r="BS1032" s="0"/>
      <c r="BT1032" s="0"/>
      <c r="BU1032" s="0"/>
      <c r="BV1032" s="0"/>
      <c r="BW1032" s="0"/>
      <c r="BX1032" s="0"/>
      <c r="BY1032" s="0"/>
      <c r="BZ1032" s="0"/>
      <c r="CA1032" s="0"/>
      <c r="CB1032" s="0"/>
      <c r="CC1032" s="0"/>
      <c r="CD1032" s="0"/>
      <c r="CE1032" s="0"/>
      <c r="CF1032" s="0"/>
      <c r="CG1032" s="0"/>
      <c r="CH1032" s="0"/>
      <c r="CI1032" s="0"/>
      <c r="CJ1032" s="0"/>
      <c r="CK1032" s="0"/>
      <c r="CL1032" s="0"/>
      <c r="CM1032" s="0"/>
      <c r="CN1032" s="0"/>
      <c r="CO1032" s="0"/>
      <c r="CP1032" s="0"/>
      <c r="CQ1032" s="0"/>
      <c r="CR1032" s="0"/>
      <c r="CS1032" s="0"/>
      <c r="CT1032" s="0"/>
      <c r="CU1032" s="0"/>
      <c r="CV1032" s="0"/>
      <c r="CW1032" s="0"/>
      <c r="CX1032" s="0"/>
      <c r="CY1032" s="0"/>
      <c r="CZ1032" s="0"/>
      <c r="DA1032" s="0"/>
      <c r="DB1032" s="0"/>
      <c r="DC1032" s="0"/>
      <c r="DD1032" s="0"/>
      <c r="DE1032" s="0"/>
      <c r="DF1032" s="0"/>
      <c r="DG1032" s="0"/>
      <c r="DH1032" s="0"/>
      <c r="DI1032" s="0"/>
      <c r="DJ1032" s="0"/>
      <c r="DK1032" s="0"/>
      <c r="DL1032" s="0"/>
      <c r="DM1032" s="0"/>
      <c r="DN1032" s="0"/>
      <c r="DO1032" s="0"/>
      <c r="DP1032" s="0"/>
      <c r="DQ1032" s="0"/>
      <c r="DR1032" s="0"/>
      <c r="DS1032" s="0"/>
      <c r="DT1032" s="0"/>
      <c r="DU1032" s="0"/>
      <c r="DV1032" s="0"/>
      <c r="DW1032" s="0"/>
      <c r="DX1032" s="0"/>
      <c r="DY1032" s="0"/>
      <c r="DZ1032" s="0"/>
      <c r="EA1032" s="0"/>
      <c r="EB1032" s="0"/>
      <c r="EC1032" s="0"/>
      <c r="ED1032" s="0"/>
      <c r="EE1032" s="0"/>
      <c r="EF1032" s="0"/>
      <c r="EG1032" s="0"/>
      <c r="EH1032" s="0"/>
      <c r="EI1032" s="0"/>
      <c r="EJ1032" s="0"/>
      <c r="EK1032" s="0"/>
      <c r="EL1032" s="0"/>
      <c r="EM1032" s="0"/>
      <c r="EN1032" s="0"/>
      <c r="EO1032" s="0"/>
      <c r="EP1032" s="0"/>
      <c r="EQ1032" s="0"/>
      <c r="ER1032" s="0"/>
      <c r="ES1032" s="0"/>
      <c r="ET1032" s="0"/>
      <c r="EU1032" s="0"/>
      <c r="EV1032" s="0"/>
      <c r="EW1032" s="0"/>
      <c r="EX1032" s="0"/>
      <c r="EY1032" s="0"/>
      <c r="EZ1032" s="0"/>
      <c r="FA1032" s="0"/>
      <c r="FB1032" s="0"/>
      <c r="FC1032" s="0"/>
      <c r="FD1032" s="0"/>
      <c r="FE1032" s="0"/>
      <c r="FF1032" s="0"/>
      <c r="FG1032" s="0"/>
      <c r="FH1032" s="0"/>
      <c r="FI1032" s="0"/>
      <c r="FJ1032" s="0"/>
      <c r="FK1032" s="0"/>
      <c r="FL1032" s="0"/>
      <c r="FM1032" s="0"/>
      <c r="FN1032" s="0"/>
      <c r="FO1032" s="0"/>
      <c r="FP1032" s="0"/>
      <c r="FQ1032" s="0"/>
      <c r="FR1032" s="0"/>
      <c r="FS1032" s="0"/>
      <c r="FT1032" s="0"/>
      <c r="FU1032" s="0"/>
      <c r="FV1032" s="0"/>
      <c r="FW1032" s="0"/>
      <c r="FX1032" s="0"/>
      <c r="FY1032" s="0"/>
      <c r="FZ1032" s="0"/>
      <c r="GA1032" s="0"/>
      <c r="GB1032" s="0"/>
      <c r="GC1032" s="0"/>
      <c r="GD1032" s="0"/>
      <c r="GE1032" s="0"/>
      <c r="GF1032" s="0"/>
      <c r="GG1032" s="0"/>
      <c r="GH1032" s="0"/>
      <c r="GI1032" s="0"/>
      <c r="GJ1032" s="0"/>
      <c r="GK1032" s="0"/>
      <c r="GL1032" s="0"/>
      <c r="GM1032" s="0"/>
      <c r="GN1032" s="0"/>
      <c r="GO1032" s="0"/>
      <c r="GP1032" s="0"/>
      <c r="GQ1032" s="0"/>
      <c r="GR1032" s="0"/>
      <c r="GS1032" s="0"/>
      <c r="GT1032" s="0"/>
      <c r="GU1032" s="0"/>
      <c r="GV1032" s="0"/>
      <c r="GW1032" s="0"/>
      <c r="GX1032" s="0"/>
      <c r="GY1032" s="0"/>
      <c r="GZ1032" s="0"/>
      <c r="HA1032" s="0"/>
      <c r="HB1032" s="0"/>
      <c r="HC1032" s="0"/>
      <c r="HD1032" s="0"/>
      <c r="HE1032" s="0"/>
      <c r="HF1032" s="0"/>
      <c r="HG1032" s="0"/>
      <c r="HH1032" s="0"/>
      <c r="HI1032" s="0"/>
      <c r="HJ1032" s="0"/>
      <c r="HK1032" s="0"/>
      <c r="HL1032" s="0"/>
      <c r="HM1032" s="0"/>
      <c r="HN1032" s="0"/>
      <c r="HO1032" s="0"/>
      <c r="HP1032" s="0"/>
      <c r="HQ1032" s="0"/>
      <c r="HR1032" s="0"/>
      <c r="HS1032" s="0"/>
      <c r="HT1032" s="0"/>
      <c r="HU1032" s="0"/>
      <c r="HV1032" s="0"/>
      <c r="HW1032" s="0"/>
      <c r="HX1032" s="0"/>
      <c r="HY1032" s="0"/>
      <c r="HZ1032" s="0"/>
      <c r="IA1032" s="0"/>
      <c r="IB1032" s="0"/>
      <c r="IC1032" s="0"/>
      <c r="ID1032" s="0"/>
      <c r="IE1032" s="0"/>
      <c r="IF1032" s="0"/>
      <c r="IG1032" s="0"/>
      <c r="IH1032" s="0"/>
      <c r="II1032" s="0"/>
      <c r="IJ1032" s="0"/>
      <c r="IK1032" s="0"/>
      <c r="IL1032" s="0"/>
      <c r="IM1032" s="0"/>
      <c r="IN1032" s="0"/>
      <c r="IO1032" s="0"/>
      <c r="IP1032" s="0"/>
      <c r="IQ1032" s="0"/>
      <c r="IR1032" s="0"/>
      <c r="IS1032" s="0"/>
      <c r="IT1032" s="0"/>
      <c r="IU1032" s="0"/>
      <c r="IV1032" s="0"/>
    </row>
    <row r="1033" customFormat="false" ht="15.75" hidden="false" customHeight="true" outlineLevel="0" collapsed="false">
      <c r="A1033" s="14" t="s">
        <v>776</v>
      </c>
      <c r="B1033" s="0"/>
      <c r="C1033" s="0"/>
      <c r="D1033" s="0"/>
      <c r="E1033" s="906" t="n">
        <v>3</v>
      </c>
      <c r="F1033" s="443" t="s">
        <v>1690</v>
      </c>
      <c r="G1033" s="14"/>
      <c r="H1033" s="0"/>
      <c r="I1033" s="0"/>
      <c r="K1033" s="903"/>
      <c r="L1033" s="877"/>
      <c r="M1033" s="0"/>
      <c r="N1033" s="0"/>
      <c r="O1033" s="0"/>
      <c r="P1033" s="0"/>
      <c r="Q1033" s="55"/>
      <c r="R1033" s="55"/>
      <c r="S1033" s="0"/>
      <c r="T1033" s="0"/>
      <c r="U1033" s="0"/>
      <c r="V1033" s="0"/>
      <c r="W1033" s="0"/>
      <c r="X1033" s="0"/>
      <c r="Y1033" s="0"/>
      <c r="Z1033" s="0"/>
      <c r="AA1033" s="0"/>
      <c r="AB1033" s="0"/>
      <c r="AC1033" s="0"/>
      <c r="AD1033" s="0"/>
      <c r="AE1033" s="0"/>
      <c r="AF1033" s="0"/>
      <c r="AG1033" s="0"/>
      <c r="AH1033" s="0"/>
      <c r="AI1033" s="0"/>
      <c r="AJ1033" s="0"/>
      <c r="AK1033" s="0"/>
      <c r="AL1033" s="0"/>
      <c r="AM1033" s="0"/>
      <c r="AN1033" s="0"/>
      <c r="AO1033" s="0"/>
      <c r="AP1033" s="0"/>
      <c r="AQ1033" s="0"/>
      <c r="AR1033" s="0"/>
      <c r="AS1033" s="0"/>
      <c r="AT1033" s="0"/>
      <c r="AU1033" s="0"/>
      <c r="AV1033" s="0"/>
      <c r="AW1033" s="0"/>
      <c r="AX1033" s="0"/>
      <c r="AY1033" s="0"/>
      <c r="AZ1033" s="0"/>
      <c r="BA1033" s="0"/>
      <c r="BB1033" s="0"/>
      <c r="BC1033" s="0"/>
      <c r="BD1033" s="0"/>
      <c r="BE1033" s="0"/>
      <c r="BF1033" s="0"/>
      <c r="BG1033" s="0"/>
      <c r="BH1033" s="0"/>
      <c r="BI1033" s="0"/>
      <c r="BJ1033" s="0"/>
      <c r="BK1033" s="0"/>
      <c r="BL1033" s="0"/>
      <c r="BM1033" s="0"/>
      <c r="BN1033" s="0"/>
      <c r="BO1033" s="0"/>
      <c r="BP1033" s="0"/>
      <c r="BQ1033" s="0"/>
      <c r="BR1033" s="0"/>
      <c r="BS1033" s="0"/>
      <c r="BT1033" s="0"/>
      <c r="BU1033" s="0"/>
      <c r="BV1033" s="0"/>
      <c r="BW1033" s="0"/>
      <c r="BX1033" s="0"/>
      <c r="BY1033" s="0"/>
      <c r="BZ1033" s="0"/>
      <c r="CA1033" s="0"/>
      <c r="CB1033" s="0"/>
      <c r="CC1033" s="0"/>
      <c r="CD1033" s="0"/>
      <c r="CE1033" s="0"/>
      <c r="CF1033" s="0"/>
      <c r="CG1033" s="0"/>
      <c r="CH1033" s="0"/>
      <c r="CI1033" s="0"/>
      <c r="CJ1033" s="0"/>
      <c r="CK1033" s="0"/>
      <c r="CL1033" s="0"/>
      <c r="CM1033" s="0"/>
      <c r="CN1033" s="0"/>
      <c r="CO1033" s="0"/>
      <c r="CP1033" s="0"/>
      <c r="CQ1033" s="0"/>
      <c r="CR1033" s="0"/>
      <c r="CS1033" s="0"/>
      <c r="CT1033" s="0"/>
      <c r="CU1033" s="0"/>
      <c r="CV1033" s="0"/>
      <c r="CW1033" s="0"/>
      <c r="CX1033" s="0"/>
      <c r="CY1033" s="0"/>
      <c r="CZ1033" s="0"/>
      <c r="DA1033" s="0"/>
      <c r="DB1033" s="0"/>
      <c r="DC1033" s="0"/>
      <c r="DD1033" s="0"/>
      <c r="DE1033" s="0"/>
      <c r="DF1033" s="0"/>
      <c r="DG1033" s="0"/>
      <c r="DH1033" s="0"/>
      <c r="DI1033" s="0"/>
      <c r="DJ1033" s="0"/>
      <c r="DK1033" s="0"/>
      <c r="DL1033" s="0"/>
      <c r="DM1033" s="0"/>
      <c r="DN1033" s="0"/>
      <c r="DO1033" s="0"/>
      <c r="DP1033" s="0"/>
      <c r="DQ1033" s="0"/>
      <c r="DR1033" s="0"/>
      <c r="DS1033" s="0"/>
      <c r="DT1033" s="0"/>
      <c r="DU1033" s="0"/>
      <c r="DV1033" s="0"/>
      <c r="DW1033" s="0"/>
      <c r="DX1033" s="0"/>
      <c r="DY1033" s="0"/>
      <c r="DZ1033" s="0"/>
      <c r="EA1033" s="0"/>
      <c r="EB1033" s="0"/>
      <c r="EC1033" s="0"/>
      <c r="ED1033" s="0"/>
      <c r="EE1033" s="0"/>
      <c r="EF1033" s="0"/>
      <c r="EG1033" s="0"/>
      <c r="EH1033" s="0"/>
      <c r="EI1033" s="0"/>
      <c r="EJ1033" s="0"/>
      <c r="EK1033" s="0"/>
      <c r="EL1033" s="0"/>
      <c r="EM1033" s="0"/>
      <c r="EN1033" s="0"/>
      <c r="EO1033" s="0"/>
      <c r="EP1033" s="0"/>
      <c r="EQ1033" s="0"/>
      <c r="ER1033" s="0"/>
      <c r="ES1033" s="0"/>
      <c r="ET1033" s="0"/>
      <c r="EU1033" s="0"/>
      <c r="EV1033" s="0"/>
      <c r="EW1033" s="0"/>
      <c r="EX1033" s="0"/>
      <c r="EY1033" s="0"/>
      <c r="EZ1033" s="0"/>
      <c r="FA1033" s="0"/>
      <c r="FB1033" s="0"/>
      <c r="FC1033" s="0"/>
      <c r="FD1033" s="0"/>
      <c r="FE1033" s="0"/>
      <c r="FF1033" s="0"/>
      <c r="FG1033" s="0"/>
      <c r="FH1033" s="0"/>
      <c r="FI1033" s="0"/>
      <c r="FJ1033" s="0"/>
      <c r="FK1033" s="0"/>
      <c r="FL1033" s="0"/>
      <c r="FM1033" s="0"/>
      <c r="FN1033" s="0"/>
      <c r="FO1033" s="0"/>
      <c r="FP1033" s="0"/>
      <c r="FQ1033" s="0"/>
      <c r="FR1033" s="0"/>
      <c r="FS1033" s="0"/>
      <c r="FT1033" s="0"/>
      <c r="FU1033" s="0"/>
      <c r="FV1033" s="0"/>
      <c r="FW1033" s="0"/>
      <c r="FX1033" s="0"/>
      <c r="FY1033" s="0"/>
      <c r="FZ1033" s="0"/>
      <c r="GA1033" s="0"/>
      <c r="GB1033" s="0"/>
      <c r="GC1033" s="0"/>
      <c r="GD1033" s="0"/>
      <c r="GE1033" s="0"/>
      <c r="GF1033" s="0"/>
      <c r="GG1033" s="0"/>
      <c r="GH1033" s="0"/>
      <c r="GI1033" s="0"/>
      <c r="GJ1033" s="0"/>
      <c r="GK1033" s="0"/>
      <c r="GL1033" s="0"/>
      <c r="GM1033" s="0"/>
      <c r="GN1033" s="0"/>
      <c r="GO1033" s="0"/>
      <c r="GP1033" s="0"/>
      <c r="GQ1033" s="0"/>
      <c r="GR1033" s="0"/>
      <c r="GS1033" s="0"/>
      <c r="GT1033" s="0"/>
      <c r="GU1033" s="0"/>
      <c r="GV1033" s="0"/>
      <c r="GW1033" s="0"/>
      <c r="GX1033" s="0"/>
      <c r="GY1033" s="0"/>
      <c r="GZ1033" s="0"/>
      <c r="HA1033" s="0"/>
      <c r="HB1033" s="0"/>
      <c r="HC1033" s="0"/>
      <c r="HD1033" s="0"/>
      <c r="HE1033" s="0"/>
      <c r="HF1033" s="0"/>
      <c r="HG1033" s="0"/>
      <c r="HH1033" s="0"/>
      <c r="HI1033" s="0"/>
      <c r="HJ1033" s="0"/>
      <c r="HK1033" s="0"/>
      <c r="HL1033" s="0"/>
      <c r="HM1033" s="0"/>
      <c r="HN1033" s="0"/>
      <c r="HO1033" s="0"/>
      <c r="HP1033" s="0"/>
      <c r="HQ1033" s="0"/>
      <c r="HR1033" s="0"/>
      <c r="HS1033" s="0"/>
      <c r="HT1033" s="0"/>
      <c r="HU1033" s="0"/>
      <c r="HV1033" s="0"/>
      <c r="HW1033" s="0"/>
      <c r="HX1033" s="0"/>
      <c r="HY1033" s="0"/>
      <c r="HZ1033" s="0"/>
      <c r="IA1033" s="0"/>
      <c r="IB1033" s="0"/>
      <c r="IC1033" s="0"/>
      <c r="ID1033" s="0"/>
      <c r="IE1033" s="0"/>
      <c r="IF1033" s="0"/>
      <c r="IG1033" s="0"/>
      <c r="IH1033" s="0"/>
      <c r="II1033" s="0"/>
      <c r="IJ1033" s="0"/>
      <c r="IK1033" s="0"/>
      <c r="IL1033" s="0"/>
      <c r="IM1033" s="0"/>
      <c r="IN1033" s="0"/>
      <c r="IO1033" s="0"/>
      <c r="IP1033" s="0"/>
      <c r="IQ1033" s="0"/>
      <c r="IR1033" s="0"/>
      <c r="IS1033" s="0"/>
      <c r="IT1033" s="0"/>
      <c r="IU1033" s="0"/>
      <c r="IV1033" s="0"/>
    </row>
    <row r="1034" customFormat="false" ht="15.75" hidden="false" customHeight="true" outlineLevel="0" collapsed="false">
      <c r="A1034" s="433" t="s">
        <v>1691</v>
      </c>
      <c r="B1034" s="433"/>
      <c r="C1034" s="433"/>
      <c r="D1034" s="433"/>
      <c r="E1034" s="966" t="n">
        <v>6</v>
      </c>
      <c r="F1034" s="0"/>
      <c r="G1034" s="0"/>
      <c r="H1034" s="0"/>
      <c r="I1034" s="0"/>
      <c r="J1034" s="11"/>
      <c r="K1034" s="903"/>
      <c r="L1034" s="877"/>
      <c r="M1034" s="0"/>
      <c r="N1034" s="0"/>
      <c r="O1034" s="0"/>
      <c r="P1034" s="0"/>
      <c r="Q1034" s="55"/>
      <c r="R1034" s="55"/>
      <c r="S1034" s="0"/>
      <c r="T1034" s="0"/>
      <c r="U1034" s="0"/>
      <c r="V1034" s="0"/>
      <c r="W1034" s="0"/>
      <c r="X1034" s="0"/>
      <c r="Y1034" s="0"/>
      <c r="Z1034" s="0"/>
      <c r="AA1034" s="0"/>
      <c r="AB1034" s="0"/>
      <c r="AC1034" s="0"/>
      <c r="AD1034" s="0"/>
      <c r="AE1034" s="0"/>
      <c r="AF1034" s="0"/>
      <c r="AG1034" s="0"/>
      <c r="AH1034" s="0"/>
      <c r="AI1034" s="0"/>
      <c r="AJ1034" s="0"/>
      <c r="AK1034" s="0"/>
      <c r="AL1034" s="0"/>
      <c r="AM1034" s="0"/>
      <c r="AN1034" s="0"/>
      <c r="AO1034" s="0"/>
      <c r="AP1034" s="0"/>
      <c r="AQ1034" s="0"/>
      <c r="AR1034" s="0"/>
      <c r="AS1034" s="0"/>
      <c r="AT1034" s="0"/>
      <c r="AU1034" s="0"/>
      <c r="AV1034" s="0"/>
      <c r="AW1034" s="0"/>
      <c r="AX1034" s="0"/>
      <c r="AY1034" s="0"/>
      <c r="AZ1034" s="0"/>
      <c r="BA1034" s="0"/>
      <c r="BB1034" s="0"/>
      <c r="BC1034" s="0"/>
      <c r="BD1034" s="0"/>
      <c r="BE1034" s="0"/>
      <c r="BF1034" s="0"/>
      <c r="BG1034" s="0"/>
      <c r="BH1034" s="0"/>
      <c r="BI1034" s="0"/>
      <c r="BJ1034" s="0"/>
      <c r="BK1034" s="0"/>
      <c r="BL1034" s="0"/>
      <c r="BM1034" s="0"/>
      <c r="BN1034" s="0"/>
      <c r="BO1034" s="0"/>
      <c r="BP1034" s="0"/>
      <c r="BQ1034" s="0"/>
      <c r="BR1034" s="0"/>
      <c r="BS1034" s="0"/>
      <c r="BT1034" s="0"/>
      <c r="BU1034" s="0"/>
      <c r="BV1034" s="0"/>
      <c r="BW1034" s="0"/>
      <c r="BX1034" s="0"/>
      <c r="BY1034" s="0"/>
      <c r="BZ1034" s="0"/>
      <c r="CA1034" s="0"/>
      <c r="CB1034" s="0"/>
      <c r="CC1034" s="0"/>
      <c r="CD1034" s="0"/>
      <c r="CE1034" s="0"/>
      <c r="CF1034" s="0"/>
      <c r="CG1034" s="0"/>
      <c r="CH1034" s="0"/>
      <c r="CI1034" s="0"/>
      <c r="CJ1034" s="0"/>
      <c r="CK1034" s="0"/>
      <c r="CL1034" s="0"/>
      <c r="CM1034" s="0"/>
      <c r="CN1034" s="0"/>
      <c r="CO1034" s="0"/>
      <c r="CP1034" s="0"/>
      <c r="CQ1034" s="0"/>
      <c r="CR1034" s="0"/>
      <c r="CS1034" s="0"/>
      <c r="CT1034" s="0"/>
      <c r="CU1034" s="0"/>
      <c r="CV1034" s="0"/>
      <c r="CW1034" s="0"/>
      <c r="CX1034" s="0"/>
      <c r="CY1034" s="0"/>
      <c r="CZ1034" s="0"/>
      <c r="DA1034" s="0"/>
      <c r="DB1034" s="0"/>
      <c r="DC1034" s="0"/>
      <c r="DD1034" s="0"/>
      <c r="DE1034" s="0"/>
      <c r="DF1034" s="0"/>
      <c r="DG1034" s="0"/>
      <c r="DH1034" s="0"/>
      <c r="DI1034" s="0"/>
      <c r="DJ1034" s="0"/>
      <c r="DK1034" s="0"/>
      <c r="DL1034" s="0"/>
      <c r="DM1034" s="0"/>
      <c r="DN1034" s="0"/>
      <c r="DO1034" s="0"/>
      <c r="DP1034" s="0"/>
      <c r="DQ1034" s="0"/>
      <c r="DR1034" s="0"/>
      <c r="DS1034" s="0"/>
      <c r="DT1034" s="0"/>
      <c r="DU1034" s="0"/>
      <c r="DV1034" s="0"/>
      <c r="DW1034" s="0"/>
      <c r="DX1034" s="0"/>
      <c r="DY1034" s="0"/>
      <c r="DZ1034" s="0"/>
      <c r="EA1034" s="0"/>
      <c r="EB1034" s="0"/>
      <c r="EC1034" s="0"/>
      <c r="ED1034" s="0"/>
      <c r="EE1034" s="0"/>
      <c r="EF1034" s="0"/>
      <c r="EG1034" s="0"/>
      <c r="EH1034" s="0"/>
      <c r="EI1034" s="0"/>
      <c r="EJ1034" s="0"/>
      <c r="EK1034" s="0"/>
      <c r="EL1034" s="0"/>
      <c r="EM1034" s="0"/>
      <c r="EN1034" s="0"/>
      <c r="EO1034" s="0"/>
      <c r="EP1034" s="0"/>
      <c r="EQ1034" s="0"/>
      <c r="ER1034" s="0"/>
      <c r="ES1034" s="0"/>
      <c r="ET1034" s="0"/>
      <c r="EU1034" s="0"/>
      <c r="EV1034" s="0"/>
      <c r="EW1034" s="0"/>
      <c r="EX1034" s="0"/>
      <c r="EY1034" s="0"/>
      <c r="EZ1034" s="0"/>
      <c r="FA1034" s="0"/>
      <c r="FB1034" s="0"/>
      <c r="FC1034" s="0"/>
      <c r="FD1034" s="0"/>
      <c r="FE1034" s="0"/>
      <c r="FF1034" s="0"/>
      <c r="FG1034" s="0"/>
      <c r="FH1034" s="0"/>
      <c r="FI1034" s="0"/>
      <c r="FJ1034" s="0"/>
      <c r="FK1034" s="0"/>
      <c r="FL1034" s="0"/>
      <c r="FM1034" s="0"/>
      <c r="FN1034" s="0"/>
      <c r="FO1034" s="0"/>
      <c r="FP1034" s="0"/>
      <c r="FQ1034" s="0"/>
      <c r="FR1034" s="0"/>
      <c r="FS1034" s="0"/>
      <c r="FT1034" s="0"/>
      <c r="FU1034" s="0"/>
      <c r="FV1034" s="0"/>
      <c r="FW1034" s="0"/>
      <c r="FX1034" s="0"/>
      <c r="FY1034" s="0"/>
      <c r="FZ1034" s="0"/>
      <c r="GA1034" s="0"/>
      <c r="GB1034" s="0"/>
      <c r="GC1034" s="0"/>
      <c r="GD1034" s="0"/>
      <c r="GE1034" s="0"/>
      <c r="GF1034" s="0"/>
      <c r="GG1034" s="0"/>
      <c r="GH1034" s="0"/>
      <c r="GI1034" s="0"/>
      <c r="GJ1034" s="0"/>
      <c r="GK1034" s="0"/>
      <c r="GL1034" s="0"/>
      <c r="GM1034" s="0"/>
      <c r="GN1034" s="0"/>
      <c r="GO1034" s="0"/>
      <c r="GP1034" s="0"/>
      <c r="GQ1034" s="0"/>
      <c r="GR1034" s="0"/>
      <c r="GS1034" s="0"/>
      <c r="GT1034" s="0"/>
      <c r="GU1034" s="0"/>
      <c r="GV1034" s="0"/>
      <c r="GW1034" s="0"/>
      <c r="GX1034" s="0"/>
      <c r="GY1034" s="0"/>
      <c r="GZ1034" s="0"/>
      <c r="HA1034" s="0"/>
      <c r="HB1034" s="0"/>
      <c r="HC1034" s="0"/>
      <c r="HD1034" s="0"/>
      <c r="HE1034" s="0"/>
      <c r="HF1034" s="0"/>
      <c r="HG1034" s="0"/>
      <c r="HH1034" s="0"/>
      <c r="HI1034" s="0"/>
      <c r="HJ1034" s="0"/>
      <c r="HK1034" s="0"/>
      <c r="HL1034" s="0"/>
      <c r="HM1034" s="0"/>
      <c r="HN1034" s="0"/>
      <c r="HO1034" s="0"/>
      <c r="HP1034" s="0"/>
      <c r="HQ1034" s="0"/>
      <c r="HR1034" s="0"/>
      <c r="HS1034" s="0"/>
      <c r="HT1034" s="0"/>
      <c r="HU1034" s="0"/>
      <c r="HV1034" s="0"/>
      <c r="HW1034" s="0"/>
      <c r="HX1034" s="0"/>
      <c r="HY1034" s="0"/>
      <c r="HZ1034" s="0"/>
      <c r="IA1034" s="0"/>
      <c r="IB1034" s="0"/>
      <c r="IC1034" s="0"/>
      <c r="ID1034" s="0"/>
      <c r="IE1034" s="0"/>
      <c r="IF1034" s="0"/>
      <c r="IG1034" s="0"/>
      <c r="IH1034" s="0"/>
      <c r="II1034" s="0"/>
      <c r="IJ1034" s="0"/>
      <c r="IK1034" s="0"/>
      <c r="IL1034" s="0"/>
      <c r="IM1034" s="0"/>
      <c r="IN1034" s="0"/>
      <c r="IO1034" s="0"/>
      <c r="IP1034" s="0"/>
      <c r="IQ1034" s="0"/>
      <c r="IR1034" s="0"/>
      <c r="IS1034" s="0"/>
      <c r="IT1034" s="0"/>
      <c r="IU1034" s="0"/>
      <c r="IV1034" s="0"/>
    </row>
    <row r="1035" customFormat="false" ht="15.75" hidden="false" customHeight="true" outlineLevel="0" collapsed="false">
      <c r="A1035" s="0"/>
      <c r="B1035" s="0"/>
      <c r="C1035" s="0"/>
      <c r="D1035" s="0"/>
      <c r="E1035" s="0"/>
      <c r="F1035" s="0"/>
      <c r="G1035" s="0"/>
      <c r="H1035" s="0"/>
      <c r="I1035" s="0"/>
      <c r="J1035" s="11"/>
      <c r="K1035" s="55"/>
      <c r="L1035" s="55"/>
      <c r="M1035" s="0"/>
      <c r="N1035" s="0"/>
      <c r="O1035" s="0"/>
      <c r="P1035" s="0"/>
      <c r="Q1035" s="55"/>
      <c r="R1035" s="55"/>
      <c r="S1035" s="0"/>
      <c r="T1035" s="0"/>
      <c r="U1035" s="0"/>
      <c r="V1035" s="0"/>
      <c r="W1035" s="0"/>
      <c r="X1035" s="0"/>
      <c r="Y1035" s="0"/>
      <c r="Z1035" s="0"/>
      <c r="AA1035" s="0"/>
      <c r="AB1035" s="0"/>
      <c r="AC1035" s="0"/>
      <c r="AD1035" s="0"/>
      <c r="AE1035" s="0"/>
      <c r="AF1035" s="0"/>
      <c r="AG1035" s="0"/>
      <c r="AH1035" s="0"/>
      <c r="AI1035" s="0"/>
      <c r="AJ1035" s="0"/>
      <c r="AK1035" s="0"/>
      <c r="AL1035" s="0"/>
      <c r="AM1035" s="0"/>
      <c r="AN1035" s="0"/>
      <c r="AO1035" s="0"/>
      <c r="AP1035" s="0"/>
      <c r="AQ1035" s="0"/>
      <c r="AR1035" s="0"/>
      <c r="AS1035" s="0"/>
      <c r="AT1035" s="0"/>
      <c r="AU1035" s="0"/>
      <c r="AV1035" s="0"/>
      <c r="AW1035" s="0"/>
      <c r="AX1035" s="0"/>
      <c r="AY1035" s="0"/>
      <c r="AZ1035" s="0"/>
      <c r="BA1035" s="0"/>
      <c r="BB1035" s="0"/>
      <c r="BC1035" s="0"/>
      <c r="BD1035" s="0"/>
      <c r="BE1035" s="0"/>
      <c r="BF1035" s="0"/>
      <c r="BG1035" s="0"/>
      <c r="BH1035" s="0"/>
      <c r="BI1035" s="0"/>
      <c r="BJ1035" s="0"/>
      <c r="BK1035" s="0"/>
      <c r="BL1035" s="0"/>
      <c r="BM1035" s="0"/>
      <c r="BN1035" s="0"/>
      <c r="BO1035" s="0"/>
      <c r="BP1035" s="0"/>
      <c r="BQ1035" s="0"/>
      <c r="BR1035" s="0"/>
      <c r="BS1035" s="0"/>
      <c r="BT1035" s="0"/>
      <c r="BU1035" s="0"/>
      <c r="BV1035" s="0"/>
      <c r="BW1035" s="0"/>
      <c r="BX1035" s="0"/>
      <c r="BY1035" s="0"/>
      <c r="BZ1035" s="0"/>
      <c r="CA1035" s="0"/>
      <c r="CB1035" s="0"/>
      <c r="CC1035" s="0"/>
      <c r="CD1035" s="0"/>
      <c r="CE1035" s="0"/>
      <c r="CF1035" s="0"/>
      <c r="CG1035" s="0"/>
      <c r="CH1035" s="0"/>
      <c r="CI1035" s="0"/>
      <c r="CJ1035" s="0"/>
      <c r="CK1035" s="0"/>
      <c r="CL1035" s="0"/>
      <c r="CM1035" s="0"/>
      <c r="CN1035" s="0"/>
      <c r="CO1035" s="0"/>
      <c r="CP1035" s="0"/>
      <c r="CQ1035" s="0"/>
      <c r="CR1035" s="0"/>
      <c r="CS1035" s="0"/>
      <c r="CT1035" s="0"/>
      <c r="CU1035" s="0"/>
      <c r="CV1035" s="0"/>
      <c r="CW1035" s="0"/>
      <c r="CX1035" s="0"/>
      <c r="CY1035" s="0"/>
      <c r="CZ1035" s="0"/>
      <c r="DA1035" s="0"/>
      <c r="DB1035" s="0"/>
      <c r="DC1035" s="0"/>
      <c r="DD1035" s="0"/>
      <c r="DE1035" s="0"/>
      <c r="DF1035" s="0"/>
      <c r="DG1035" s="0"/>
      <c r="DH1035" s="0"/>
      <c r="DI1035" s="0"/>
      <c r="DJ1035" s="0"/>
      <c r="DK1035" s="0"/>
      <c r="DL1035" s="0"/>
      <c r="DM1035" s="0"/>
      <c r="DN1035" s="0"/>
      <c r="DO1035" s="0"/>
      <c r="DP1035" s="0"/>
      <c r="DQ1035" s="0"/>
      <c r="DR1035" s="0"/>
      <c r="DS1035" s="0"/>
      <c r="DT1035" s="0"/>
      <c r="DU1035" s="0"/>
      <c r="DV1035" s="0"/>
      <c r="DW1035" s="0"/>
      <c r="DX1035" s="0"/>
      <c r="DY1035" s="0"/>
      <c r="DZ1035" s="0"/>
      <c r="EA1035" s="0"/>
      <c r="EB1035" s="0"/>
      <c r="EC1035" s="0"/>
      <c r="ED1035" s="0"/>
      <c r="EE1035" s="0"/>
      <c r="EF1035" s="0"/>
      <c r="EG1035" s="0"/>
      <c r="EH1035" s="0"/>
      <c r="EI1035" s="0"/>
      <c r="EJ1035" s="0"/>
      <c r="EK1035" s="0"/>
      <c r="EL1035" s="0"/>
      <c r="EM1035" s="0"/>
      <c r="EN1035" s="0"/>
      <c r="EO1035" s="0"/>
      <c r="EP1035" s="0"/>
      <c r="EQ1035" s="0"/>
      <c r="ER1035" s="0"/>
      <c r="ES1035" s="0"/>
      <c r="ET1035" s="0"/>
      <c r="EU1035" s="0"/>
      <c r="EV1035" s="0"/>
      <c r="EW1035" s="0"/>
      <c r="EX1035" s="0"/>
      <c r="EY1035" s="0"/>
      <c r="EZ1035" s="0"/>
      <c r="FA1035" s="0"/>
      <c r="FB1035" s="0"/>
      <c r="FC1035" s="0"/>
      <c r="FD1035" s="0"/>
      <c r="FE1035" s="0"/>
      <c r="FF1035" s="0"/>
      <c r="FG1035" s="0"/>
      <c r="FH1035" s="0"/>
      <c r="FI1035" s="0"/>
      <c r="FJ1035" s="0"/>
      <c r="FK1035" s="0"/>
      <c r="FL1035" s="0"/>
      <c r="FM1035" s="0"/>
      <c r="FN1035" s="0"/>
      <c r="FO1035" s="0"/>
      <c r="FP1035" s="0"/>
      <c r="FQ1035" s="0"/>
      <c r="FR1035" s="0"/>
      <c r="FS1035" s="0"/>
      <c r="FT1035" s="0"/>
      <c r="FU1035" s="0"/>
      <c r="FV1035" s="0"/>
      <c r="FW1035" s="0"/>
      <c r="FX1035" s="0"/>
      <c r="FY1035" s="0"/>
      <c r="FZ1035" s="0"/>
      <c r="GA1035" s="0"/>
      <c r="GB1035" s="0"/>
      <c r="GC1035" s="0"/>
      <c r="GD1035" s="0"/>
      <c r="GE1035" s="0"/>
      <c r="GF1035" s="0"/>
      <c r="GG1035" s="0"/>
      <c r="GH1035" s="0"/>
      <c r="GI1035" s="0"/>
      <c r="GJ1035" s="0"/>
      <c r="GK1035" s="0"/>
      <c r="GL1035" s="0"/>
      <c r="GM1035" s="0"/>
      <c r="GN1035" s="0"/>
      <c r="GO1035" s="0"/>
      <c r="GP1035" s="0"/>
      <c r="GQ1035" s="0"/>
      <c r="GR1035" s="0"/>
      <c r="GS1035" s="0"/>
      <c r="GT1035" s="0"/>
      <c r="GU1035" s="0"/>
      <c r="GV1035" s="0"/>
      <c r="GW1035" s="0"/>
      <c r="GX1035" s="0"/>
      <c r="GY1035" s="0"/>
      <c r="GZ1035" s="0"/>
      <c r="HA1035" s="0"/>
      <c r="HB1035" s="0"/>
      <c r="HC1035" s="0"/>
      <c r="HD1035" s="0"/>
      <c r="HE1035" s="0"/>
      <c r="HF1035" s="0"/>
      <c r="HG1035" s="0"/>
      <c r="HH1035" s="0"/>
      <c r="HI1035" s="0"/>
      <c r="HJ1035" s="0"/>
      <c r="HK1035" s="0"/>
      <c r="HL1035" s="0"/>
      <c r="HM1035" s="0"/>
      <c r="HN1035" s="0"/>
      <c r="HO1035" s="0"/>
      <c r="HP1035" s="0"/>
      <c r="HQ1035" s="0"/>
      <c r="HR1035" s="0"/>
      <c r="HS1035" s="0"/>
      <c r="HT1035" s="0"/>
      <c r="HU1035" s="0"/>
      <c r="HV1035" s="0"/>
      <c r="HW1035" s="0"/>
      <c r="HX1035" s="0"/>
      <c r="HY1035" s="0"/>
      <c r="HZ1035" s="0"/>
      <c r="IA1035" s="0"/>
      <c r="IB1035" s="0"/>
      <c r="IC1035" s="0"/>
      <c r="ID1035" s="0"/>
      <c r="IE1035" s="0"/>
      <c r="IF1035" s="0"/>
      <c r="IG1035" s="0"/>
      <c r="IH1035" s="0"/>
      <c r="II1035" s="0"/>
      <c r="IJ1035" s="0"/>
      <c r="IK1035" s="0"/>
      <c r="IL1035" s="0"/>
      <c r="IM1035" s="0"/>
      <c r="IN1035" s="0"/>
      <c r="IO1035" s="0"/>
      <c r="IP1035" s="0"/>
      <c r="IQ1035" s="0"/>
      <c r="IR1035" s="0"/>
      <c r="IS1035" s="0"/>
      <c r="IT1035" s="0"/>
      <c r="IU1035" s="0"/>
      <c r="IV1035" s="0"/>
    </row>
    <row r="1036" customFormat="false" ht="15.75" hidden="false" customHeight="true" outlineLevel="0" collapsed="false">
      <c r="A1036" s="1282" t="s">
        <v>1692</v>
      </c>
      <c r="B1036" s="1282"/>
      <c r="C1036" s="906" t="s">
        <v>253</v>
      </c>
      <c r="D1036" s="537" t="s">
        <v>1693</v>
      </c>
      <c r="E1036" s="906" t="s">
        <v>253</v>
      </c>
      <c r="H1036" s="0"/>
      <c r="I1036" s="0"/>
      <c r="J1036" s="0"/>
      <c r="K1036" s="903"/>
      <c r="L1036" s="877"/>
      <c r="M1036" s="0"/>
      <c r="N1036" s="0"/>
      <c r="O1036" s="0"/>
      <c r="P1036" s="0"/>
      <c r="Q1036" s="55"/>
      <c r="R1036" s="55"/>
      <c r="S1036" s="0"/>
      <c r="T1036" s="0"/>
      <c r="U1036" s="0"/>
      <c r="V1036" s="0"/>
      <c r="W1036" s="0"/>
      <c r="X1036" s="0"/>
      <c r="Y1036" s="0"/>
      <c r="Z1036" s="0"/>
      <c r="AA1036" s="0"/>
      <c r="AB1036" s="0"/>
      <c r="AC1036" s="0"/>
      <c r="AD1036" s="0"/>
      <c r="AE1036" s="0"/>
      <c r="AF1036" s="0"/>
      <c r="AG1036" s="0"/>
      <c r="AH1036" s="0"/>
      <c r="AI1036" s="0"/>
      <c r="AJ1036" s="0"/>
      <c r="AK1036" s="0"/>
      <c r="AL1036" s="0"/>
      <c r="AM1036" s="0"/>
      <c r="AN1036" s="0"/>
      <c r="AO1036" s="0"/>
      <c r="AP1036" s="0"/>
      <c r="AQ1036" s="0"/>
      <c r="AR1036" s="0"/>
      <c r="AS1036" s="0"/>
      <c r="AT1036" s="0"/>
      <c r="AU1036" s="0"/>
      <c r="AV1036" s="0"/>
      <c r="AW1036" s="0"/>
      <c r="AX1036" s="0"/>
      <c r="AY1036" s="0"/>
      <c r="AZ1036" s="0"/>
      <c r="BA1036" s="0"/>
      <c r="BB1036" s="0"/>
      <c r="BC1036" s="0"/>
      <c r="BD1036" s="0"/>
      <c r="BE1036" s="0"/>
      <c r="BF1036" s="0"/>
      <c r="BG1036" s="0"/>
      <c r="BH1036" s="0"/>
      <c r="BI1036" s="0"/>
      <c r="BJ1036" s="0"/>
      <c r="BK1036" s="0"/>
      <c r="BL1036" s="0"/>
      <c r="BM1036" s="0"/>
      <c r="BN1036" s="0"/>
      <c r="BO1036" s="0"/>
      <c r="BP1036" s="0"/>
      <c r="BQ1036" s="0"/>
      <c r="BR1036" s="0"/>
      <c r="BS1036" s="0"/>
      <c r="BT1036" s="0"/>
      <c r="BU1036" s="0"/>
      <c r="BV1036" s="0"/>
      <c r="BW1036" s="0"/>
      <c r="BX1036" s="0"/>
      <c r="BY1036" s="0"/>
      <c r="BZ1036" s="0"/>
      <c r="CA1036" s="0"/>
      <c r="CB1036" s="0"/>
      <c r="CC1036" s="0"/>
      <c r="CD1036" s="0"/>
      <c r="CE1036" s="0"/>
      <c r="CF1036" s="0"/>
      <c r="CG1036" s="0"/>
      <c r="CH1036" s="0"/>
      <c r="CI1036" s="0"/>
      <c r="CJ1036" s="0"/>
      <c r="CK1036" s="0"/>
      <c r="CL1036" s="0"/>
      <c r="CM1036" s="0"/>
      <c r="CN1036" s="0"/>
      <c r="CO1036" s="0"/>
      <c r="CP1036" s="0"/>
      <c r="CQ1036" s="0"/>
      <c r="CR1036" s="0"/>
      <c r="CS1036" s="0"/>
      <c r="CT1036" s="0"/>
      <c r="CU1036" s="0"/>
      <c r="CV1036" s="0"/>
      <c r="CW1036" s="0"/>
      <c r="CX1036" s="0"/>
      <c r="CY1036" s="0"/>
      <c r="CZ1036" s="0"/>
      <c r="DA1036" s="0"/>
      <c r="DB1036" s="0"/>
      <c r="DC1036" s="0"/>
      <c r="DD1036" s="0"/>
      <c r="DE1036" s="0"/>
      <c r="DF1036" s="0"/>
      <c r="DG1036" s="0"/>
      <c r="DH1036" s="0"/>
      <c r="DI1036" s="0"/>
      <c r="DJ1036" s="0"/>
      <c r="DK1036" s="0"/>
      <c r="DL1036" s="0"/>
      <c r="DM1036" s="0"/>
      <c r="DN1036" s="0"/>
      <c r="DO1036" s="0"/>
      <c r="DP1036" s="0"/>
      <c r="DQ1036" s="0"/>
      <c r="DR1036" s="0"/>
      <c r="DS1036" s="0"/>
      <c r="DT1036" s="0"/>
      <c r="DU1036" s="0"/>
      <c r="DV1036" s="0"/>
      <c r="DW1036" s="0"/>
      <c r="DX1036" s="0"/>
      <c r="DY1036" s="0"/>
      <c r="DZ1036" s="0"/>
      <c r="EA1036" s="0"/>
      <c r="EB1036" s="0"/>
      <c r="EC1036" s="0"/>
      <c r="ED1036" s="0"/>
      <c r="EE1036" s="0"/>
      <c r="EF1036" s="0"/>
      <c r="EG1036" s="0"/>
      <c r="EH1036" s="0"/>
      <c r="EI1036" s="0"/>
      <c r="EJ1036" s="0"/>
      <c r="EK1036" s="0"/>
      <c r="EL1036" s="0"/>
      <c r="EM1036" s="0"/>
      <c r="EN1036" s="0"/>
      <c r="EO1036" s="0"/>
      <c r="EP1036" s="0"/>
      <c r="EQ1036" s="0"/>
      <c r="ER1036" s="0"/>
      <c r="ES1036" s="0"/>
      <c r="ET1036" s="0"/>
      <c r="EU1036" s="0"/>
      <c r="EV1036" s="0"/>
      <c r="EW1036" s="0"/>
      <c r="EX1036" s="0"/>
      <c r="EY1036" s="0"/>
      <c r="EZ1036" s="0"/>
      <c r="FA1036" s="0"/>
      <c r="FB1036" s="0"/>
      <c r="FC1036" s="0"/>
      <c r="FD1036" s="0"/>
      <c r="FE1036" s="0"/>
      <c r="FF1036" s="0"/>
      <c r="FG1036" s="0"/>
      <c r="FH1036" s="0"/>
      <c r="FI1036" s="0"/>
      <c r="FJ1036" s="0"/>
      <c r="FK1036" s="0"/>
      <c r="FL1036" s="0"/>
      <c r="FM1036" s="0"/>
      <c r="FN1036" s="0"/>
      <c r="FO1036" s="0"/>
      <c r="FP1036" s="0"/>
      <c r="FQ1036" s="0"/>
      <c r="FR1036" s="0"/>
      <c r="FS1036" s="0"/>
      <c r="FT1036" s="0"/>
      <c r="FU1036" s="0"/>
      <c r="FV1036" s="0"/>
      <c r="FW1036" s="0"/>
      <c r="FX1036" s="0"/>
      <c r="FY1036" s="0"/>
      <c r="FZ1036" s="0"/>
      <c r="GA1036" s="0"/>
      <c r="GB1036" s="0"/>
      <c r="GC1036" s="0"/>
      <c r="GD1036" s="0"/>
      <c r="GE1036" s="0"/>
      <c r="GF1036" s="0"/>
      <c r="GG1036" s="0"/>
      <c r="GH1036" s="0"/>
      <c r="GI1036" s="0"/>
      <c r="GJ1036" s="0"/>
      <c r="GK1036" s="0"/>
      <c r="GL1036" s="0"/>
      <c r="GM1036" s="0"/>
      <c r="GN1036" s="0"/>
      <c r="GO1036" s="0"/>
      <c r="GP1036" s="0"/>
      <c r="GQ1036" s="0"/>
      <c r="GR1036" s="0"/>
      <c r="GS1036" s="0"/>
      <c r="GT1036" s="0"/>
      <c r="GU1036" s="0"/>
      <c r="GV1036" s="0"/>
      <c r="GW1036" s="0"/>
      <c r="GX1036" s="0"/>
      <c r="GY1036" s="0"/>
      <c r="GZ1036" s="0"/>
      <c r="HA1036" s="0"/>
      <c r="HB1036" s="0"/>
      <c r="HC1036" s="0"/>
      <c r="HD1036" s="0"/>
      <c r="HE1036" s="0"/>
      <c r="HF1036" s="0"/>
      <c r="HG1036" s="0"/>
      <c r="HH1036" s="0"/>
      <c r="HI1036" s="0"/>
      <c r="HJ1036" s="0"/>
      <c r="HK1036" s="0"/>
      <c r="HL1036" s="0"/>
      <c r="HM1036" s="0"/>
      <c r="HN1036" s="0"/>
      <c r="HO1036" s="0"/>
      <c r="HP1036" s="0"/>
      <c r="HQ1036" s="0"/>
      <c r="HR1036" s="0"/>
      <c r="HS1036" s="0"/>
      <c r="HT1036" s="0"/>
      <c r="HU1036" s="0"/>
      <c r="HV1036" s="0"/>
      <c r="HW1036" s="0"/>
      <c r="HX1036" s="0"/>
      <c r="HY1036" s="0"/>
      <c r="HZ1036" s="0"/>
      <c r="IA1036" s="0"/>
      <c r="IB1036" s="0"/>
      <c r="IC1036" s="0"/>
      <c r="ID1036" s="0"/>
      <c r="IE1036" s="0"/>
      <c r="IF1036" s="0"/>
      <c r="IG1036" s="0"/>
      <c r="IH1036" s="0"/>
      <c r="II1036" s="0"/>
      <c r="IJ1036" s="0"/>
      <c r="IK1036" s="0"/>
      <c r="IL1036" s="0"/>
      <c r="IM1036" s="0"/>
      <c r="IN1036" s="0"/>
      <c r="IO1036" s="0"/>
      <c r="IP1036" s="0"/>
      <c r="IQ1036" s="0"/>
      <c r="IR1036" s="0"/>
      <c r="IS1036" s="0"/>
      <c r="IT1036" s="0"/>
      <c r="IU1036" s="0"/>
      <c r="IV1036" s="0"/>
    </row>
    <row r="1037" customFormat="false" ht="15.75" hidden="false" customHeight="true" outlineLevel="0" collapsed="false">
      <c r="A1037" s="14"/>
      <c r="B1037" s="14"/>
      <c r="C1037" s="14"/>
      <c r="D1037" s="14"/>
      <c r="E1037" s="14"/>
      <c r="F1037" s="537"/>
      <c r="G1037" s="537"/>
      <c r="K1037" s="903"/>
      <c r="L1037" s="877"/>
      <c r="Q1037" s="55"/>
      <c r="R1037" s="55"/>
    </row>
    <row r="1038" customFormat="false" ht="15.75" hidden="false" customHeight="true" outlineLevel="0" collapsed="false">
      <c r="A1038" s="1282" t="s">
        <v>1694</v>
      </c>
      <c r="B1038" s="1282"/>
      <c r="C1038" s="1282"/>
      <c r="D1038" s="1282"/>
      <c r="E1038" s="966" t="n">
        <v>-2</v>
      </c>
      <c r="F1038" s="443" t="s">
        <v>1695</v>
      </c>
      <c r="G1038" s="0"/>
      <c r="H1038" s="0"/>
      <c r="I1038" s="0"/>
      <c r="J1038" s="0"/>
      <c r="K1038" s="903"/>
      <c r="L1038" s="877"/>
      <c r="M1038" s="0"/>
      <c r="N1038" s="0"/>
      <c r="O1038" s="0"/>
      <c r="P1038" s="0"/>
      <c r="Q1038" s="55"/>
      <c r="R1038" s="55"/>
      <c r="S1038" s="0"/>
      <c r="T1038" s="0"/>
      <c r="U1038" s="0"/>
      <c r="V1038" s="0"/>
      <c r="W1038" s="0"/>
      <c r="X1038" s="0"/>
      <c r="Y1038" s="0"/>
      <c r="Z1038" s="0"/>
      <c r="AA1038" s="0"/>
      <c r="AB1038" s="0"/>
      <c r="AC1038" s="0"/>
      <c r="AD1038" s="0"/>
      <c r="AE1038" s="0"/>
      <c r="AF1038" s="0"/>
      <c r="AG1038" s="0"/>
      <c r="AH1038" s="0"/>
      <c r="AI1038" s="0"/>
      <c r="AJ1038" s="0"/>
      <c r="AK1038" s="0"/>
      <c r="AL1038" s="0"/>
      <c r="AM1038" s="0"/>
      <c r="AN1038" s="0"/>
      <c r="AO1038" s="0"/>
      <c r="AP1038" s="0"/>
      <c r="AQ1038" s="0"/>
      <c r="AR1038" s="0"/>
      <c r="AS1038" s="0"/>
      <c r="AT1038" s="0"/>
      <c r="AU1038" s="0"/>
      <c r="AV1038" s="0"/>
      <c r="AW1038" s="0"/>
      <c r="AX1038" s="0"/>
      <c r="AY1038" s="0"/>
      <c r="AZ1038" s="0"/>
      <c r="BA1038" s="0"/>
      <c r="BB1038" s="0"/>
      <c r="BC1038" s="0"/>
      <c r="BD1038" s="0"/>
      <c r="BE1038" s="0"/>
      <c r="BF1038" s="0"/>
      <c r="BG1038" s="0"/>
      <c r="BH1038" s="0"/>
      <c r="BI1038" s="0"/>
      <c r="BJ1038" s="0"/>
      <c r="BK1038" s="0"/>
      <c r="BL1038" s="0"/>
      <c r="BM1038" s="0"/>
      <c r="BN1038" s="0"/>
      <c r="BO1038" s="0"/>
      <c r="BP1038" s="0"/>
      <c r="BQ1038" s="0"/>
      <c r="BR1038" s="0"/>
      <c r="BS1038" s="0"/>
      <c r="BT1038" s="0"/>
      <c r="BU1038" s="0"/>
      <c r="BV1038" s="0"/>
      <c r="BW1038" s="0"/>
      <c r="BX1038" s="0"/>
      <c r="BY1038" s="0"/>
      <c r="BZ1038" s="0"/>
      <c r="CA1038" s="0"/>
      <c r="CB1038" s="0"/>
      <c r="CC1038" s="0"/>
      <c r="CD1038" s="0"/>
      <c r="CE1038" s="0"/>
      <c r="CF1038" s="0"/>
      <c r="CG1038" s="0"/>
      <c r="CH1038" s="0"/>
      <c r="CI1038" s="0"/>
      <c r="CJ1038" s="0"/>
      <c r="CK1038" s="0"/>
      <c r="CL1038" s="0"/>
      <c r="CM1038" s="0"/>
      <c r="CN1038" s="0"/>
      <c r="CO1038" s="0"/>
      <c r="CP1038" s="0"/>
      <c r="CQ1038" s="0"/>
      <c r="CR1038" s="0"/>
      <c r="CS1038" s="0"/>
      <c r="CT1038" s="0"/>
      <c r="CU1038" s="0"/>
      <c r="CV1038" s="0"/>
      <c r="CW1038" s="0"/>
      <c r="CX1038" s="0"/>
      <c r="CY1038" s="0"/>
      <c r="CZ1038" s="0"/>
      <c r="DA1038" s="0"/>
      <c r="DB1038" s="0"/>
      <c r="DC1038" s="0"/>
      <c r="DD1038" s="0"/>
      <c r="DE1038" s="0"/>
      <c r="DF1038" s="0"/>
      <c r="DG1038" s="0"/>
      <c r="DH1038" s="0"/>
      <c r="DI1038" s="0"/>
      <c r="DJ1038" s="0"/>
      <c r="DK1038" s="0"/>
      <c r="DL1038" s="0"/>
      <c r="DM1038" s="0"/>
      <c r="DN1038" s="0"/>
      <c r="DO1038" s="0"/>
      <c r="DP1038" s="0"/>
      <c r="DQ1038" s="0"/>
      <c r="DR1038" s="0"/>
      <c r="DS1038" s="0"/>
      <c r="DT1038" s="0"/>
      <c r="DU1038" s="0"/>
      <c r="DV1038" s="0"/>
      <c r="DW1038" s="0"/>
      <c r="DX1038" s="0"/>
      <c r="DY1038" s="0"/>
      <c r="DZ1038" s="0"/>
      <c r="EA1038" s="0"/>
      <c r="EB1038" s="0"/>
      <c r="EC1038" s="0"/>
      <c r="ED1038" s="0"/>
      <c r="EE1038" s="0"/>
      <c r="EF1038" s="0"/>
      <c r="EG1038" s="0"/>
      <c r="EH1038" s="0"/>
      <c r="EI1038" s="0"/>
      <c r="EJ1038" s="0"/>
      <c r="EK1038" s="0"/>
      <c r="EL1038" s="0"/>
      <c r="EM1038" s="0"/>
      <c r="EN1038" s="0"/>
      <c r="EO1038" s="0"/>
      <c r="EP1038" s="0"/>
      <c r="EQ1038" s="0"/>
      <c r="ER1038" s="0"/>
      <c r="ES1038" s="0"/>
      <c r="ET1038" s="0"/>
      <c r="EU1038" s="0"/>
      <c r="EV1038" s="0"/>
      <c r="EW1038" s="0"/>
      <c r="EX1038" s="0"/>
      <c r="EY1038" s="0"/>
      <c r="EZ1038" s="0"/>
      <c r="FA1038" s="0"/>
      <c r="FB1038" s="0"/>
      <c r="FC1038" s="0"/>
      <c r="FD1038" s="0"/>
      <c r="FE1038" s="0"/>
      <c r="FF1038" s="0"/>
      <c r="FG1038" s="0"/>
      <c r="FH1038" s="0"/>
      <c r="FI1038" s="0"/>
      <c r="FJ1038" s="0"/>
      <c r="FK1038" s="0"/>
      <c r="FL1038" s="0"/>
      <c r="FM1038" s="0"/>
      <c r="FN1038" s="0"/>
      <c r="FO1038" s="0"/>
      <c r="FP1038" s="0"/>
      <c r="FQ1038" s="0"/>
      <c r="FR1038" s="0"/>
      <c r="FS1038" s="0"/>
      <c r="FT1038" s="0"/>
      <c r="FU1038" s="0"/>
      <c r="FV1038" s="0"/>
      <c r="FW1038" s="0"/>
      <c r="FX1038" s="0"/>
      <c r="FY1038" s="0"/>
      <c r="FZ1038" s="0"/>
      <c r="GA1038" s="0"/>
      <c r="GB1038" s="0"/>
      <c r="GC1038" s="0"/>
      <c r="GD1038" s="0"/>
      <c r="GE1038" s="0"/>
      <c r="GF1038" s="0"/>
      <c r="GG1038" s="0"/>
      <c r="GH1038" s="0"/>
      <c r="GI1038" s="0"/>
      <c r="GJ1038" s="0"/>
      <c r="GK1038" s="0"/>
      <c r="GL1038" s="0"/>
      <c r="GM1038" s="0"/>
      <c r="GN1038" s="0"/>
      <c r="GO1038" s="0"/>
      <c r="GP1038" s="0"/>
      <c r="GQ1038" s="0"/>
      <c r="GR1038" s="0"/>
      <c r="GS1038" s="0"/>
      <c r="GT1038" s="0"/>
      <c r="GU1038" s="0"/>
      <c r="GV1038" s="0"/>
      <c r="GW1038" s="0"/>
      <c r="GX1038" s="0"/>
      <c r="GY1038" s="0"/>
      <c r="GZ1038" s="0"/>
      <c r="HA1038" s="0"/>
      <c r="HB1038" s="0"/>
      <c r="HC1038" s="0"/>
      <c r="HD1038" s="0"/>
      <c r="HE1038" s="0"/>
      <c r="HF1038" s="0"/>
      <c r="HG1038" s="0"/>
      <c r="HH1038" s="0"/>
      <c r="HI1038" s="0"/>
      <c r="HJ1038" s="0"/>
      <c r="HK1038" s="0"/>
      <c r="HL1038" s="0"/>
      <c r="HM1038" s="0"/>
      <c r="HN1038" s="0"/>
      <c r="HO1038" s="0"/>
      <c r="HP1038" s="0"/>
      <c r="HQ1038" s="0"/>
      <c r="HR1038" s="0"/>
      <c r="HS1038" s="0"/>
      <c r="HT1038" s="0"/>
      <c r="HU1038" s="0"/>
      <c r="HV1038" s="0"/>
      <c r="HW1038" s="0"/>
      <c r="HX1038" s="0"/>
      <c r="HY1038" s="0"/>
      <c r="HZ1038" s="0"/>
      <c r="IA1038" s="0"/>
      <c r="IB1038" s="0"/>
      <c r="IC1038" s="0"/>
      <c r="ID1038" s="0"/>
      <c r="IE1038" s="0"/>
      <c r="IF1038" s="0"/>
      <c r="IG1038" s="0"/>
      <c r="IH1038" s="0"/>
      <c r="II1038" s="0"/>
      <c r="IJ1038" s="0"/>
      <c r="IK1038" s="0"/>
      <c r="IL1038" s="0"/>
      <c r="IM1038" s="0"/>
      <c r="IN1038" s="0"/>
      <c r="IO1038" s="0"/>
      <c r="IP1038" s="0"/>
      <c r="IQ1038" s="0"/>
      <c r="IR1038" s="0"/>
      <c r="IS1038" s="0"/>
      <c r="IT1038" s="0"/>
      <c r="IU1038" s="0"/>
      <c r="IV1038" s="0"/>
    </row>
    <row r="1039" customFormat="false" ht="15" hidden="false" customHeight="true" outlineLevel="0" collapsed="false">
      <c r="I1039" s="537"/>
      <c r="J1039" s="1308"/>
      <c r="K1039" s="903"/>
      <c r="L1039" s="877"/>
      <c r="M1039" s="0"/>
      <c r="Q1039" s="55"/>
      <c r="R1039" s="55"/>
      <c r="T1039" s="0"/>
      <c r="U1039" s="0"/>
      <c r="V1039" s="0"/>
      <c r="W1039" s="0"/>
      <c r="X1039" s="0"/>
      <c r="Y1039" s="0"/>
      <c r="Z1039" s="0"/>
      <c r="AA1039" s="0"/>
      <c r="AB1039" s="0"/>
      <c r="AC1039" s="0"/>
      <c r="AD1039" s="0"/>
      <c r="AE1039" s="0"/>
      <c r="AF1039" s="0"/>
      <c r="AG1039" s="0"/>
      <c r="AH1039" s="0"/>
      <c r="AI1039" s="0"/>
      <c r="AJ1039" s="0"/>
      <c r="AK1039" s="0"/>
      <c r="AL1039" s="0"/>
      <c r="AM1039" s="0"/>
      <c r="AN1039" s="0"/>
      <c r="AO1039" s="0"/>
      <c r="AP1039" s="0"/>
      <c r="AQ1039" s="0"/>
      <c r="AR1039" s="0"/>
      <c r="AS1039" s="0"/>
      <c r="AT1039" s="0"/>
      <c r="AU1039" s="0"/>
      <c r="AV1039" s="0"/>
      <c r="AW1039" s="0"/>
      <c r="AX1039" s="0"/>
      <c r="AY1039" s="0"/>
      <c r="AZ1039" s="0"/>
      <c r="BA1039" s="0"/>
      <c r="BB1039" s="0"/>
      <c r="BC1039" s="0"/>
      <c r="BD1039" s="0"/>
      <c r="BE1039" s="0"/>
      <c r="BF1039" s="0"/>
      <c r="BG1039" s="0"/>
      <c r="BH1039" s="0"/>
      <c r="BI1039" s="0"/>
      <c r="BJ1039" s="0"/>
      <c r="BK1039" s="0"/>
      <c r="BL1039" s="0"/>
      <c r="BM1039" s="0"/>
      <c r="BN1039" s="0"/>
      <c r="BO1039" s="0"/>
      <c r="BP1039" s="0"/>
      <c r="BQ1039" s="0"/>
      <c r="BR1039" s="0"/>
      <c r="BS1039" s="0"/>
      <c r="BT1039" s="0"/>
      <c r="BU1039" s="0"/>
      <c r="BV1039" s="0"/>
      <c r="BW1039" s="0"/>
      <c r="BX1039" s="0"/>
      <c r="BY1039" s="0"/>
      <c r="BZ1039" s="0"/>
      <c r="CA1039" s="0"/>
      <c r="CB1039" s="0"/>
      <c r="CC1039" s="0"/>
      <c r="CD1039" s="0"/>
      <c r="CE1039" s="0"/>
      <c r="CF1039" s="0"/>
      <c r="CG1039" s="0"/>
      <c r="CH1039" s="0"/>
      <c r="CI1039" s="0"/>
      <c r="CJ1039" s="0"/>
      <c r="CK1039" s="0"/>
      <c r="CL1039" s="0"/>
      <c r="CM1039" s="0"/>
      <c r="CN1039" s="0"/>
      <c r="CO1039" s="0"/>
      <c r="CP1039" s="0"/>
      <c r="CQ1039" s="0"/>
      <c r="CR1039" s="0"/>
      <c r="CS1039" s="0"/>
      <c r="CT1039" s="0"/>
      <c r="CU1039" s="0"/>
      <c r="CV1039" s="0"/>
      <c r="CW1039" s="0"/>
      <c r="CX1039" s="0"/>
      <c r="CY1039" s="0"/>
      <c r="CZ1039" s="0"/>
      <c r="DA1039" s="0"/>
      <c r="DB1039" s="0"/>
      <c r="DC1039" s="0"/>
      <c r="DD1039" s="0"/>
      <c r="DE1039" s="0"/>
      <c r="DF1039" s="0"/>
      <c r="DG1039" s="0"/>
      <c r="DH1039" s="0"/>
      <c r="DI1039" s="0"/>
      <c r="DJ1039" s="0"/>
      <c r="DK1039" s="0"/>
      <c r="DL1039" s="0"/>
      <c r="DM1039" s="0"/>
      <c r="DN1039" s="0"/>
      <c r="DO1039" s="0"/>
      <c r="DP1039" s="0"/>
      <c r="DQ1039" s="0"/>
      <c r="DR1039" s="0"/>
      <c r="DS1039" s="0"/>
      <c r="DT1039" s="0"/>
      <c r="DU1039" s="0"/>
      <c r="DV1039" s="0"/>
      <c r="DW1039" s="0"/>
      <c r="DX1039" s="0"/>
      <c r="DY1039" s="0"/>
      <c r="DZ1039" s="0"/>
      <c r="EA1039" s="0"/>
      <c r="EB1039" s="0"/>
      <c r="EC1039" s="0"/>
      <c r="ED1039" s="0"/>
      <c r="EE1039" s="0"/>
      <c r="EF1039" s="0"/>
      <c r="EG1039" s="0"/>
      <c r="EH1039" s="0"/>
      <c r="EI1039" s="0"/>
      <c r="EJ1039" s="0"/>
      <c r="EK1039" s="0"/>
      <c r="EL1039" s="0"/>
      <c r="EM1039" s="0"/>
      <c r="EN1039" s="0"/>
      <c r="EO1039" s="0"/>
      <c r="EP1039" s="0"/>
      <c r="EQ1039" s="0"/>
      <c r="ER1039" s="0"/>
      <c r="ES1039" s="0"/>
      <c r="ET1039" s="0"/>
      <c r="EU1039" s="0"/>
      <c r="EV1039" s="0"/>
      <c r="EW1039" s="0"/>
      <c r="EX1039" s="0"/>
      <c r="EY1039" s="0"/>
      <c r="EZ1039" s="0"/>
      <c r="FA1039" s="0"/>
      <c r="FB1039" s="0"/>
      <c r="FC1039" s="0"/>
      <c r="FD1039" s="0"/>
      <c r="FE1039" s="0"/>
      <c r="FF1039" s="0"/>
      <c r="FG1039" s="0"/>
      <c r="FH1039" s="0"/>
      <c r="FI1039" s="0"/>
      <c r="FJ1039" s="0"/>
      <c r="FK1039" s="0"/>
      <c r="FL1039" s="0"/>
      <c r="FM1039" s="0"/>
      <c r="FN1039" s="0"/>
      <c r="FO1039" s="0"/>
      <c r="FP1039" s="0"/>
      <c r="FQ1039" s="0"/>
      <c r="FR1039" s="0"/>
      <c r="FS1039" s="0"/>
      <c r="FT1039" s="0"/>
      <c r="FU1039" s="0"/>
      <c r="FV1039" s="0"/>
      <c r="FW1039" s="0"/>
      <c r="FX1039" s="0"/>
      <c r="FY1039" s="0"/>
      <c r="FZ1039" s="0"/>
      <c r="GA1039" s="0"/>
      <c r="GB1039" s="0"/>
      <c r="GC1039" s="0"/>
      <c r="GD1039" s="0"/>
      <c r="GE1039" s="0"/>
      <c r="GF1039" s="0"/>
      <c r="GG1039" s="0"/>
      <c r="GH1039" s="0"/>
      <c r="GI1039" s="0"/>
      <c r="GJ1039" s="0"/>
      <c r="GK1039" s="0"/>
      <c r="GL1039" s="0"/>
      <c r="GM1039" s="0"/>
      <c r="GN1039" s="0"/>
      <c r="GO1039" s="0"/>
      <c r="GP1039" s="0"/>
      <c r="GQ1039" s="0"/>
      <c r="GR1039" s="0"/>
      <c r="GS1039" s="0"/>
      <c r="GT1039" s="0"/>
      <c r="GU1039" s="0"/>
      <c r="GV1039" s="0"/>
      <c r="GW1039" s="0"/>
      <c r="GX1039" s="0"/>
      <c r="GY1039" s="0"/>
      <c r="GZ1039" s="0"/>
      <c r="HA1039" s="0"/>
      <c r="HB1039" s="0"/>
      <c r="HC1039" s="0"/>
      <c r="HD1039" s="0"/>
      <c r="HE1039" s="0"/>
      <c r="HF1039" s="0"/>
      <c r="HG1039" s="0"/>
      <c r="HH1039" s="0"/>
      <c r="HI1039" s="0"/>
      <c r="HJ1039" s="0"/>
      <c r="HK1039" s="0"/>
      <c r="HL1039" s="0"/>
      <c r="HM1039" s="0"/>
      <c r="HN1039" s="0"/>
      <c r="HO1039" s="0"/>
      <c r="HP1039" s="0"/>
      <c r="HQ1039" s="0"/>
      <c r="HR1039" s="0"/>
      <c r="HS1039" s="0"/>
      <c r="HT1039" s="0"/>
      <c r="HU1039" s="0"/>
      <c r="HV1039" s="0"/>
      <c r="HW1039" s="0"/>
      <c r="HX1039" s="0"/>
      <c r="HY1039" s="0"/>
      <c r="HZ1039" s="0"/>
      <c r="IA1039" s="0"/>
      <c r="IB1039" s="0"/>
      <c r="IC1039" s="0"/>
      <c r="ID1039" s="0"/>
      <c r="IE1039" s="0"/>
      <c r="IF1039" s="0"/>
      <c r="IG1039" s="0"/>
      <c r="IH1039" s="0"/>
      <c r="II1039" s="0"/>
      <c r="IJ1039" s="0"/>
      <c r="IK1039" s="0"/>
      <c r="IL1039" s="0"/>
      <c r="IM1039" s="0"/>
      <c r="IN1039" s="0"/>
      <c r="IO1039" s="0"/>
      <c r="IP1039" s="0"/>
      <c r="IQ1039" s="0"/>
      <c r="IR1039" s="0"/>
      <c r="IS1039" s="0"/>
      <c r="IT1039" s="0"/>
      <c r="IU1039" s="0"/>
      <c r="IV1039" s="0"/>
    </row>
    <row r="1040" customFormat="false" ht="15" hidden="false" customHeight="true" outlineLevel="0" collapsed="false">
      <c r="I1040" s="537"/>
      <c r="J1040" s="1308"/>
      <c r="K1040" s="903"/>
      <c r="L1040" s="877"/>
      <c r="Q1040" s="55"/>
      <c r="R1040" s="55"/>
    </row>
    <row r="1041" customFormat="false" ht="15.75" hidden="false" customHeight="true" outlineLevel="0" collapsed="false">
      <c r="A1041" s="869" t="s">
        <v>1696</v>
      </c>
      <c r="B1041" s="869"/>
      <c r="C1041" s="869"/>
      <c r="D1041" s="869"/>
      <c r="E1041" s="869"/>
      <c r="F1041" s="869"/>
      <c r="G1041" s="869"/>
      <c r="H1041" s="53"/>
      <c r="I1041" s="53"/>
      <c r="J1041" s="53"/>
      <c r="K1041" s="870"/>
      <c r="L1041" s="871" t="s">
        <v>1697</v>
      </c>
      <c r="M1041" s="0"/>
      <c r="N1041" s="1309"/>
      <c r="O1041" s="1309"/>
      <c r="P1041" s="1309"/>
      <c r="Q1041" s="1309"/>
      <c r="R1041" s="1309"/>
      <c r="S1041" s="1309"/>
      <c r="T1041" s="0"/>
      <c r="U1041" s="0"/>
      <c r="V1041" s="0"/>
      <c r="W1041" s="0"/>
      <c r="X1041" s="0"/>
      <c r="Y1041" s="0"/>
      <c r="Z1041" s="0"/>
      <c r="AA1041" s="0"/>
      <c r="AB1041" s="0"/>
      <c r="AC1041" s="0"/>
      <c r="AD1041" s="0"/>
      <c r="AE1041" s="0"/>
      <c r="AF1041" s="0"/>
      <c r="AG1041" s="0"/>
      <c r="AH1041" s="0"/>
      <c r="AI1041" s="0"/>
      <c r="AJ1041" s="0"/>
      <c r="AK1041" s="0"/>
      <c r="AL1041" s="0"/>
      <c r="AM1041" s="0"/>
      <c r="AN1041" s="0"/>
      <c r="AO1041" s="0"/>
      <c r="AP1041" s="0"/>
      <c r="AQ1041" s="0"/>
      <c r="AR1041" s="0"/>
      <c r="AS1041" s="0"/>
      <c r="AT1041" s="0"/>
      <c r="AU1041" s="0"/>
      <c r="AV1041" s="0"/>
      <c r="AW1041" s="0"/>
      <c r="AX1041" s="0"/>
      <c r="AY1041" s="0"/>
      <c r="AZ1041" s="0"/>
      <c r="BA1041" s="0"/>
      <c r="BB1041" s="0"/>
      <c r="BC1041" s="0"/>
      <c r="BD1041" s="0"/>
      <c r="BE1041" s="0"/>
      <c r="BF1041" s="0"/>
      <c r="BG1041" s="0"/>
      <c r="BH1041" s="0"/>
      <c r="BI1041" s="0"/>
      <c r="BJ1041" s="0"/>
      <c r="BK1041" s="0"/>
      <c r="BL1041" s="0"/>
      <c r="BM1041" s="0"/>
      <c r="BN1041" s="0"/>
      <c r="BO1041" s="0"/>
      <c r="BP1041" s="0"/>
      <c r="BQ1041" s="0"/>
      <c r="BR1041" s="0"/>
      <c r="BS1041" s="0"/>
      <c r="BT1041" s="0"/>
      <c r="BU1041" s="0"/>
      <c r="BV1041" s="0"/>
      <c r="BW1041" s="0"/>
      <c r="BX1041" s="0"/>
      <c r="BY1041" s="0"/>
      <c r="BZ1041" s="0"/>
      <c r="CA1041" s="0"/>
      <c r="CB1041" s="0"/>
      <c r="CC1041" s="0"/>
      <c r="CD1041" s="0"/>
      <c r="CE1041" s="0"/>
      <c r="CF1041" s="0"/>
      <c r="CG1041" s="0"/>
      <c r="CH1041" s="0"/>
      <c r="CI1041" s="0"/>
      <c r="CJ1041" s="0"/>
      <c r="CK1041" s="0"/>
      <c r="CL1041" s="0"/>
      <c r="CM1041" s="0"/>
      <c r="CN1041" s="0"/>
      <c r="CO1041" s="0"/>
      <c r="CP1041" s="0"/>
      <c r="CQ1041" s="0"/>
      <c r="CR1041" s="0"/>
      <c r="CS1041" s="0"/>
      <c r="CT1041" s="0"/>
      <c r="CU1041" s="0"/>
      <c r="CV1041" s="0"/>
      <c r="CW1041" s="0"/>
      <c r="CX1041" s="0"/>
      <c r="CY1041" s="0"/>
      <c r="CZ1041" s="0"/>
      <c r="DA1041" s="0"/>
      <c r="DB1041" s="0"/>
      <c r="DC1041" s="0"/>
      <c r="DD1041" s="0"/>
      <c r="DE1041" s="0"/>
      <c r="DF1041" s="0"/>
      <c r="DG1041" s="0"/>
      <c r="DH1041" s="0"/>
      <c r="DI1041" s="0"/>
      <c r="DJ1041" s="0"/>
      <c r="DK1041" s="0"/>
      <c r="DL1041" s="0"/>
      <c r="DM1041" s="0"/>
      <c r="DN1041" s="0"/>
      <c r="DO1041" s="0"/>
      <c r="DP1041" s="0"/>
      <c r="DQ1041" s="0"/>
      <c r="DR1041" s="0"/>
      <c r="DS1041" s="0"/>
      <c r="DT1041" s="0"/>
      <c r="DU1041" s="0"/>
      <c r="DV1041" s="0"/>
      <c r="DW1041" s="0"/>
      <c r="DX1041" s="0"/>
      <c r="DY1041" s="0"/>
      <c r="DZ1041" s="0"/>
      <c r="EA1041" s="0"/>
      <c r="EB1041" s="0"/>
      <c r="EC1041" s="0"/>
      <c r="ED1041" s="0"/>
      <c r="EE1041" s="0"/>
      <c r="EF1041" s="0"/>
      <c r="EG1041" s="0"/>
      <c r="EH1041" s="0"/>
      <c r="EI1041" s="0"/>
      <c r="EJ1041" s="0"/>
      <c r="EK1041" s="0"/>
      <c r="EL1041" s="0"/>
      <c r="EM1041" s="0"/>
      <c r="EN1041" s="0"/>
      <c r="EO1041" s="0"/>
      <c r="EP1041" s="0"/>
      <c r="EQ1041" s="0"/>
      <c r="ER1041" s="0"/>
      <c r="ES1041" s="0"/>
      <c r="ET1041" s="0"/>
      <c r="EU1041" s="0"/>
      <c r="EV1041" s="0"/>
      <c r="EW1041" s="0"/>
      <c r="EX1041" s="0"/>
      <c r="EY1041" s="0"/>
      <c r="EZ1041" s="0"/>
      <c r="FA1041" s="0"/>
      <c r="FB1041" s="0"/>
      <c r="FC1041" s="0"/>
      <c r="FD1041" s="0"/>
      <c r="FE1041" s="0"/>
      <c r="FF1041" s="0"/>
      <c r="FG1041" s="0"/>
      <c r="FH1041" s="0"/>
      <c r="FI1041" s="0"/>
      <c r="FJ1041" s="0"/>
      <c r="FK1041" s="0"/>
      <c r="FL1041" s="0"/>
      <c r="FM1041" s="0"/>
      <c r="FN1041" s="0"/>
      <c r="FO1041" s="0"/>
      <c r="FP1041" s="0"/>
      <c r="FQ1041" s="0"/>
      <c r="FR1041" s="0"/>
      <c r="FS1041" s="0"/>
      <c r="FT1041" s="0"/>
      <c r="FU1041" s="0"/>
      <c r="FV1041" s="0"/>
      <c r="FW1041" s="0"/>
      <c r="FX1041" s="0"/>
      <c r="FY1041" s="0"/>
      <c r="FZ1041" s="0"/>
      <c r="GA1041" s="0"/>
      <c r="GB1041" s="0"/>
      <c r="GC1041" s="0"/>
      <c r="GD1041" s="0"/>
      <c r="GE1041" s="0"/>
      <c r="GF1041" s="0"/>
      <c r="GG1041" s="0"/>
      <c r="GH1041" s="0"/>
      <c r="GI1041" s="0"/>
      <c r="GJ1041" s="0"/>
      <c r="GK1041" s="0"/>
      <c r="GL1041" s="0"/>
      <c r="GM1041" s="0"/>
      <c r="GN1041" s="0"/>
      <c r="GO1041" s="0"/>
      <c r="GP1041" s="0"/>
      <c r="GQ1041" s="0"/>
      <c r="GR1041" s="0"/>
      <c r="GS1041" s="0"/>
      <c r="GT1041" s="0"/>
      <c r="GU1041" s="0"/>
      <c r="GV1041" s="0"/>
      <c r="GW1041" s="0"/>
      <c r="GX1041" s="0"/>
      <c r="GY1041" s="0"/>
      <c r="GZ1041" s="0"/>
      <c r="HA1041" s="0"/>
      <c r="HB1041" s="0"/>
      <c r="HC1041" s="0"/>
      <c r="HD1041" s="0"/>
      <c r="HE1041" s="0"/>
      <c r="HF1041" s="0"/>
      <c r="HG1041" s="0"/>
      <c r="HH1041" s="0"/>
      <c r="HI1041" s="0"/>
      <c r="HJ1041" s="0"/>
      <c r="HK1041" s="0"/>
      <c r="HL1041" s="0"/>
      <c r="HM1041" s="0"/>
      <c r="HN1041" s="0"/>
      <c r="HO1041" s="0"/>
      <c r="HP1041" s="0"/>
      <c r="HQ1041" s="0"/>
      <c r="HR1041" s="0"/>
      <c r="HS1041" s="0"/>
      <c r="HT1041" s="0"/>
      <c r="HU1041" s="0"/>
      <c r="HV1041" s="0"/>
      <c r="HW1041" s="0"/>
      <c r="HX1041" s="0"/>
      <c r="HY1041" s="0"/>
      <c r="HZ1041" s="0"/>
      <c r="IA1041" s="0"/>
      <c r="IB1041" s="0"/>
      <c r="IC1041" s="0"/>
      <c r="ID1041" s="0"/>
      <c r="IE1041" s="0"/>
      <c r="IF1041" s="0"/>
      <c r="IG1041" s="0"/>
      <c r="IH1041" s="0"/>
      <c r="II1041" s="0"/>
      <c r="IJ1041" s="0"/>
      <c r="IK1041" s="0"/>
      <c r="IL1041" s="0"/>
      <c r="IM1041" s="0"/>
      <c r="IN1041" s="0"/>
      <c r="IO1041" s="0"/>
      <c r="IP1041" s="0"/>
      <c r="IQ1041" s="0"/>
      <c r="IR1041" s="0"/>
      <c r="IS1041" s="0"/>
      <c r="IT1041" s="0"/>
      <c r="IU1041" s="0"/>
      <c r="IV1041" s="0"/>
    </row>
    <row r="1042" customFormat="false" ht="15.75" hidden="false" customHeight="true" outlineLevel="0" collapsed="false">
      <c r="A1042" s="1005"/>
      <c r="B1042" s="1005"/>
      <c r="C1042" s="1005"/>
      <c r="D1042" s="1005"/>
      <c r="E1042" s="1005"/>
      <c r="F1042" s="1005"/>
      <c r="G1042" s="1005"/>
      <c r="H1042" s="0"/>
      <c r="I1042" s="0"/>
      <c r="J1042" s="0"/>
      <c r="K1042" s="1310"/>
      <c r="L1042" s="877"/>
      <c r="M1042" s="0"/>
      <c r="N1042" s="1309"/>
      <c r="O1042" s="1309"/>
      <c r="P1042" s="1309"/>
      <c r="Q1042" s="1309"/>
      <c r="R1042" s="1309"/>
      <c r="S1042" s="1309"/>
      <c r="T1042" s="0"/>
      <c r="U1042" s="0"/>
      <c r="V1042" s="0"/>
      <c r="W1042" s="0"/>
      <c r="X1042" s="0"/>
      <c r="Y1042" s="0"/>
      <c r="Z1042" s="0"/>
      <c r="AA1042" s="0"/>
      <c r="AB1042" s="0"/>
      <c r="AC1042" s="0"/>
      <c r="AD1042" s="0"/>
      <c r="AE1042" s="0"/>
      <c r="AF1042" s="0"/>
      <c r="AG1042" s="0"/>
      <c r="AH1042" s="0"/>
      <c r="AI1042" s="0"/>
      <c r="AJ1042" s="0"/>
      <c r="AK1042" s="0"/>
      <c r="AL1042" s="0"/>
      <c r="AM1042" s="0"/>
      <c r="AN1042" s="0"/>
      <c r="AO1042" s="0"/>
      <c r="AP1042" s="0"/>
      <c r="AQ1042" s="0"/>
      <c r="AR1042" s="0"/>
      <c r="AS1042" s="0"/>
      <c r="AT1042" s="0"/>
      <c r="AU1042" s="0"/>
      <c r="AV1042" s="0"/>
      <c r="AW1042" s="0"/>
      <c r="AX1042" s="0"/>
      <c r="AY1042" s="0"/>
      <c r="AZ1042" s="0"/>
      <c r="BA1042" s="0"/>
      <c r="BB1042" s="0"/>
      <c r="BC1042" s="0"/>
      <c r="BD1042" s="0"/>
      <c r="BE1042" s="0"/>
      <c r="BF1042" s="0"/>
      <c r="BG1042" s="0"/>
      <c r="BH1042" s="0"/>
      <c r="BI1042" s="0"/>
      <c r="BJ1042" s="0"/>
      <c r="BK1042" s="0"/>
      <c r="BL1042" s="0"/>
      <c r="BM1042" s="0"/>
      <c r="BN1042" s="0"/>
      <c r="BO1042" s="0"/>
      <c r="BP1042" s="0"/>
      <c r="BQ1042" s="0"/>
      <c r="BR1042" s="0"/>
      <c r="BS1042" s="0"/>
      <c r="BT1042" s="0"/>
      <c r="BU1042" s="0"/>
      <c r="BV1042" s="0"/>
      <c r="BW1042" s="0"/>
      <c r="BX1042" s="0"/>
      <c r="BY1042" s="0"/>
      <c r="BZ1042" s="0"/>
      <c r="CA1042" s="0"/>
      <c r="CB1042" s="0"/>
      <c r="CC1042" s="0"/>
      <c r="CD1042" s="0"/>
      <c r="CE1042" s="0"/>
      <c r="CF1042" s="0"/>
      <c r="CG1042" s="0"/>
      <c r="CH1042" s="0"/>
      <c r="CI1042" s="0"/>
      <c r="CJ1042" s="0"/>
      <c r="CK1042" s="0"/>
      <c r="CL1042" s="0"/>
      <c r="CM1042" s="0"/>
      <c r="CN1042" s="0"/>
      <c r="CO1042" s="0"/>
      <c r="CP1042" s="0"/>
      <c r="CQ1042" s="0"/>
      <c r="CR1042" s="0"/>
      <c r="CS1042" s="0"/>
      <c r="CT1042" s="0"/>
      <c r="CU1042" s="0"/>
      <c r="CV1042" s="0"/>
      <c r="CW1042" s="0"/>
      <c r="CX1042" s="0"/>
      <c r="CY1042" s="0"/>
      <c r="CZ1042" s="0"/>
      <c r="DA1042" s="0"/>
      <c r="DB1042" s="0"/>
      <c r="DC1042" s="0"/>
      <c r="DD1042" s="0"/>
      <c r="DE1042" s="0"/>
      <c r="DF1042" s="0"/>
      <c r="DG1042" s="0"/>
      <c r="DH1042" s="0"/>
      <c r="DI1042" s="0"/>
      <c r="DJ1042" s="0"/>
      <c r="DK1042" s="0"/>
      <c r="DL1042" s="0"/>
      <c r="DM1042" s="0"/>
      <c r="DN1042" s="0"/>
      <c r="DO1042" s="0"/>
      <c r="DP1042" s="0"/>
      <c r="DQ1042" s="0"/>
      <c r="DR1042" s="0"/>
      <c r="DS1042" s="0"/>
      <c r="DT1042" s="0"/>
      <c r="DU1042" s="0"/>
      <c r="DV1042" s="0"/>
      <c r="DW1042" s="0"/>
      <c r="DX1042" s="0"/>
      <c r="DY1042" s="0"/>
      <c r="DZ1042" s="0"/>
      <c r="EA1042" s="0"/>
      <c r="EB1042" s="0"/>
      <c r="EC1042" s="0"/>
      <c r="ED1042" s="0"/>
      <c r="EE1042" s="0"/>
      <c r="EF1042" s="0"/>
      <c r="EG1042" s="0"/>
      <c r="EH1042" s="0"/>
      <c r="EI1042" s="0"/>
      <c r="EJ1042" s="0"/>
      <c r="EK1042" s="0"/>
      <c r="EL1042" s="0"/>
      <c r="EM1042" s="0"/>
      <c r="EN1042" s="0"/>
      <c r="EO1042" s="0"/>
      <c r="EP1042" s="0"/>
      <c r="EQ1042" s="0"/>
      <c r="ER1042" s="0"/>
      <c r="ES1042" s="0"/>
      <c r="ET1042" s="0"/>
      <c r="EU1042" s="0"/>
      <c r="EV1042" s="0"/>
      <c r="EW1042" s="0"/>
      <c r="EX1042" s="0"/>
      <c r="EY1042" s="0"/>
      <c r="EZ1042" s="0"/>
      <c r="FA1042" s="0"/>
      <c r="FB1042" s="0"/>
      <c r="FC1042" s="0"/>
      <c r="FD1042" s="0"/>
      <c r="FE1042" s="0"/>
      <c r="FF1042" s="0"/>
      <c r="FG1042" s="0"/>
      <c r="FH1042" s="0"/>
      <c r="FI1042" s="0"/>
      <c r="FJ1042" s="0"/>
      <c r="FK1042" s="0"/>
      <c r="FL1042" s="0"/>
      <c r="FM1042" s="0"/>
      <c r="FN1042" s="0"/>
      <c r="FO1042" s="0"/>
      <c r="FP1042" s="0"/>
      <c r="FQ1042" s="0"/>
      <c r="FR1042" s="0"/>
      <c r="FS1042" s="0"/>
      <c r="FT1042" s="0"/>
      <c r="FU1042" s="0"/>
      <c r="FV1042" s="0"/>
      <c r="FW1042" s="0"/>
      <c r="FX1042" s="0"/>
      <c r="FY1042" s="0"/>
      <c r="FZ1042" s="0"/>
      <c r="GA1042" s="0"/>
      <c r="GB1042" s="0"/>
      <c r="GC1042" s="0"/>
      <c r="GD1042" s="0"/>
      <c r="GE1042" s="0"/>
      <c r="GF1042" s="0"/>
      <c r="GG1042" s="0"/>
      <c r="GH1042" s="0"/>
      <c r="GI1042" s="0"/>
      <c r="GJ1042" s="0"/>
      <c r="GK1042" s="0"/>
      <c r="GL1042" s="0"/>
      <c r="GM1042" s="0"/>
      <c r="GN1042" s="0"/>
      <c r="GO1042" s="0"/>
      <c r="GP1042" s="0"/>
      <c r="GQ1042" s="0"/>
      <c r="GR1042" s="0"/>
      <c r="GS1042" s="0"/>
      <c r="GT1042" s="0"/>
      <c r="GU1042" s="0"/>
      <c r="GV1042" s="0"/>
      <c r="GW1042" s="0"/>
      <c r="GX1042" s="0"/>
      <c r="GY1042" s="0"/>
      <c r="GZ1042" s="0"/>
      <c r="HA1042" s="0"/>
      <c r="HB1042" s="0"/>
      <c r="HC1042" s="0"/>
      <c r="HD1042" s="0"/>
      <c r="HE1042" s="0"/>
      <c r="HF1042" s="0"/>
      <c r="HG1042" s="0"/>
      <c r="HH1042" s="0"/>
      <c r="HI1042" s="0"/>
      <c r="HJ1042" s="0"/>
      <c r="HK1042" s="0"/>
      <c r="HL1042" s="0"/>
      <c r="HM1042" s="0"/>
      <c r="HN1042" s="0"/>
      <c r="HO1042" s="0"/>
      <c r="HP1042" s="0"/>
      <c r="HQ1042" s="0"/>
      <c r="HR1042" s="0"/>
      <c r="HS1042" s="0"/>
      <c r="HT1042" s="0"/>
      <c r="HU1042" s="0"/>
      <c r="HV1042" s="0"/>
      <c r="HW1042" s="0"/>
      <c r="HX1042" s="0"/>
      <c r="HY1042" s="0"/>
      <c r="HZ1042" s="0"/>
      <c r="IA1042" s="0"/>
      <c r="IB1042" s="0"/>
      <c r="IC1042" s="0"/>
      <c r="ID1042" s="0"/>
      <c r="IE1042" s="0"/>
      <c r="IF1042" s="0"/>
      <c r="IG1042" s="0"/>
      <c r="IH1042" s="0"/>
      <c r="II1042" s="0"/>
      <c r="IJ1042" s="0"/>
      <c r="IK1042" s="0"/>
      <c r="IL1042" s="0"/>
      <c r="IM1042" s="0"/>
      <c r="IN1042" s="0"/>
      <c r="IO1042" s="0"/>
      <c r="IP1042" s="0"/>
      <c r="IQ1042" s="0"/>
      <c r="IR1042" s="0"/>
      <c r="IS1042" s="0"/>
      <c r="IT1042" s="0"/>
      <c r="IU1042" s="0"/>
      <c r="IV1042" s="0"/>
    </row>
    <row r="1043" s="19" customFormat="true" ht="15.75" hidden="false" customHeight="true" outlineLevel="0" collapsed="false">
      <c r="A1043" s="364" t="s">
        <v>1698</v>
      </c>
      <c r="B1043" s="364"/>
      <c r="C1043" s="364"/>
      <c r="D1043" s="364"/>
      <c r="E1043" s="906" t="n">
        <v>2</v>
      </c>
      <c r="F1043" s="443" t="s">
        <v>1699</v>
      </c>
      <c r="K1043" s="1310"/>
      <c r="L1043" s="877"/>
    </row>
    <row r="1044" s="1309" customFormat="true" ht="15.75" hidden="false" customHeight="true" outlineLevel="0" collapsed="false">
      <c r="A1044" s="14"/>
      <c r="B1044" s="11"/>
      <c r="C1044" s="11"/>
      <c r="D1044" s="11"/>
      <c r="E1044" s="11"/>
      <c r="F1044" s="11"/>
      <c r="L1044" s="1310"/>
      <c r="N1044" s="19"/>
      <c r="O1044" s="19"/>
      <c r="P1044" s="19"/>
      <c r="Q1044" s="19"/>
      <c r="R1044" s="19"/>
      <c r="S1044" s="19"/>
    </row>
    <row r="1045" customFormat="false" ht="15.75" hidden="false" customHeight="true" outlineLevel="0" collapsed="false">
      <c r="A1045" s="1111" t="s">
        <v>784</v>
      </c>
      <c r="B1045" s="1111"/>
      <c r="C1045" s="1111"/>
      <c r="D1045" s="1111"/>
      <c r="E1045" s="966" t="s">
        <v>253</v>
      </c>
      <c r="H1045" s="0"/>
      <c r="I1045" s="0"/>
      <c r="J1045" s="0"/>
      <c r="K1045" s="0"/>
      <c r="L1045" s="1310"/>
      <c r="M1045" s="0"/>
      <c r="N1045" s="19"/>
      <c r="O1045" s="19"/>
      <c r="P1045" s="19"/>
      <c r="Q1045" s="19"/>
      <c r="R1045" s="19"/>
      <c r="S1045" s="19"/>
      <c r="T1045" s="0"/>
      <c r="U1045" s="0"/>
      <c r="V1045" s="0"/>
      <c r="W1045" s="0"/>
      <c r="X1045" s="0"/>
      <c r="Y1045" s="0"/>
      <c r="Z1045" s="0"/>
      <c r="AA1045" s="0"/>
      <c r="AB1045" s="0"/>
      <c r="AC1045" s="0"/>
      <c r="AD1045" s="0"/>
      <c r="AE1045" s="0"/>
      <c r="AF1045" s="0"/>
      <c r="AG1045" s="0"/>
      <c r="AH1045" s="0"/>
      <c r="AI1045" s="0"/>
      <c r="AJ1045" s="0"/>
      <c r="AK1045" s="0"/>
      <c r="AL1045" s="0"/>
      <c r="AM1045" s="0"/>
      <c r="AN1045" s="0"/>
      <c r="AO1045" s="0"/>
      <c r="AP1045" s="0"/>
      <c r="AQ1045" s="0"/>
      <c r="AR1045" s="0"/>
      <c r="AS1045" s="0"/>
      <c r="AT1045" s="0"/>
      <c r="AU1045" s="0"/>
      <c r="AV1045" s="0"/>
      <c r="AW1045" s="0"/>
      <c r="AX1045" s="0"/>
      <c r="AY1045" s="0"/>
      <c r="AZ1045" s="0"/>
      <c r="BA1045" s="0"/>
      <c r="BB1045" s="0"/>
      <c r="BC1045" s="0"/>
      <c r="BD1045" s="0"/>
      <c r="BE1045" s="0"/>
      <c r="BF1045" s="0"/>
      <c r="BG1045" s="0"/>
      <c r="BH1045" s="0"/>
      <c r="BI1045" s="0"/>
      <c r="BJ1045" s="0"/>
      <c r="BK1045" s="0"/>
      <c r="BL1045" s="0"/>
      <c r="BM1045" s="0"/>
      <c r="BN1045" s="0"/>
      <c r="BO1045" s="0"/>
      <c r="BP1045" s="0"/>
      <c r="BQ1045" s="0"/>
      <c r="BR1045" s="0"/>
      <c r="BS1045" s="0"/>
      <c r="BT1045" s="0"/>
      <c r="BU1045" s="0"/>
      <c r="BV1045" s="0"/>
      <c r="BW1045" s="0"/>
      <c r="BX1045" s="0"/>
      <c r="BY1045" s="0"/>
      <c r="BZ1045" s="0"/>
      <c r="CA1045" s="0"/>
      <c r="CB1045" s="0"/>
      <c r="CC1045" s="0"/>
      <c r="CD1045" s="0"/>
      <c r="CE1045" s="0"/>
      <c r="CF1045" s="0"/>
      <c r="CG1045" s="0"/>
      <c r="CH1045" s="0"/>
      <c r="CI1045" s="0"/>
      <c r="CJ1045" s="0"/>
      <c r="CK1045" s="0"/>
      <c r="CL1045" s="0"/>
      <c r="CM1045" s="0"/>
      <c r="CN1045" s="0"/>
      <c r="CO1045" s="0"/>
      <c r="CP1045" s="0"/>
      <c r="CQ1045" s="0"/>
      <c r="CR1045" s="0"/>
      <c r="CS1045" s="0"/>
      <c r="CT1045" s="0"/>
      <c r="CU1045" s="0"/>
      <c r="CV1045" s="0"/>
      <c r="CW1045" s="0"/>
      <c r="CX1045" s="0"/>
      <c r="CY1045" s="0"/>
      <c r="CZ1045" s="0"/>
      <c r="DA1045" s="0"/>
      <c r="DB1045" s="0"/>
      <c r="DC1045" s="0"/>
      <c r="DD1045" s="0"/>
      <c r="DE1045" s="0"/>
      <c r="DF1045" s="0"/>
      <c r="DG1045" s="0"/>
      <c r="DH1045" s="0"/>
      <c r="DI1045" s="0"/>
      <c r="DJ1045" s="0"/>
      <c r="DK1045" s="0"/>
      <c r="DL1045" s="0"/>
      <c r="DM1045" s="0"/>
      <c r="DN1045" s="0"/>
      <c r="DO1045" s="0"/>
      <c r="DP1045" s="0"/>
      <c r="DQ1045" s="0"/>
      <c r="DR1045" s="0"/>
      <c r="DS1045" s="0"/>
      <c r="DT1045" s="0"/>
      <c r="DU1045" s="0"/>
      <c r="DV1045" s="0"/>
      <c r="DW1045" s="0"/>
      <c r="DX1045" s="0"/>
      <c r="DY1045" s="0"/>
      <c r="DZ1045" s="0"/>
      <c r="EA1045" s="0"/>
      <c r="EB1045" s="0"/>
      <c r="EC1045" s="0"/>
      <c r="ED1045" s="0"/>
      <c r="EE1045" s="0"/>
      <c r="EF1045" s="0"/>
      <c r="EG1045" s="0"/>
      <c r="EH1045" s="0"/>
      <c r="EI1045" s="0"/>
      <c r="EJ1045" s="0"/>
      <c r="EK1045" s="0"/>
      <c r="EL1045" s="0"/>
      <c r="EM1045" s="0"/>
      <c r="EN1045" s="0"/>
      <c r="EO1045" s="0"/>
      <c r="EP1045" s="0"/>
      <c r="EQ1045" s="0"/>
      <c r="ER1045" s="0"/>
      <c r="ES1045" s="0"/>
      <c r="ET1045" s="0"/>
      <c r="EU1045" s="0"/>
      <c r="EV1045" s="0"/>
      <c r="EW1045" s="0"/>
      <c r="EX1045" s="0"/>
      <c r="EY1045" s="0"/>
      <c r="EZ1045" s="0"/>
      <c r="FA1045" s="0"/>
      <c r="FB1045" s="0"/>
      <c r="FC1045" s="0"/>
      <c r="FD1045" s="0"/>
      <c r="FE1045" s="0"/>
      <c r="FF1045" s="0"/>
      <c r="FG1045" s="0"/>
      <c r="FH1045" s="0"/>
      <c r="FI1045" s="0"/>
      <c r="FJ1045" s="0"/>
      <c r="FK1045" s="0"/>
      <c r="FL1045" s="0"/>
      <c r="FM1045" s="0"/>
      <c r="FN1045" s="0"/>
      <c r="FO1045" s="0"/>
      <c r="FP1045" s="0"/>
      <c r="FQ1045" s="0"/>
      <c r="FR1045" s="0"/>
      <c r="FS1045" s="0"/>
      <c r="FT1045" s="0"/>
      <c r="FU1045" s="0"/>
      <c r="FV1045" s="0"/>
      <c r="FW1045" s="0"/>
      <c r="FX1045" s="0"/>
      <c r="FY1045" s="0"/>
      <c r="FZ1045" s="0"/>
      <c r="GA1045" s="0"/>
      <c r="GB1045" s="0"/>
      <c r="GC1045" s="0"/>
      <c r="GD1045" s="0"/>
      <c r="GE1045" s="0"/>
      <c r="GF1045" s="0"/>
      <c r="GG1045" s="0"/>
      <c r="GH1045" s="0"/>
      <c r="GI1045" s="0"/>
      <c r="GJ1045" s="0"/>
      <c r="GK1045" s="0"/>
      <c r="GL1045" s="0"/>
      <c r="GM1045" s="0"/>
      <c r="GN1045" s="0"/>
      <c r="GO1045" s="0"/>
      <c r="GP1045" s="0"/>
      <c r="GQ1045" s="0"/>
      <c r="GR1045" s="0"/>
      <c r="GS1045" s="0"/>
      <c r="GT1045" s="0"/>
      <c r="GU1045" s="0"/>
      <c r="GV1045" s="0"/>
      <c r="GW1045" s="0"/>
      <c r="GX1045" s="0"/>
      <c r="GY1045" s="0"/>
      <c r="GZ1045" s="0"/>
      <c r="HA1045" s="0"/>
      <c r="HB1045" s="0"/>
      <c r="HC1045" s="0"/>
      <c r="HD1045" s="0"/>
      <c r="HE1045" s="0"/>
      <c r="HF1045" s="0"/>
      <c r="HG1045" s="0"/>
      <c r="HH1045" s="0"/>
      <c r="HI1045" s="0"/>
      <c r="HJ1045" s="0"/>
      <c r="HK1045" s="0"/>
      <c r="HL1045" s="0"/>
      <c r="HM1045" s="0"/>
      <c r="HN1045" s="0"/>
      <c r="HO1045" s="0"/>
      <c r="HP1045" s="0"/>
      <c r="HQ1045" s="0"/>
      <c r="HR1045" s="0"/>
      <c r="HS1045" s="0"/>
      <c r="HT1045" s="0"/>
      <c r="HU1045" s="0"/>
      <c r="HV1045" s="0"/>
      <c r="HW1045" s="0"/>
      <c r="HX1045" s="0"/>
      <c r="HY1045" s="0"/>
      <c r="HZ1045" s="0"/>
      <c r="IA1045" s="0"/>
      <c r="IB1045" s="0"/>
      <c r="IC1045" s="0"/>
      <c r="ID1045" s="0"/>
      <c r="IE1045" s="0"/>
      <c r="IF1045" s="0"/>
      <c r="IG1045" s="0"/>
      <c r="IH1045" s="0"/>
      <c r="II1045" s="0"/>
      <c r="IJ1045" s="0"/>
      <c r="IK1045" s="0"/>
      <c r="IL1045" s="0"/>
      <c r="IM1045" s="0"/>
      <c r="IN1045" s="0"/>
      <c r="IO1045" s="0"/>
      <c r="IP1045" s="0"/>
      <c r="IQ1045" s="0"/>
      <c r="IR1045" s="0"/>
      <c r="IS1045" s="0"/>
      <c r="IT1045" s="0"/>
      <c r="IU1045" s="0"/>
      <c r="IV1045" s="0"/>
    </row>
    <row r="1046" customFormat="false" ht="15.75" hidden="false" customHeight="true" outlineLevel="0" collapsed="false">
      <c r="A1046" s="1302" t="s">
        <v>785</v>
      </c>
      <c r="B1046" s="1302"/>
      <c r="C1046" s="1302"/>
      <c r="D1046" s="1302"/>
      <c r="E1046" s="1302"/>
      <c r="G1046" s="14"/>
      <c r="H1046" s="0"/>
      <c r="I1046" s="0"/>
      <c r="J1046" s="0"/>
      <c r="K1046" s="0"/>
      <c r="L1046" s="1310"/>
      <c r="M1046" s="0"/>
      <c r="N1046" s="19"/>
      <c r="O1046" s="19"/>
      <c r="P1046" s="19"/>
      <c r="Q1046" s="19"/>
      <c r="R1046" s="19"/>
      <c r="S1046" s="19"/>
      <c r="T1046" s="0"/>
      <c r="U1046" s="0"/>
      <c r="V1046" s="0"/>
      <c r="W1046" s="0"/>
      <c r="X1046" s="0"/>
      <c r="Y1046" s="0"/>
      <c r="Z1046" s="0"/>
      <c r="AA1046" s="0"/>
      <c r="AB1046" s="0"/>
      <c r="AC1046" s="0"/>
      <c r="AD1046" s="0"/>
      <c r="AE1046" s="0"/>
      <c r="AF1046" s="0"/>
      <c r="AG1046" s="0"/>
      <c r="AH1046" s="0"/>
      <c r="AI1046" s="0"/>
      <c r="AJ1046" s="0"/>
      <c r="AK1046" s="0"/>
      <c r="AL1046" s="0"/>
      <c r="AM1046" s="0"/>
      <c r="AN1046" s="0"/>
      <c r="AO1046" s="0"/>
      <c r="AP1046" s="0"/>
      <c r="AQ1046" s="0"/>
      <c r="AR1046" s="0"/>
      <c r="AS1046" s="0"/>
      <c r="AT1046" s="0"/>
      <c r="AU1046" s="0"/>
      <c r="AV1046" s="0"/>
      <c r="AW1046" s="0"/>
      <c r="AX1046" s="0"/>
      <c r="AY1046" s="0"/>
      <c r="AZ1046" s="0"/>
      <c r="BA1046" s="0"/>
      <c r="BB1046" s="0"/>
      <c r="BC1046" s="0"/>
      <c r="BD1046" s="0"/>
      <c r="BE1046" s="0"/>
      <c r="BF1046" s="0"/>
      <c r="BG1046" s="0"/>
      <c r="BH1046" s="0"/>
      <c r="BI1046" s="0"/>
      <c r="BJ1046" s="0"/>
      <c r="BK1046" s="0"/>
      <c r="BL1046" s="0"/>
      <c r="BM1046" s="0"/>
      <c r="BN1046" s="0"/>
      <c r="BO1046" s="0"/>
      <c r="BP1046" s="0"/>
      <c r="BQ1046" s="0"/>
      <c r="BR1046" s="0"/>
      <c r="BS1046" s="0"/>
      <c r="BT1046" s="0"/>
      <c r="BU1046" s="0"/>
      <c r="BV1046" s="0"/>
      <c r="BW1046" s="0"/>
      <c r="BX1046" s="0"/>
      <c r="BY1046" s="0"/>
      <c r="BZ1046" s="0"/>
      <c r="CA1046" s="0"/>
      <c r="CB1046" s="0"/>
      <c r="CC1046" s="0"/>
      <c r="CD1046" s="0"/>
      <c r="CE1046" s="0"/>
      <c r="CF1046" s="0"/>
      <c r="CG1046" s="0"/>
      <c r="CH1046" s="0"/>
      <c r="CI1046" s="0"/>
      <c r="CJ1046" s="0"/>
      <c r="CK1046" s="0"/>
      <c r="CL1046" s="0"/>
      <c r="CM1046" s="0"/>
      <c r="CN1046" s="0"/>
      <c r="CO1046" s="0"/>
      <c r="CP1046" s="0"/>
      <c r="CQ1046" s="0"/>
      <c r="CR1046" s="0"/>
      <c r="CS1046" s="0"/>
      <c r="CT1046" s="0"/>
      <c r="CU1046" s="0"/>
      <c r="CV1046" s="0"/>
      <c r="CW1046" s="0"/>
      <c r="CX1046" s="0"/>
      <c r="CY1046" s="0"/>
      <c r="CZ1046" s="0"/>
      <c r="DA1046" s="0"/>
      <c r="DB1046" s="0"/>
      <c r="DC1046" s="0"/>
      <c r="DD1046" s="0"/>
      <c r="DE1046" s="0"/>
      <c r="DF1046" s="0"/>
      <c r="DG1046" s="0"/>
      <c r="DH1046" s="0"/>
      <c r="DI1046" s="0"/>
      <c r="DJ1046" s="0"/>
      <c r="DK1046" s="0"/>
      <c r="DL1046" s="0"/>
      <c r="DM1046" s="0"/>
      <c r="DN1046" s="0"/>
      <c r="DO1046" s="0"/>
      <c r="DP1046" s="0"/>
      <c r="DQ1046" s="0"/>
      <c r="DR1046" s="0"/>
      <c r="DS1046" s="0"/>
      <c r="DT1046" s="0"/>
      <c r="DU1046" s="0"/>
      <c r="DV1046" s="0"/>
      <c r="DW1046" s="0"/>
      <c r="DX1046" s="0"/>
      <c r="DY1046" s="0"/>
      <c r="DZ1046" s="0"/>
      <c r="EA1046" s="0"/>
      <c r="EB1046" s="0"/>
      <c r="EC1046" s="0"/>
      <c r="ED1046" s="0"/>
      <c r="EE1046" s="0"/>
      <c r="EF1046" s="0"/>
      <c r="EG1046" s="0"/>
      <c r="EH1046" s="0"/>
      <c r="EI1046" s="0"/>
      <c r="EJ1046" s="0"/>
      <c r="EK1046" s="0"/>
      <c r="EL1046" s="0"/>
      <c r="EM1046" s="0"/>
      <c r="EN1046" s="0"/>
      <c r="EO1046" s="0"/>
      <c r="EP1046" s="0"/>
      <c r="EQ1046" s="0"/>
      <c r="ER1046" s="0"/>
      <c r="ES1046" s="0"/>
      <c r="ET1046" s="0"/>
      <c r="EU1046" s="0"/>
      <c r="EV1046" s="0"/>
      <c r="EW1046" s="0"/>
      <c r="EX1046" s="0"/>
      <c r="EY1046" s="0"/>
      <c r="EZ1046" s="0"/>
      <c r="FA1046" s="0"/>
      <c r="FB1046" s="0"/>
      <c r="FC1046" s="0"/>
      <c r="FD1046" s="0"/>
      <c r="FE1046" s="0"/>
      <c r="FF1046" s="0"/>
      <c r="FG1046" s="0"/>
      <c r="FH1046" s="0"/>
      <c r="FI1046" s="0"/>
      <c r="FJ1046" s="0"/>
      <c r="FK1046" s="0"/>
      <c r="FL1046" s="0"/>
      <c r="FM1046" s="0"/>
      <c r="FN1046" s="0"/>
      <c r="FO1046" s="0"/>
      <c r="FP1046" s="0"/>
      <c r="FQ1046" s="0"/>
      <c r="FR1046" s="0"/>
      <c r="FS1046" s="0"/>
      <c r="FT1046" s="0"/>
      <c r="FU1046" s="0"/>
      <c r="FV1046" s="0"/>
      <c r="FW1046" s="0"/>
      <c r="FX1046" s="0"/>
      <c r="FY1046" s="0"/>
      <c r="FZ1046" s="0"/>
      <c r="GA1046" s="0"/>
      <c r="GB1046" s="0"/>
      <c r="GC1046" s="0"/>
      <c r="GD1046" s="0"/>
      <c r="GE1046" s="0"/>
      <c r="GF1046" s="0"/>
      <c r="GG1046" s="0"/>
      <c r="GH1046" s="0"/>
      <c r="GI1046" s="0"/>
      <c r="GJ1046" s="0"/>
      <c r="GK1046" s="0"/>
      <c r="GL1046" s="0"/>
      <c r="GM1046" s="0"/>
      <c r="GN1046" s="0"/>
      <c r="GO1046" s="0"/>
      <c r="GP1046" s="0"/>
      <c r="GQ1046" s="0"/>
      <c r="GR1046" s="0"/>
      <c r="GS1046" s="0"/>
      <c r="GT1046" s="0"/>
      <c r="GU1046" s="0"/>
      <c r="GV1046" s="0"/>
      <c r="GW1046" s="0"/>
      <c r="GX1046" s="0"/>
      <c r="GY1046" s="0"/>
      <c r="GZ1046" s="0"/>
      <c r="HA1046" s="0"/>
      <c r="HB1046" s="0"/>
      <c r="HC1046" s="0"/>
      <c r="HD1046" s="0"/>
      <c r="HE1046" s="0"/>
      <c r="HF1046" s="0"/>
      <c r="HG1046" s="0"/>
      <c r="HH1046" s="0"/>
      <c r="HI1046" s="0"/>
      <c r="HJ1046" s="0"/>
      <c r="HK1046" s="0"/>
      <c r="HL1046" s="0"/>
      <c r="HM1046" s="0"/>
      <c r="HN1046" s="0"/>
      <c r="HO1046" s="0"/>
      <c r="HP1046" s="0"/>
      <c r="HQ1046" s="0"/>
      <c r="HR1046" s="0"/>
      <c r="HS1046" s="0"/>
      <c r="HT1046" s="0"/>
      <c r="HU1046" s="0"/>
      <c r="HV1046" s="0"/>
      <c r="HW1046" s="0"/>
      <c r="HX1046" s="0"/>
      <c r="HY1046" s="0"/>
      <c r="HZ1046" s="0"/>
      <c r="IA1046" s="0"/>
      <c r="IB1046" s="0"/>
      <c r="IC1046" s="0"/>
      <c r="ID1046" s="0"/>
      <c r="IE1046" s="0"/>
      <c r="IF1046" s="0"/>
      <c r="IG1046" s="0"/>
      <c r="IH1046" s="0"/>
      <c r="II1046" s="0"/>
      <c r="IJ1046" s="0"/>
      <c r="IK1046" s="0"/>
      <c r="IL1046" s="0"/>
      <c r="IM1046" s="0"/>
      <c r="IN1046" s="0"/>
      <c r="IO1046" s="0"/>
      <c r="IP1046" s="0"/>
      <c r="IQ1046" s="0"/>
      <c r="IR1046" s="0"/>
      <c r="IS1046" s="0"/>
      <c r="IT1046" s="0"/>
      <c r="IU1046" s="0"/>
      <c r="IV1046" s="0"/>
    </row>
    <row r="1047" customFormat="false" ht="15.75" hidden="false" customHeight="true" outlineLevel="0" collapsed="false">
      <c r="A1047" s="14"/>
      <c r="H1047" s="14"/>
      <c r="I1047" s="428"/>
      <c r="J1047" s="428"/>
      <c r="K1047" s="0"/>
      <c r="L1047" s="1310"/>
      <c r="M1047" s="0"/>
      <c r="N1047" s="19"/>
      <c r="O1047" s="19"/>
      <c r="P1047" s="19"/>
      <c r="Q1047" s="19"/>
      <c r="R1047" s="19"/>
      <c r="S1047" s="19"/>
      <c r="T1047" s="0"/>
      <c r="U1047" s="0"/>
      <c r="V1047" s="0"/>
      <c r="W1047" s="0"/>
      <c r="X1047" s="0"/>
      <c r="Y1047" s="0"/>
      <c r="Z1047" s="0"/>
      <c r="AA1047" s="0"/>
      <c r="AB1047" s="0"/>
      <c r="AC1047" s="0"/>
      <c r="AD1047" s="0"/>
      <c r="AE1047" s="0"/>
      <c r="AF1047" s="0"/>
      <c r="AG1047" s="0"/>
      <c r="AH1047" s="0"/>
      <c r="AI1047" s="0"/>
      <c r="AJ1047" s="0"/>
      <c r="AK1047" s="0"/>
      <c r="AL1047" s="0"/>
      <c r="AM1047" s="0"/>
      <c r="AN1047" s="0"/>
      <c r="AO1047" s="0"/>
      <c r="AP1047" s="0"/>
      <c r="AQ1047" s="0"/>
      <c r="AR1047" s="0"/>
      <c r="AS1047" s="0"/>
      <c r="AT1047" s="0"/>
      <c r="AU1047" s="0"/>
      <c r="AV1047" s="0"/>
      <c r="AW1047" s="0"/>
      <c r="AX1047" s="0"/>
      <c r="AY1047" s="0"/>
      <c r="AZ1047" s="0"/>
      <c r="BA1047" s="0"/>
      <c r="BB1047" s="0"/>
      <c r="BC1047" s="0"/>
      <c r="BD1047" s="0"/>
      <c r="BE1047" s="0"/>
      <c r="BF1047" s="0"/>
      <c r="BG1047" s="0"/>
      <c r="BH1047" s="0"/>
      <c r="BI1047" s="0"/>
      <c r="BJ1047" s="0"/>
      <c r="BK1047" s="0"/>
      <c r="BL1047" s="0"/>
      <c r="BM1047" s="0"/>
      <c r="BN1047" s="0"/>
      <c r="BO1047" s="0"/>
      <c r="BP1047" s="0"/>
      <c r="BQ1047" s="0"/>
      <c r="BR1047" s="0"/>
      <c r="BS1047" s="0"/>
      <c r="BT1047" s="0"/>
      <c r="BU1047" s="0"/>
      <c r="BV1047" s="0"/>
      <c r="BW1047" s="0"/>
      <c r="BX1047" s="0"/>
      <c r="BY1047" s="0"/>
      <c r="BZ1047" s="0"/>
      <c r="CA1047" s="0"/>
      <c r="CB1047" s="0"/>
      <c r="CC1047" s="0"/>
      <c r="CD1047" s="0"/>
      <c r="CE1047" s="0"/>
      <c r="CF1047" s="0"/>
      <c r="CG1047" s="0"/>
      <c r="CH1047" s="0"/>
      <c r="CI1047" s="0"/>
      <c r="CJ1047" s="0"/>
      <c r="CK1047" s="0"/>
      <c r="CL1047" s="0"/>
      <c r="CM1047" s="0"/>
      <c r="CN1047" s="0"/>
      <c r="CO1047" s="0"/>
      <c r="CP1047" s="0"/>
      <c r="CQ1047" s="0"/>
      <c r="CR1047" s="0"/>
      <c r="CS1047" s="0"/>
      <c r="CT1047" s="0"/>
      <c r="CU1047" s="0"/>
      <c r="CV1047" s="0"/>
      <c r="CW1047" s="0"/>
      <c r="CX1047" s="0"/>
      <c r="CY1047" s="0"/>
      <c r="CZ1047" s="0"/>
      <c r="DA1047" s="0"/>
      <c r="DB1047" s="0"/>
      <c r="DC1047" s="0"/>
      <c r="DD1047" s="0"/>
      <c r="DE1047" s="0"/>
      <c r="DF1047" s="0"/>
      <c r="DG1047" s="0"/>
      <c r="DH1047" s="0"/>
      <c r="DI1047" s="0"/>
      <c r="DJ1047" s="0"/>
      <c r="DK1047" s="0"/>
      <c r="DL1047" s="0"/>
      <c r="DM1047" s="0"/>
      <c r="DN1047" s="0"/>
      <c r="DO1047" s="0"/>
      <c r="DP1047" s="0"/>
      <c r="DQ1047" s="0"/>
      <c r="DR1047" s="0"/>
      <c r="DS1047" s="0"/>
      <c r="DT1047" s="0"/>
      <c r="DU1047" s="0"/>
      <c r="DV1047" s="0"/>
      <c r="DW1047" s="0"/>
      <c r="DX1047" s="0"/>
      <c r="DY1047" s="0"/>
      <c r="DZ1047" s="0"/>
      <c r="EA1047" s="0"/>
      <c r="EB1047" s="0"/>
      <c r="EC1047" s="0"/>
      <c r="ED1047" s="0"/>
      <c r="EE1047" s="0"/>
      <c r="EF1047" s="0"/>
      <c r="EG1047" s="0"/>
      <c r="EH1047" s="0"/>
      <c r="EI1047" s="0"/>
      <c r="EJ1047" s="0"/>
      <c r="EK1047" s="0"/>
      <c r="EL1047" s="0"/>
      <c r="EM1047" s="0"/>
      <c r="EN1047" s="0"/>
      <c r="EO1047" s="0"/>
      <c r="EP1047" s="0"/>
      <c r="EQ1047" s="0"/>
      <c r="ER1047" s="0"/>
      <c r="ES1047" s="0"/>
      <c r="ET1047" s="0"/>
      <c r="EU1047" s="0"/>
      <c r="EV1047" s="0"/>
      <c r="EW1047" s="0"/>
      <c r="EX1047" s="0"/>
      <c r="EY1047" s="0"/>
      <c r="EZ1047" s="0"/>
      <c r="FA1047" s="0"/>
      <c r="FB1047" s="0"/>
      <c r="FC1047" s="0"/>
      <c r="FD1047" s="0"/>
      <c r="FE1047" s="0"/>
      <c r="FF1047" s="0"/>
      <c r="FG1047" s="0"/>
      <c r="FH1047" s="0"/>
      <c r="FI1047" s="0"/>
      <c r="FJ1047" s="0"/>
      <c r="FK1047" s="0"/>
      <c r="FL1047" s="0"/>
      <c r="FM1047" s="0"/>
      <c r="FN1047" s="0"/>
      <c r="FO1047" s="0"/>
      <c r="FP1047" s="0"/>
      <c r="FQ1047" s="0"/>
      <c r="FR1047" s="0"/>
      <c r="FS1047" s="0"/>
      <c r="FT1047" s="0"/>
      <c r="FU1047" s="0"/>
      <c r="FV1047" s="0"/>
      <c r="FW1047" s="0"/>
      <c r="FX1047" s="0"/>
      <c r="FY1047" s="0"/>
      <c r="FZ1047" s="0"/>
      <c r="GA1047" s="0"/>
      <c r="GB1047" s="0"/>
      <c r="GC1047" s="0"/>
      <c r="GD1047" s="0"/>
      <c r="GE1047" s="0"/>
      <c r="GF1047" s="0"/>
      <c r="GG1047" s="0"/>
      <c r="GH1047" s="0"/>
      <c r="GI1047" s="0"/>
      <c r="GJ1047" s="0"/>
      <c r="GK1047" s="0"/>
      <c r="GL1047" s="0"/>
      <c r="GM1047" s="0"/>
      <c r="GN1047" s="0"/>
      <c r="GO1047" s="0"/>
      <c r="GP1047" s="0"/>
      <c r="GQ1047" s="0"/>
      <c r="GR1047" s="0"/>
      <c r="GS1047" s="0"/>
      <c r="GT1047" s="0"/>
      <c r="GU1047" s="0"/>
      <c r="GV1047" s="0"/>
      <c r="GW1047" s="0"/>
      <c r="GX1047" s="0"/>
      <c r="GY1047" s="0"/>
      <c r="GZ1047" s="0"/>
      <c r="HA1047" s="0"/>
      <c r="HB1047" s="0"/>
      <c r="HC1047" s="0"/>
      <c r="HD1047" s="0"/>
      <c r="HE1047" s="0"/>
      <c r="HF1047" s="0"/>
      <c r="HG1047" s="0"/>
      <c r="HH1047" s="0"/>
      <c r="HI1047" s="0"/>
      <c r="HJ1047" s="0"/>
      <c r="HK1047" s="0"/>
      <c r="HL1047" s="0"/>
      <c r="HM1047" s="0"/>
      <c r="HN1047" s="0"/>
      <c r="HO1047" s="0"/>
      <c r="HP1047" s="0"/>
      <c r="HQ1047" s="0"/>
      <c r="HR1047" s="0"/>
      <c r="HS1047" s="0"/>
      <c r="HT1047" s="0"/>
      <c r="HU1047" s="0"/>
      <c r="HV1047" s="0"/>
      <c r="HW1047" s="0"/>
      <c r="HX1047" s="0"/>
      <c r="HY1047" s="0"/>
      <c r="HZ1047" s="0"/>
      <c r="IA1047" s="0"/>
      <c r="IB1047" s="0"/>
      <c r="IC1047" s="0"/>
      <c r="ID1047" s="0"/>
      <c r="IE1047" s="0"/>
      <c r="IF1047" s="0"/>
      <c r="IG1047" s="0"/>
      <c r="IH1047" s="0"/>
      <c r="II1047" s="0"/>
      <c r="IJ1047" s="0"/>
      <c r="IK1047" s="0"/>
      <c r="IL1047" s="0"/>
      <c r="IM1047" s="0"/>
      <c r="IN1047" s="0"/>
      <c r="IO1047" s="0"/>
      <c r="IP1047" s="0"/>
      <c r="IQ1047" s="0"/>
      <c r="IR1047" s="0"/>
      <c r="IS1047" s="0"/>
      <c r="IT1047" s="0"/>
      <c r="IU1047" s="0"/>
      <c r="IV1047" s="0"/>
    </row>
    <row r="1048" customFormat="false" ht="15.75" hidden="false" customHeight="true" outlineLevel="0" collapsed="false">
      <c r="A1048" s="927" t="s">
        <v>786</v>
      </c>
      <c r="B1048" s="927"/>
      <c r="C1048" s="927"/>
      <c r="D1048" s="927"/>
      <c r="E1048" s="906" t="s">
        <v>253</v>
      </c>
      <c r="I1048" s="0"/>
      <c r="J1048" s="0"/>
      <c r="K1048" s="1310"/>
      <c r="L1048" s="877"/>
      <c r="M1048" s="0"/>
      <c r="N1048" s="19"/>
      <c r="O1048" s="19"/>
      <c r="P1048" s="19"/>
      <c r="Q1048" s="19"/>
      <c r="R1048" s="19"/>
      <c r="S1048" s="19"/>
      <c r="T1048" s="0"/>
      <c r="U1048" s="0"/>
      <c r="V1048" s="0"/>
      <c r="W1048" s="0"/>
      <c r="X1048" s="0"/>
      <c r="Y1048" s="0"/>
      <c r="Z1048" s="0"/>
      <c r="AA1048" s="0"/>
      <c r="AB1048" s="0"/>
      <c r="AC1048" s="0"/>
      <c r="AD1048" s="0"/>
      <c r="AE1048" s="0"/>
      <c r="AF1048" s="0"/>
      <c r="AG1048" s="0"/>
      <c r="AH1048" s="0"/>
      <c r="AI1048" s="0"/>
      <c r="AJ1048" s="0"/>
      <c r="AK1048" s="0"/>
      <c r="AL1048" s="0"/>
      <c r="AM1048" s="0"/>
      <c r="AN1048" s="0"/>
      <c r="AO1048" s="0"/>
      <c r="AP1048" s="0"/>
      <c r="AQ1048" s="0"/>
      <c r="AR1048" s="0"/>
      <c r="AS1048" s="0"/>
      <c r="AT1048" s="0"/>
      <c r="AU1048" s="0"/>
      <c r="AV1048" s="0"/>
      <c r="AW1048" s="0"/>
      <c r="AX1048" s="0"/>
      <c r="AY1048" s="0"/>
      <c r="AZ1048" s="0"/>
      <c r="BA1048" s="0"/>
      <c r="BB1048" s="0"/>
      <c r="BC1048" s="0"/>
      <c r="BD1048" s="0"/>
      <c r="BE1048" s="0"/>
      <c r="BF1048" s="0"/>
      <c r="BG1048" s="0"/>
      <c r="BH1048" s="0"/>
      <c r="BI1048" s="0"/>
      <c r="BJ1048" s="0"/>
      <c r="BK1048" s="0"/>
      <c r="BL1048" s="0"/>
      <c r="BM1048" s="0"/>
      <c r="BN1048" s="0"/>
      <c r="BO1048" s="0"/>
      <c r="BP1048" s="0"/>
      <c r="BQ1048" s="0"/>
      <c r="BR1048" s="0"/>
      <c r="BS1048" s="0"/>
      <c r="BT1048" s="0"/>
      <c r="BU1048" s="0"/>
      <c r="BV1048" s="0"/>
      <c r="BW1048" s="0"/>
      <c r="BX1048" s="0"/>
      <c r="BY1048" s="0"/>
      <c r="BZ1048" s="0"/>
      <c r="CA1048" s="0"/>
      <c r="CB1048" s="0"/>
      <c r="CC1048" s="0"/>
      <c r="CD1048" s="0"/>
      <c r="CE1048" s="0"/>
      <c r="CF1048" s="0"/>
      <c r="CG1048" s="0"/>
      <c r="CH1048" s="0"/>
      <c r="CI1048" s="0"/>
      <c r="CJ1048" s="0"/>
      <c r="CK1048" s="0"/>
      <c r="CL1048" s="0"/>
      <c r="CM1048" s="0"/>
      <c r="CN1048" s="0"/>
      <c r="CO1048" s="0"/>
      <c r="CP1048" s="0"/>
      <c r="CQ1048" s="0"/>
      <c r="CR1048" s="0"/>
      <c r="CS1048" s="0"/>
      <c r="CT1048" s="0"/>
      <c r="CU1048" s="0"/>
      <c r="CV1048" s="0"/>
      <c r="CW1048" s="0"/>
      <c r="CX1048" s="0"/>
      <c r="CY1048" s="0"/>
      <c r="CZ1048" s="0"/>
      <c r="DA1048" s="0"/>
      <c r="DB1048" s="0"/>
      <c r="DC1048" s="0"/>
      <c r="DD1048" s="0"/>
      <c r="DE1048" s="0"/>
      <c r="DF1048" s="0"/>
      <c r="DG1048" s="0"/>
      <c r="DH1048" s="0"/>
      <c r="DI1048" s="0"/>
      <c r="DJ1048" s="0"/>
      <c r="DK1048" s="0"/>
      <c r="DL1048" s="0"/>
      <c r="DM1048" s="0"/>
      <c r="DN1048" s="0"/>
      <c r="DO1048" s="0"/>
      <c r="DP1048" s="0"/>
      <c r="DQ1048" s="0"/>
      <c r="DR1048" s="0"/>
      <c r="DS1048" s="0"/>
      <c r="DT1048" s="0"/>
      <c r="DU1048" s="0"/>
      <c r="DV1048" s="0"/>
      <c r="DW1048" s="0"/>
      <c r="DX1048" s="0"/>
      <c r="DY1048" s="0"/>
      <c r="DZ1048" s="0"/>
      <c r="EA1048" s="0"/>
      <c r="EB1048" s="0"/>
      <c r="EC1048" s="0"/>
      <c r="ED1048" s="0"/>
      <c r="EE1048" s="0"/>
      <c r="EF1048" s="0"/>
      <c r="EG1048" s="0"/>
      <c r="EH1048" s="0"/>
      <c r="EI1048" s="0"/>
      <c r="EJ1048" s="0"/>
      <c r="EK1048" s="0"/>
      <c r="EL1048" s="0"/>
      <c r="EM1048" s="0"/>
      <c r="EN1048" s="0"/>
      <c r="EO1048" s="0"/>
      <c r="EP1048" s="0"/>
      <c r="EQ1048" s="0"/>
      <c r="ER1048" s="0"/>
      <c r="ES1048" s="0"/>
      <c r="ET1048" s="0"/>
      <c r="EU1048" s="0"/>
      <c r="EV1048" s="0"/>
      <c r="EW1048" s="0"/>
      <c r="EX1048" s="0"/>
      <c r="EY1048" s="0"/>
      <c r="EZ1048" s="0"/>
      <c r="FA1048" s="0"/>
      <c r="FB1048" s="0"/>
      <c r="FC1048" s="0"/>
      <c r="FD1048" s="0"/>
      <c r="FE1048" s="0"/>
      <c r="FF1048" s="0"/>
      <c r="FG1048" s="0"/>
      <c r="FH1048" s="0"/>
      <c r="FI1048" s="0"/>
      <c r="FJ1048" s="0"/>
      <c r="FK1048" s="0"/>
      <c r="FL1048" s="0"/>
      <c r="FM1048" s="0"/>
      <c r="FN1048" s="0"/>
      <c r="FO1048" s="0"/>
      <c r="FP1048" s="0"/>
      <c r="FQ1048" s="0"/>
      <c r="FR1048" s="0"/>
      <c r="FS1048" s="0"/>
      <c r="FT1048" s="0"/>
      <c r="FU1048" s="0"/>
      <c r="FV1048" s="0"/>
      <c r="FW1048" s="0"/>
      <c r="FX1048" s="0"/>
      <c r="FY1048" s="0"/>
      <c r="FZ1048" s="0"/>
      <c r="GA1048" s="0"/>
      <c r="GB1048" s="0"/>
      <c r="GC1048" s="0"/>
      <c r="GD1048" s="0"/>
      <c r="GE1048" s="0"/>
      <c r="GF1048" s="0"/>
      <c r="GG1048" s="0"/>
      <c r="GH1048" s="0"/>
      <c r="GI1048" s="0"/>
      <c r="GJ1048" s="0"/>
      <c r="GK1048" s="0"/>
      <c r="GL1048" s="0"/>
      <c r="GM1048" s="0"/>
      <c r="GN1048" s="0"/>
      <c r="GO1048" s="0"/>
      <c r="GP1048" s="0"/>
      <c r="GQ1048" s="0"/>
      <c r="GR1048" s="0"/>
      <c r="GS1048" s="0"/>
      <c r="GT1048" s="0"/>
      <c r="GU1048" s="0"/>
      <c r="GV1048" s="0"/>
      <c r="GW1048" s="0"/>
      <c r="GX1048" s="0"/>
      <c r="GY1048" s="0"/>
      <c r="GZ1048" s="0"/>
      <c r="HA1048" s="0"/>
      <c r="HB1048" s="0"/>
      <c r="HC1048" s="0"/>
      <c r="HD1048" s="0"/>
      <c r="HE1048" s="0"/>
      <c r="HF1048" s="0"/>
      <c r="HG1048" s="0"/>
      <c r="HH1048" s="0"/>
      <c r="HI1048" s="0"/>
      <c r="HJ1048" s="0"/>
      <c r="HK1048" s="0"/>
      <c r="HL1048" s="0"/>
      <c r="HM1048" s="0"/>
      <c r="HN1048" s="0"/>
      <c r="HO1048" s="0"/>
      <c r="HP1048" s="0"/>
      <c r="HQ1048" s="0"/>
      <c r="HR1048" s="0"/>
      <c r="HS1048" s="0"/>
      <c r="HT1048" s="0"/>
      <c r="HU1048" s="0"/>
      <c r="HV1048" s="0"/>
      <c r="HW1048" s="0"/>
      <c r="HX1048" s="0"/>
      <c r="HY1048" s="0"/>
      <c r="HZ1048" s="0"/>
      <c r="IA1048" s="0"/>
      <c r="IB1048" s="0"/>
      <c r="IC1048" s="0"/>
      <c r="ID1048" s="0"/>
      <c r="IE1048" s="0"/>
      <c r="IF1048" s="0"/>
      <c r="IG1048" s="0"/>
      <c r="IH1048" s="0"/>
      <c r="II1048" s="0"/>
      <c r="IJ1048" s="0"/>
      <c r="IK1048" s="0"/>
      <c r="IL1048" s="0"/>
      <c r="IM1048" s="0"/>
      <c r="IN1048" s="0"/>
      <c r="IO1048" s="0"/>
      <c r="IP1048" s="0"/>
      <c r="IQ1048" s="0"/>
      <c r="IR1048" s="0"/>
      <c r="IS1048" s="0"/>
      <c r="IT1048" s="0"/>
      <c r="IU1048" s="0"/>
      <c r="IV1048" s="0"/>
    </row>
    <row r="1049" customFormat="false" ht="15.75" hidden="false" customHeight="true" outlineLevel="0" collapsed="false">
      <c r="A1049" s="927" t="s">
        <v>1700</v>
      </c>
      <c r="B1049" s="927"/>
      <c r="C1049" s="927"/>
      <c r="D1049" s="927"/>
      <c r="E1049" s="906" t="s">
        <v>254</v>
      </c>
      <c r="I1049" s="537"/>
      <c r="J1049" s="537"/>
      <c r="K1049" s="1310"/>
      <c r="L1049" s="877"/>
      <c r="M1049" s="0"/>
      <c r="N1049" s="19"/>
      <c r="O1049" s="19"/>
      <c r="P1049" s="19"/>
      <c r="Q1049" s="19"/>
      <c r="R1049" s="19"/>
      <c r="S1049" s="19"/>
      <c r="T1049" s="0"/>
      <c r="U1049" s="0"/>
      <c r="V1049" s="0"/>
      <c r="W1049" s="0"/>
      <c r="X1049" s="0"/>
      <c r="Y1049" s="0"/>
      <c r="Z1049" s="0"/>
      <c r="AA1049" s="0"/>
      <c r="AB1049" s="0"/>
      <c r="AC1049" s="0"/>
      <c r="AD1049" s="0"/>
      <c r="AE1049" s="0"/>
      <c r="AF1049" s="0"/>
      <c r="AG1049" s="0"/>
      <c r="AH1049" s="0"/>
      <c r="AI1049" s="0"/>
      <c r="AJ1049" s="0"/>
      <c r="AK1049" s="0"/>
      <c r="AL1049" s="0"/>
      <c r="AM1049" s="0"/>
      <c r="AN1049" s="0"/>
      <c r="AO1049" s="0"/>
      <c r="AP1049" s="0"/>
      <c r="AQ1049" s="0"/>
      <c r="AR1049" s="0"/>
      <c r="AS1049" s="0"/>
      <c r="AT1049" s="0"/>
      <c r="AU1049" s="0"/>
      <c r="AV1049" s="0"/>
      <c r="AW1049" s="0"/>
      <c r="AX1049" s="0"/>
      <c r="AY1049" s="0"/>
      <c r="AZ1049" s="0"/>
      <c r="BA1049" s="0"/>
      <c r="BB1049" s="0"/>
      <c r="BC1049" s="0"/>
      <c r="BD1049" s="0"/>
      <c r="BE1049" s="0"/>
      <c r="BF1049" s="0"/>
      <c r="BG1049" s="0"/>
      <c r="BH1049" s="0"/>
      <c r="BI1049" s="0"/>
      <c r="BJ1049" s="0"/>
      <c r="BK1049" s="0"/>
      <c r="BL1049" s="0"/>
      <c r="BM1049" s="0"/>
      <c r="BN1049" s="0"/>
      <c r="BO1049" s="0"/>
      <c r="BP1049" s="0"/>
      <c r="BQ1049" s="0"/>
      <c r="BR1049" s="0"/>
      <c r="BS1049" s="0"/>
      <c r="BT1049" s="0"/>
      <c r="BU1049" s="0"/>
      <c r="BV1049" s="0"/>
      <c r="BW1049" s="0"/>
      <c r="BX1049" s="0"/>
      <c r="BY1049" s="0"/>
      <c r="BZ1049" s="0"/>
      <c r="CA1049" s="0"/>
      <c r="CB1049" s="0"/>
      <c r="CC1049" s="0"/>
      <c r="CD1049" s="0"/>
      <c r="CE1049" s="0"/>
      <c r="CF1049" s="0"/>
      <c r="CG1049" s="0"/>
      <c r="CH1049" s="0"/>
      <c r="CI1049" s="0"/>
      <c r="CJ1049" s="0"/>
      <c r="CK1049" s="0"/>
      <c r="CL1049" s="0"/>
      <c r="CM1049" s="0"/>
      <c r="CN1049" s="0"/>
      <c r="CO1049" s="0"/>
      <c r="CP1049" s="0"/>
      <c r="CQ1049" s="0"/>
      <c r="CR1049" s="0"/>
      <c r="CS1049" s="0"/>
      <c r="CT1049" s="0"/>
      <c r="CU1049" s="0"/>
      <c r="CV1049" s="0"/>
      <c r="CW1049" s="0"/>
      <c r="CX1049" s="0"/>
      <c r="CY1049" s="0"/>
      <c r="CZ1049" s="0"/>
      <c r="DA1049" s="0"/>
      <c r="DB1049" s="0"/>
      <c r="DC1049" s="0"/>
      <c r="DD1049" s="0"/>
      <c r="DE1049" s="0"/>
      <c r="DF1049" s="0"/>
      <c r="DG1049" s="0"/>
      <c r="DH1049" s="0"/>
      <c r="DI1049" s="0"/>
      <c r="DJ1049" s="0"/>
      <c r="DK1049" s="0"/>
      <c r="DL1049" s="0"/>
      <c r="DM1049" s="0"/>
      <c r="DN1049" s="0"/>
      <c r="DO1049" s="0"/>
      <c r="DP1049" s="0"/>
      <c r="DQ1049" s="0"/>
      <c r="DR1049" s="0"/>
      <c r="DS1049" s="0"/>
      <c r="DT1049" s="0"/>
      <c r="DU1049" s="0"/>
      <c r="DV1049" s="0"/>
      <c r="DW1049" s="0"/>
      <c r="DX1049" s="0"/>
      <c r="DY1049" s="0"/>
      <c r="DZ1049" s="0"/>
      <c r="EA1049" s="0"/>
      <c r="EB1049" s="0"/>
      <c r="EC1049" s="0"/>
      <c r="ED1049" s="0"/>
      <c r="EE1049" s="0"/>
      <c r="EF1049" s="0"/>
      <c r="EG1049" s="0"/>
      <c r="EH1049" s="0"/>
      <c r="EI1049" s="0"/>
      <c r="EJ1049" s="0"/>
      <c r="EK1049" s="0"/>
      <c r="EL1049" s="0"/>
      <c r="EM1049" s="0"/>
      <c r="EN1049" s="0"/>
      <c r="EO1049" s="0"/>
      <c r="EP1049" s="0"/>
      <c r="EQ1049" s="0"/>
      <c r="ER1049" s="0"/>
      <c r="ES1049" s="0"/>
      <c r="ET1049" s="0"/>
      <c r="EU1049" s="0"/>
      <c r="EV1049" s="0"/>
      <c r="EW1049" s="0"/>
      <c r="EX1049" s="0"/>
      <c r="EY1049" s="0"/>
      <c r="EZ1049" s="0"/>
      <c r="FA1049" s="0"/>
      <c r="FB1049" s="0"/>
      <c r="FC1049" s="0"/>
      <c r="FD1049" s="0"/>
      <c r="FE1049" s="0"/>
      <c r="FF1049" s="0"/>
      <c r="FG1049" s="0"/>
      <c r="FH1049" s="0"/>
      <c r="FI1049" s="0"/>
      <c r="FJ1049" s="0"/>
      <c r="FK1049" s="0"/>
      <c r="FL1049" s="0"/>
      <c r="FM1049" s="0"/>
      <c r="FN1049" s="0"/>
      <c r="FO1049" s="0"/>
      <c r="FP1049" s="0"/>
      <c r="FQ1049" s="0"/>
      <c r="FR1049" s="0"/>
      <c r="FS1049" s="0"/>
      <c r="FT1049" s="0"/>
      <c r="FU1049" s="0"/>
      <c r="FV1049" s="0"/>
      <c r="FW1049" s="0"/>
      <c r="FX1049" s="0"/>
      <c r="FY1049" s="0"/>
      <c r="FZ1049" s="0"/>
      <c r="GA1049" s="0"/>
      <c r="GB1049" s="0"/>
      <c r="GC1049" s="0"/>
      <c r="GD1049" s="0"/>
      <c r="GE1049" s="0"/>
      <c r="GF1049" s="0"/>
      <c r="GG1049" s="0"/>
      <c r="GH1049" s="0"/>
      <c r="GI1049" s="0"/>
      <c r="GJ1049" s="0"/>
      <c r="GK1049" s="0"/>
      <c r="GL1049" s="0"/>
      <c r="GM1049" s="0"/>
      <c r="GN1049" s="0"/>
      <c r="GO1049" s="0"/>
      <c r="GP1049" s="0"/>
      <c r="GQ1049" s="0"/>
      <c r="GR1049" s="0"/>
      <c r="GS1049" s="0"/>
      <c r="GT1049" s="0"/>
      <c r="GU1049" s="0"/>
      <c r="GV1049" s="0"/>
      <c r="GW1049" s="0"/>
      <c r="GX1049" s="0"/>
      <c r="GY1049" s="0"/>
      <c r="GZ1049" s="0"/>
      <c r="HA1049" s="0"/>
      <c r="HB1049" s="0"/>
      <c r="HC1049" s="0"/>
      <c r="HD1049" s="0"/>
      <c r="HE1049" s="0"/>
      <c r="HF1049" s="0"/>
      <c r="HG1049" s="0"/>
      <c r="HH1049" s="0"/>
      <c r="HI1049" s="0"/>
      <c r="HJ1049" s="0"/>
      <c r="HK1049" s="0"/>
      <c r="HL1049" s="0"/>
      <c r="HM1049" s="0"/>
      <c r="HN1049" s="0"/>
      <c r="HO1049" s="0"/>
      <c r="HP1049" s="0"/>
      <c r="HQ1049" s="0"/>
      <c r="HR1049" s="0"/>
      <c r="HS1049" s="0"/>
      <c r="HT1049" s="0"/>
      <c r="HU1049" s="0"/>
      <c r="HV1049" s="0"/>
      <c r="HW1049" s="0"/>
      <c r="HX1049" s="0"/>
      <c r="HY1049" s="0"/>
      <c r="HZ1049" s="0"/>
      <c r="IA1049" s="0"/>
      <c r="IB1049" s="0"/>
      <c r="IC1049" s="0"/>
      <c r="ID1049" s="0"/>
      <c r="IE1049" s="0"/>
      <c r="IF1049" s="0"/>
      <c r="IG1049" s="0"/>
      <c r="IH1049" s="0"/>
      <c r="II1049" s="0"/>
      <c r="IJ1049" s="0"/>
      <c r="IK1049" s="0"/>
      <c r="IL1049" s="0"/>
      <c r="IM1049" s="0"/>
      <c r="IN1049" s="0"/>
      <c r="IO1049" s="0"/>
      <c r="IP1049" s="0"/>
      <c r="IQ1049" s="0"/>
      <c r="IR1049" s="0"/>
      <c r="IS1049" s="0"/>
      <c r="IT1049" s="0"/>
      <c r="IU1049" s="0"/>
      <c r="IV1049" s="0"/>
    </row>
    <row r="1050" customFormat="false" ht="15.75" hidden="false" customHeight="true" outlineLevel="0" collapsed="false">
      <c r="A1050" s="1311" t="s">
        <v>788</v>
      </c>
      <c r="B1050" s="429"/>
      <c r="C1050" s="429"/>
      <c r="D1050" s="429"/>
      <c r="I1050" s="537"/>
      <c r="J1050" s="537"/>
      <c r="K1050" s="1310"/>
      <c r="L1050" s="877"/>
      <c r="M1050" s="0"/>
      <c r="N1050" s="19"/>
      <c r="O1050" s="19"/>
      <c r="P1050" s="19"/>
      <c r="Q1050" s="19"/>
      <c r="R1050" s="19"/>
      <c r="S1050" s="19"/>
      <c r="T1050" s="0"/>
      <c r="U1050" s="0"/>
      <c r="V1050" s="0"/>
      <c r="W1050" s="0"/>
      <c r="X1050" s="0"/>
      <c r="Y1050" s="0"/>
      <c r="Z1050" s="0"/>
      <c r="AA1050" s="0"/>
      <c r="AB1050" s="0"/>
      <c r="AC1050" s="0"/>
      <c r="AD1050" s="0"/>
      <c r="AE1050" s="0"/>
      <c r="AF1050" s="0"/>
      <c r="AG1050" s="0"/>
      <c r="AH1050" s="0"/>
      <c r="AI1050" s="0"/>
      <c r="AJ1050" s="0"/>
      <c r="AK1050" s="0"/>
      <c r="AL1050" s="0"/>
      <c r="AM1050" s="0"/>
      <c r="AN1050" s="0"/>
      <c r="AO1050" s="0"/>
      <c r="AP1050" s="0"/>
      <c r="AQ1050" s="0"/>
      <c r="AR1050" s="0"/>
      <c r="AS1050" s="0"/>
      <c r="AT1050" s="0"/>
      <c r="AU1050" s="0"/>
      <c r="AV1050" s="0"/>
      <c r="AW1050" s="0"/>
      <c r="AX1050" s="0"/>
      <c r="AY1050" s="0"/>
      <c r="AZ1050" s="0"/>
      <c r="BA1050" s="0"/>
      <c r="BB1050" s="0"/>
      <c r="BC1050" s="0"/>
      <c r="BD1050" s="0"/>
      <c r="BE1050" s="0"/>
      <c r="BF1050" s="0"/>
      <c r="BG1050" s="0"/>
      <c r="BH1050" s="0"/>
      <c r="BI1050" s="0"/>
      <c r="BJ1050" s="0"/>
      <c r="BK1050" s="0"/>
      <c r="BL1050" s="0"/>
      <c r="BM1050" s="0"/>
      <c r="BN1050" s="0"/>
      <c r="BO1050" s="0"/>
      <c r="BP1050" s="0"/>
      <c r="BQ1050" s="0"/>
      <c r="BR1050" s="0"/>
      <c r="BS1050" s="0"/>
      <c r="BT1050" s="0"/>
      <c r="BU1050" s="0"/>
      <c r="BV1050" s="0"/>
      <c r="BW1050" s="0"/>
      <c r="BX1050" s="0"/>
      <c r="BY1050" s="0"/>
      <c r="BZ1050" s="0"/>
      <c r="CA1050" s="0"/>
      <c r="CB1050" s="0"/>
      <c r="CC1050" s="0"/>
      <c r="CD1050" s="0"/>
      <c r="CE1050" s="0"/>
      <c r="CF1050" s="0"/>
      <c r="CG1050" s="0"/>
      <c r="CH1050" s="0"/>
      <c r="CI1050" s="0"/>
      <c r="CJ1050" s="0"/>
      <c r="CK1050" s="0"/>
      <c r="CL1050" s="0"/>
      <c r="CM1050" s="0"/>
      <c r="CN1050" s="0"/>
      <c r="CO1050" s="0"/>
      <c r="CP1050" s="0"/>
      <c r="CQ1050" s="0"/>
      <c r="CR1050" s="0"/>
      <c r="CS1050" s="0"/>
      <c r="CT1050" s="0"/>
      <c r="CU1050" s="0"/>
      <c r="CV1050" s="0"/>
      <c r="CW1050" s="0"/>
      <c r="CX1050" s="0"/>
      <c r="CY1050" s="0"/>
      <c r="CZ1050" s="0"/>
      <c r="DA1050" s="0"/>
      <c r="DB1050" s="0"/>
      <c r="DC1050" s="0"/>
      <c r="DD1050" s="0"/>
      <c r="DE1050" s="0"/>
      <c r="DF1050" s="0"/>
      <c r="DG1050" s="0"/>
      <c r="DH1050" s="0"/>
      <c r="DI1050" s="0"/>
      <c r="DJ1050" s="0"/>
      <c r="DK1050" s="0"/>
      <c r="DL1050" s="0"/>
      <c r="DM1050" s="0"/>
      <c r="DN1050" s="0"/>
      <c r="DO1050" s="0"/>
      <c r="DP1050" s="0"/>
      <c r="DQ1050" s="0"/>
      <c r="DR1050" s="0"/>
      <c r="DS1050" s="0"/>
      <c r="DT1050" s="0"/>
      <c r="DU1050" s="0"/>
      <c r="DV1050" s="0"/>
      <c r="DW1050" s="0"/>
      <c r="DX1050" s="0"/>
      <c r="DY1050" s="0"/>
      <c r="DZ1050" s="0"/>
      <c r="EA1050" s="0"/>
      <c r="EB1050" s="0"/>
      <c r="EC1050" s="0"/>
      <c r="ED1050" s="0"/>
      <c r="EE1050" s="0"/>
      <c r="EF1050" s="0"/>
      <c r="EG1050" s="0"/>
      <c r="EH1050" s="0"/>
      <c r="EI1050" s="0"/>
      <c r="EJ1050" s="0"/>
      <c r="EK1050" s="0"/>
      <c r="EL1050" s="0"/>
      <c r="EM1050" s="0"/>
      <c r="EN1050" s="0"/>
      <c r="EO1050" s="0"/>
      <c r="EP1050" s="0"/>
      <c r="EQ1050" s="0"/>
      <c r="ER1050" s="0"/>
      <c r="ES1050" s="0"/>
      <c r="ET1050" s="0"/>
      <c r="EU1050" s="0"/>
      <c r="EV1050" s="0"/>
      <c r="EW1050" s="0"/>
      <c r="EX1050" s="0"/>
      <c r="EY1050" s="0"/>
      <c r="EZ1050" s="0"/>
      <c r="FA1050" s="0"/>
      <c r="FB1050" s="0"/>
      <c r="FC1050" s="0"/>
      <c r="FD1050" s="0"/>
      <c r="FE1050" s="0"/>
      <c r="FF1050" s="0"/>
      <c r="FG1050" s="0"/>
      <c r="FH1050" s="0"/>
      <c r="FI1050" s="0"/>
      <c r="FJ1050" s="0"/>
      <c r="FK1050" s="0"/>
      <c r="FL1050" s="0"/>
      <c r="FM1050" s="0"/>
      <c r="FN1050" s="0"/>
      <c r="FO1050" s="0"/>
      <c r="FP1050" s="0"/>
      <c r="FQ1050" s="0"/>
      <c r="FR1050" s="0"/>
      <c r="FS1050" s="0"/>
      <c r="FT1050" s="0"/>
      <c r="FU1050" s="0"/>
      <c r="FV1050" s="0"/>
      <c r="FW1050" s="0"/>
      <c r="FX1050" s="0"/>
      <c r="FY1050" s="0"/>
      <c r="FZ1050" s="0"/>
      <c r="GA1050" s="0"/>
      <c r="GB1050" s="0"/>
      <c r="GC1050" s="0"/>
      <c r="GD1050" s="0"/>
      <c r="GE1050" s="0"/>
      <c r="GF1050" s="0"/>
      <c r="GG1050" s="0"/>
      <c r="GH1050" s="0"/>
      <c r="GI1050" s="0"/>
      <c r="GJ1050" s="0"/>
      <c r="GK1050" s="0"/>
      <c r="GL1050" s="0"/>
      <c r="GM1050" s="0"/>
      <c r="GN1050" s="0"/>
      <c r="GO1050" s="0"/>
      <c r="GP1050" s="0"/>
      <c r="GQ1050" s="0"/>
      <c r="GR1050" s="0"/>
      <c r="GS1050" s="0"/>
      <c r="GT1050" s="0"/>
      <c r="GU1050" s="0"/>
      <c r="GV1050" s="0"/>
      <c r="GW1050" s="0"/>
      <c r="GX1050" s="0"/>
      <c r="GY1050" s="0"/>
      <c r="GZ1050" s="0"/>
      <c r="HA1050" s="0"/>
      <c r="HB1050" s="0"/>
      <c r="HC1050" s="0"/>
      <c r="HD1050" s="0"/>
      <c r="HE1050" s="0"/>
      <c r="HF1050" s="0"/>
      <c r="HG1050" s="0"/>
      <c r="HH1050" s="0"/>
      <c r="HI1050" s="0"/>
      <c r="HJ1050" s="0"/>
      <c r="HK1050" s="0"/>
      <c r="HL1050" s="0"/>
      <c r="HM1050" s="0"/>
      <c r="HN1050" s="0"/>
      <c r="HO1050" s="0"/>
      <c r="HP1050" s="0"/>
      <c r="HQ1050" s="0"/>
      <c r="HR1050" s="0"/>
      <c r="HS1050" s="0"/>
      <c r="HT1050" s="0"/>
      <c r="HU1050" s="0"/>
      <c r="HV1050" s="0"/>
      <c r="HW1050" s="0"/>
      <c r="HX1050" s="0"/>
      <c r="HY1050" s="0"/>
      <c r="HZ1050" s="0"/>
      <c r="IA1050" s="0"/>
      <c r="IB1050" s="0"/>
      <c r="IC1050" s="0"/>
      <c r="ID1050" s="0"/>
      <c r="IE1050" s="0"/>
      <c r="IF1050" s="0"/>
      <c r="IG1050" s="0"/>
      <c r="IH1050" s="0"/>
      <c r="II1050" s="0"/>
      <c r="IJ1050" s="0"/>
      <c r="IK1050" s="0"/>
      <c r="IL1050" s="0"/>
      <c r="IM1050" s="0"/>
      <c r="IN1050" s="0"/>
      <c r="IO1050" s="0"/>
      <c r="IP1050" s="0"/>
      <c r="IQ1050" s="0"/>
      <c r="IR1050" s="0"/>
      <c r="IS1050" s="0"/>
      <c r="IT1050" s="0"/>
      <c r="IU1050" s="0"/>
      <c r="IV1050" s="0"/>
    </row>
    <row r="1051" customFormat="false" ht="15.75" hidden="false" customHeight="true" outlineLevel="0" collapsed="false">
      <c r="A1051" s="927" t="s">
        <v>789</v>
      </c>
      <c r="B1051" s="927"/>
      <c r="C1051" s="927"/>
      <c r="D1051" s="927"/>
      <c r="E1051" s="906" t="s">
        <v>254</v>
      </c>
      <c r="I1051" s="537"/>
      <c r="J1051" s="537"/>
      <c r="K1051" s="1310"/>
      <c r="L1051" s="877"/>
      <c r="M1051" s="0"/>
      <c r="Q1051" s="55"/>
      <c r="R1051" s="55"/>
      <c r="T1051" s="0"/>
      <c r="U1051" s="0"/>
      <c r="V1051" s="0"/>
      <c r="W1051" s="0"/>
      <c r="X1051" s="0"/>
      <c r="Y1051" s="0"/>
      <c r="Z1051" s="0"/>
      <c r="AA1051" s="0"/>
      <c r="AB1051" s="0"/>
      <c r="AC1051" s="0"/>
      <c r="AD1051" s="0"/>
      <c r="AE1051" s="0"/>
      <c r="AF1051" s="0"/>
      <c r="AG1051" s="0"/>
      <c r="AH1051" s="0"/>
      <c r="AI1051" s="0"/>
      <c r="AJ1051" s="0"/>
      <c r="AK1051" s="0"/>
      <c r="AL1051" s="0"/>
      <c r="AM1051" s="0"/>
      <c r="AN1051" s="0"/>
      <c r="AO1051" s="0"/>
      <c r="AP1051" s="0"/>
      <c r="AQ1051" s="0"/>
      <c r="AR1051" s="0"/>
      <c r="AS1051" s="0"/>
      <c r="AT1051" s="0"/>
      <c r="AU1051" s="0"/>
      <c r="AV1051" s="0"/>
      <c r="AW1051" s="0"/>
      <c r="AX1051" s="0"/>
      <c r="AY1051" s="0"/>
      <c r="AZ1051" s="0"/>
      <c r="BA1051" s="0"/>
      <c r="BB1051" s="0"/>
      <c r="BC1051" s="0"/>
      <c r="BD1051" s="0"/>
      <c r="BE1051" s="0"/>
      <c r="BF1051" s="0"/>
      <c r="BG1051" s="0"/>
      <c r="BH1051" s="0"/>
      <c r="BI1051" s="0"/>
      <c r="BJ1051" s="0"/>
      <c r="BK1051" s="0"/>
      <c r="BL1051" s="0"/>
      <c r="BM1051" s="0"/>
      <c r="BN1051" s="0"/>
      <c r="BO1051" s="0"/>
      <c r="BP1051" s="0"/>
      <c r="BQ1051" s="0"/>
      <c r="BR1051" s="0"/>
      <c r="BS1051" s="0"/>
      <c r="BT1051" s="0"/>
      <c r="BU1051" s="0"/>
      <c r="BV1051" s="0"/>
      <c r="BW1051" s="0"/>
      <c r="BX1051" s="0"/>
      <c r="BY1051" s="0"/>
      <c r="BZ1051" s="0"/>
      <c r="CA1051" s="0"/>
      <c r="CB1051" s="0"/>
      <c r="CC1051" s="0"/>
      <c r="CD1051" s="0"/>
      <c r="CE1051" s="0"/>
      <c r="CF1051" s="0"/>
      <c r="CG1051" s="0"/>
      <c r="CH1051" s="0"/>
      <c r="CI1051" s="0"/>
      <c r="CJ1051" s="0"/>
      <c r="CK1051" s="0"/>
      <c r="CL1051" s="0"/>
      <c r="CM1051" s="0"/>
      <c r="CN1051" s="0"/>
      <c r="CO1051" s="0"/>
      <c r="CP1051" s="0"/>
      <c r="CQ1051" s="0"/>
      <c r="CR1051" s="0"/>
      <c r="CS1051" s="0"/>
      <c r="CT1051" s="0"/>
      <c r="CU1051" s="0"/>
      <c r="CV1051" s="0"/>
      <c r="CW1051" s="0"/>
      <c r="CX1051" s="0"/>
      <c r="CY1051" s="0"/>
      <c r="CZ1051" s="0"/>
      <c r="DA1051" s="0"/>
      <c r="DB1051" s="0"/>
      <c r="DC1051" s="0"/>
      <c r="DD1051" s="0"/>
      <c r="DE1051" s="0"/>
      <c r="DF1051" s="0"/>
      <c r="DG1051" s="0"/>
      <c r="DH1051" s="0"/>
      <c r="DI1051" s="0"/>
      <c r="DJ1051" s="0"/>
      <c r="DK1051" s="0"/>
      <c r="DL1051" s="0"/>
      <c r="DM1051" s="0"/>
      <c r="DN1051" s="0"/>
      <c r="DO1051" s="0"/>
      <c r="DP1051" s="0"/>
      <c r="DQ1051" s="0"/>
      <c r="DR1051" s="0"/>
      <c r="DS1051" s="0"/>
      <c r="DT1051" s="0"/>
      <c r="DU1051" s="0"/>
      <c r="DV1051" s="0"/>
      <c r="DW1051" s="0"/>
      <c r="DX1051" s="0"/>
      <c r="DY1051" s="0"/>
      <c r="DZ1051" s="0"/>
      <c r="EA1051" s="0"/>
      <c r="EB1051" s="0"/>
      <c r="EC1051" s="0"/>
      <c r="ED1051" s="0"/>
      <c r="EE1051" s="0"/>
      <c r="EF1051" s="0"/>
      <c r="EG1051" s="0"/>
      <c r="EH1051" s="0"/>
      <c r="EI1051" s="0"/>
      <c r="EJ1051" s="0"/>
      <c r="EK1051" s="0"/>
      <c r="EL1051" s="0"/>
      <c r="EM1051" s="0"/>
      <c r="EN1051" s="0"/>
      <c r="EO1051" s="0"/>
      <c r="EP1051" s="0"/>
      <c r="EQ1051" s="0"/>
      <c r="ER1051" s="0"/>
      <c r="ES1051" s="0"/>
      <c r="ET1051" s="0"/>
      <c r="EU1051" s="0"/>
      <c r="EV1051" s="0"/>
      <c r="EW1051" s="0"/>
      <c r="EX1051" s="0"/>
      <c r="EY1051" s="0"/>
      <c r="EZ1051" s="0"/>
      <c r="FA1051" s="0"/>
      <c r="FB1051" s="0"/>
      <c r="FC1051" s="0"/>
      <c r="FD1051" s="0"/>
      <c r="FE1051" s="0"/>
      <c r="FF1051" s="0"/>
      <c r="FG1051" s="0"/>
      <c r="FH1051" s="0"/>
      <c r="FI1051" s="0"/>
      <c r="FJ1051" s="0"/>
      <c r="FK1051" s="0"/>
      <c r="FL1051" s="0"/>
      <c r="FM1051" s="0"/>
      <c r="FN1051" s="0"/>
      <c r="FO1051" s="0"/>
      <c r="FP1051" s="0"/>
      <c r="FQ1051" s="0"/>
      <c r="FR1051" s="0"/>
      <c r="FS1051" s="0"/>
      <c r="FT1051" s="0"/>
      <c r="FU1051" s="0"/>
      <c r="FV1051" s="0"/>
      <c r="FW1051" s="0"/>
      <c r="FX1051" s="0"/>
      <c r="FY1051" s="0"/>
      <c r="FZ1051" s="0"/>
      <c r="GA1051" s="0"/>
      <c r="GB1051" s="0"/>
      <c r="GC1051" s="0"/>
      <c r="GD1051" s="0"/>
      <c r="GE1051" s="0"/>
      <c r="GF1051" s="0"/>
      <c r="GG1051" s="0"/>
      <c r="GH1051" s="0"/>
      <c r="GI1051" s="0"/>
      <c r="GJ1051" s="0"/>
      <c r="GK1051" s="0"/>
      <c r="GL1051" s="0"/>
      <c r="GM1051" s="0"/>
      <c r="GN1051" s="0"/>
      <c r="GO1051" s="0"/>
      <c r="GP1051" s="0"/>
      <c r="GQ1051" s="0"/>
      <c r="GR1051" s="0"/>
      <c r="GS1051" s="0"/>
      <c r="GT1051" s="0"/>
      <c r="GU1051" s="0"/>
      <c r="GV1051" s="0"/>
      <c r="GW1051" s="0"/>
      <c r="GX1051" s="0"/>
      <c r="GY1051" s="0"/>
      <c r="GZ1051" s="0"/>
      <c r="HA1051" s="0"/>
      <c r="HB1051" s="0"/>
      <c r="HC1051" s="0"/>
      <c r="HD1051" s="0"/>
      <c r="HE1051" s="0"/>
      <c r="HF1051" s="0"/>
      <c r="HG1051" s="0"/>
      <c r="HH1051" s="0"/>
      <c r="HI1051" s="0"/>
      <c r="HJ1051" s="0"/>
      <c r="HK1051" s="0"/>
      <c r="HL1051" s="0"/>
      <c r="HM1051" s="0"/>
      <c r="HN1051" s="0"/>
      <c r="HO1051" s="0"/>
      <c r="HP1051" s="0"/>
      <c r="HQ1051" s="0"/>
      <c r="HR1051" s="0"/>
      <c r="HS1051" s="0"/>
      <c r="HT1051" s="0"/>
      <c r="HU1051" s="0"/>
      <c r="HV1051" s="0"/>
      <c r="HW1051" s="0"/>
      <c r="HX1051" s="0"/>
      <c r="HY1051" s="0"/>
      <c r="HZ1051" s="0"/>
      <c r="IA1051" s="0"/>
      <c r="IB1051" s="0"/>
      <c r="IC1051" s="0"/>
      <c r="ID1051" s="0"/>
      <c r="IE1051" s="0"/>
      <c r="IF1051" s="0"/>
      <c r="IG1051" s="0"/>
      <c r="IH1051" s="0"/>
      <c r="II1051" s="0"/>
      <c r="IJ1051" s="0"/>
      <c r="IK1051" s="0"/>
      <c r="IL1051" s="0"/>
      <c r="IM1051" s="0"/>
      <c r="IN1051" s="0"/>
      <c r="IO1051" s="0"/>
      <c r="IP1051" s="0"/>
      <c r="IQ1051" s="0"/>
      <c r="IR1051" s="0"/>
      <c r="IS1051" s="0"/>
      <c r="IT1051" s="0"/>
      <c r="IU1051" s="0"/>
      <c r="IV1051" s="0"/>
    </row>
    <row r="1052" customFormat="false" ht="15.75" hidden="false" customHeight="true" outlineLevel="0" collapsed="false">
      <c r="A1052" s="14"/>
      <c r="I1052" s="537"/>
      <c r="J1052" s="1310"/>
      <c r="K1052" s="55"/>
      <c r="L1052" s="877"/>
      <c r="M1052" s="0"/>
      <c r="Q1052" s="55"/>
      <c r="R1052" s="55"/>
      <c r="T1052" s="0"/>
      <c r="U1052" s="0"/>
      <c r="V1052" s="0"/>
      <c r="W1052" s="0"/>
      <c r="X1052" s="0"/>
      <c r="Y1052" s="0"/>
      <c r="Z1052" s="0"/>
      <c r="AA1052" s="0"/>
      <c r="AB1052" s="0"/>
      <c r="AC1052" s="0"/>
      <c r="AD1052" s="0"/>
      <c r="AE1052" s="0"/>
      <c r="AF1052" s="0"/>
      <c r="AG1052" s="0"/>
      <c r="AH1052" s="0"/>
      <c r="AI1052" s="0"/>
      <c r="AJ1052" s="0"/>
      <c r="AK1052" s="0"/>
      <c r="AL1052" s="0"/>
      <c r="AM1052" s="0"/>
      <c r="AN1052" s="0"/>
      <c r="AO1052" s="0"/>
      <c r="AP1052" s="0"/>
      <c r="AQ1052" s="0"/>
      <c r="AR1052" s="0"/>
      <c r="AS1052" s="0"/>
      <c r="AT1052" s="0"/>
      <c r="AU1052" s="0"/>
      <c r="AV1052" s="0"/>
      <c r="AW1052" s="0"/>
      <c r="AX1052" s="0"/>
      <c r="AY1052" s="0"/>
      <c r="AZ1052" s="0"/>
      <c r="BA1052" s="0"/>
      <c r="BB1052" s="0"/>
      <c r="BC1052" s="0"/>
      <c r="BD1052" s="0"/>
      <c r="BE1052" s="0"/>
      <c r="BF1052" s="0"/>
      <c r="BG1052" s="0"/>
      <c r="BH1052" s="0"/>
      <c r="BI1052" s="0"/>
      <c r="BJ1052" s="0"/>
      <c r="BK1052" s="0"/>
      <c r="BL1052" s="0"/>
      <c r="BM1052" s="0"/>
      <c r="BN1052" s="0"/>
      <c r="BO1052" s="0"/>
      <c r="BP1052" s="0"/>
      <c r="BQ1052" s="0"/>
      <c r="BR1052" s="0"/>
      <c r="BS1052" s="0"/>
      <c r="BT1052" s="0"/>
      <c r="BU1052" s="0"/>
      <c r="BV1052" s="0"/>
      <c r="BW1052" s="0"/>
      <c r="BX1052" s="0"/>
      <c r="BY1052" s="0"/>
      <c r="BZ1052" s="0"/>
      <c r="CA1052" s="0"/>
      <c r="CB1052" s="0"/>
      <c r="CC1052" s="0"/>
      <c r="CD1052" s="0"/>
      <c r="CE1052" s="0"/>
      <c r="CF1052" s="0"/>
      <c r="CG1052" s="0"/>
      <c r="CH1052" s="0"/>
      <c r="CI1052" s="0"/>
      <c r="CJ1052" s="0"/>
      <c r="CK1052" s="0"/>
      <c r="CL1052" s="0"/>
      <c r="CM1052" s="0"/>
      <c r="CN1052" s="0"/>
      <c r="CO1052" s="0"/>
      <c r="CP1052" s="0"/>
      <c r="CQ1052" s="0"/>
      <c r="CR1052" s="0"/>
      <c r="CS1052" s="0"/>
      <c r="CT1052" s="0"/>
      <c r="CU1052" s="0"/>
      <c r="CV1052" s="0"/>
      <c r="CW1052" s="0"/>
      <c r="CX1052" s="0"/>
      <c r="CY1052" s="0"/>
      <c r="CZ1052" s="0"/>
      <c r="DA1052" s="0"/>
      <c r="DB1052" s="0"/>
      <c r="DC1052" s="0"/>
      <c r="DD1052" s="0"/>
      <c r="DE1052" s="0"/>
      <c r="DF1052" s="0"/>
      <c r="DG1052" s="0"/>
      <c r="DH1052" s="0"/>
      <c r="DI1052" s="0"/>
      <c r="DJ1052" s="0"/>
      <c r="DK1052" s="0"/>
      <c r="DL1052" s="0"/>
      <c r="DM1052" s="0"/>
      <c r="DN1052" s="0"/>
      <c r="DO1052" s="0"/>
      <c r="DP1052" s="0"/>
      <c r="DQ1052" s="0"/>
      <c r="DR1052" s="0"/>
      <c r="DS1052" s="0"/>
      <c r="DT1052" s="0"/>
      <c r="DU1052" s="0"/>
      <c r="DV1052" s="0"/>
      <c r="DW1052" s="0"/>
      <c r="DX1052" s="0"/>
      <c r="DY1052" s="0"/>
      <c r="DZ1052" s="0"/>
      <c r="EA1052" s="0"/>
      <c r="EB1052" s="0"/>
      <c r="EC1052" s="0"/>
      <c r="ED1052" s="0"/>
      <c r="EE1052" s="0"/>
      <c r="EF1052" s="0"/>
      <c r="EG1052" s="0"/>
      <c r="EH1052" s="0"/>
      <c r="EI1052" s="0"/>
      <c r="EJ1052" s="0"/>
      <c r="EK1052" s="0"/>
      <c r="EL1052" s="0"/>
      <c r="EM1052" s="0"/>
      <c r="EN1052" s="0"/>
      <c r="EO1052" s="0"/>
      <c r="EP1052" s="0"/>
      <c r="EQ1052" s="0"/>
      <c r="ER1052" s="0"/>
      <c r="ES1052" s="0"/>
      <c r="ET1052" s="0"/>
      <c r="EU1052" s="0"/>
      <c r="EV1052" s="0"/>
      <c r="EW1052" s="0"/>
      <c r="EX1052" s="0"/>
      <c r="EY1052" s="0"/>
      <c r="EZ1052" s="0"/>
      <c r="FA1052" s="0"/>
      <c r="FB1052" s="0"/>
      <c r="FC1052" s="0"/>
      <c r="FD1052" s="0"/>
      <c r="FE1052" s="0"/>
      <c r="FF1052" s="0"/>
      <c r="FG1052" s="0"/>
      <c r="FH1052" s="0"/>
      <c r="FI1052" s="0"/>
      <c r="FJ1052" s="0"/>
      <c r="FK1052" s="0"/>
      <c r="FL1052" s="0"/>
      <c r="FM1052" s="0"/>
      <c r="FN1052" s="0"/>
      <c r="FO1052" s="0"/>
      <c r="FP1052" s="0"/>
      <c r="FQ1052" s="0"/>
      <c r="FR1052" s="0"/>
      <c r="FS1052" s="0"/>
      <c r="FT1052" s="0"/>
      <c r="FU1052" s="0"/>
      <c r="FV1052" s="0"/>
      <c r="FW1052" s="0"/>
      <c r="FX1052" s="0"/>
      <c r="FY1052" s="0"/>
      <c r="FZ1052" s="0"/>
      <c r="GA1052" s="0"/>
      <c r="GB1052" s="0"/>
      <c r="GC1052" s="0"/>
      <c r="GD1052" s="0"/>
      <c r="GE1052" s="0"/>
      <c r="GF1052" s="0"/>
      <c r="GG1052" s="0"/>
      <c r="GH1052" s="0"/>
      <c r="GI1052" s="0"/>
      <c r="GJ1052" s="0"/>
      <c r="GK1052" s="0"/>
      <c r="GL1052" s="0"/>
      <c r="GM1052" s="0"/>
      <c r="GN1052" s="0"/>
      <c r="GO1052" s="0"/>
      <c r="GP1052" s="0"/>
      <c r="GQ1052" s="0"/>
      <c r="GR1052" s="0"/>
      <c r="GS1052" s="0"/>
      <c r="GT1052" s="0"/>
      <c r="GU1052" s="0"/>
      <c r="GV1052" s="0"/>
      <c r="GW1052" s="0"/>
      <c r="GX1052" s="0"/>
      <c r="GY1052" s="0"/>
      <c r="GZ1052" s="0"/>
      <c r="HA1052" s="0"/>
      <c r="HB1052" s="0"/>
      <c r="HC1052" s="0"/>
      <c r="HD1052" s="0"/>
      <c r="HE1052" s="0"/>
      <c r="HF1052" s="0"/>
      <c r="HG1052" s="0"/>
      <c r="HH1052" s="0"/>
      <c r="HI1052" s="0"/>
      <c r="HJ1052" s="0"/>
      <c r="HK1052" s="0"/>
      <c r="HL1052" s="0"/>
      <c r="HM1052" s="0"/>
      <c r="HN1052" s="0"/>
      <c r="HO1052" s="0"/>
      <c r="HP1052" s="0"/>
      <c r="HQ1052" s="0"/>
      <c r="HR1052" s="0"/>
      <c r="HS1052" s="0"/>
      <c r="HT1052" s="0"/>
      <c r="HU1052" s="0"/>
      <c r="HV1052" s="0"/>
      <c r="HW1052" s="0"/>
      <c r="HX1052" s="0"/>
      <c r="HY1052" s="0"/>
      <c r="HZ1052" s="0"/>
      <c r="IA1052" s="0"/>
      <c r="IB1052" s="0"/>
      <c r="IC1052" s="0"/>
      <c r="ID1052" s="0"/>
      <c r="IE1052" s="0"/>
      <c r="IF1052" s="0"/>
      <c r="IG1052" s="0"/>
      <c r="IH1052" s="0"/>
      <c r="II1052" s="0"/>
      <c r="IJ1052" s="0"/>
      <c r="IK1052" s="0"/>
      <c r="IL1052" s="0"/>
      <c r="IM1052" s="0"/>
      <c r="IN1052" s="0"/>
      <c r="IO1052" s="0"/>
      <c r="IP1052" s="0"/>
      <c r="IQ1052" s="0"/>
      <c r="IR1052" s="0"/>
      <c r="IS1052" s="0"/>
      <c r="IT1052" s="0"/>
      <c r="IU1052" s="0"/>
      <c r="IV1052" s="0"/>
    </row>
    <row r="1053" s="19" customFormat="true" ht="15.75" hidden="false" customHeight="true" outlineLevel="0" collapsed="false">
      <c r="A1053" s="14"/>
      <c r="B1053" s="11"/>
      <c r="C1053" s="11"/>
      <c r="D1053" s="11"/>
      <c r="E1053" s="11"/>
      <c r="F1053" s="11"/>
      <c r="G1053" s="11"/>
      <c r="H1053" s="11"/>
      <c r="I1053" s="11"/>
      <c r="J1053" s="12"/>
      <c r="K1053" s="1310"/>
      <c r="L1053" s="877"/>
      <c r="N1053" s="11"/>
      <c r="O1053" s="11"/>
      <c r="P1053" s="11"/>
      <c r="Q1053" s="55"/>
      <c r="R1053" s="55"/>
      <c r="S1053" s="11"/>
    </row>
    <row r="1054" customFormat="false" ht="15.75" hidden="false" customHeight="true" outlineLevel="0" collapsed="false">
      <c r="A1054" s="869" t="s">
        <v>1701</v>
      </c>
      <c r="B1054" s="869"/>
      <c r="C1054" s="869"/>
      <c r="D1054" s="869"/>
      <c r="E1054" s="869"/>
      <c r="F1054" s="869"/>
      <c r="G1054" s="869"/>
      <c r="H1054" s="53"/>
      <c r="I1054" s="53"/>
      <c r="J1054" s="53"/>
      <c r="K1054" s="870"/>
      <c r="L1054" s="871" t="s">
        <v>1702</v>
      </c>
      <c r="M1054" s="0"/>
      <c r="Q1054" s="55"/>
      <c r="R1054" s="55"/>
      <c r="T1054" s="0"/>
      <c r="U1054" s="0"/>
      <c r="V1054" s="0"/>
      <c r="W1054" s="0"/>
      <c r="X1054" s="0"/>
      <c r="Y1054" s="0"/>
      <c r="Z1054" s="0"/>
      <c r="AA1054" s="0"/>
      <c r="AB1054" s="0"/>
      <c r="AC1054" s="0"/>
      <c r="AD1054" s="0"/>
      <c r="AE1054" s="0"/>
      <c r="AF1054" s="0"/>
      <c r="AG1054" s="0"/>
      <c r="AH1054" s="0"/>
      <c r="AI1054" s="0"/>
      <c r="AJ1054" s="0"/>
      <c r="AK1054" s="0"/>
      <c r="AL1054" s="0"/>
      <c r="AM1054" s="0"/>
      <c r="AN1054" s="0"/>
      <c r="AO1054" s="0"/>
      <c r="AP1054" s="0"/>
      <c r="AQ1054" s="0"/>
      <c r="AR1054" s="0"/>
      <c r="AS1054" s="0"/>
      <c r="AT1054" s="0"/>
      <c r="AU1054" s="0"/>
      <c r="AV1054" s="0"/>
      <c r="AW1054" s="0"/>
      <c r="AX1054" s="0"/>
      <c r="AY1054" s="0"/>
      <c r="AZ1054" s="0"/>
      <c r="BA1054" s="0"/>
      <c r="BB1054" s="0"/>
      <c r="BC1054" s="0"/>
      <c r="BD1054" s="0"/>
      <c r="BE1054" s="0"/>
      <c r="BF1054" s="0"/>
      <c r="BG1054" s="0"/>
      <c r="BH1054" s="0"/>
      <c r="BI1054" s="0"/>
      <c r="BJ1054" s="0"/>
      <c r="BK1054" s="0"/>
      <c r="BL1054" s="0"/>
      <c r="BM1054" s="0"/>
      <c r="BN1054" s="0"/>
      <c r="BO1054" s="0"/>
      <c r="BP1054" s="0"/>
      <c r="BQ1054" s="0"/>
      <c r="BR1054" s="0"/>
      <c r="BS1054" s="0"/>
      <c r="BT1054" s="0"/>
      <c r="BU1054" s="0"/>
      <c r="BV1054" s="0"/>
      <c r="BW1054" s="0"/>
      <c r="BX1054" s="0"/>
      <c r="BY1054" s="0"/>
      <c r="BZ1054" s="0"/>
      <c r="CA1054" s="0"/>
      <c r="CB1054" s="0"/>
      <c r="CC1054" s="0"/>
      <c r="CD1054" s="0"/>
      <c r="CE1054" s="0"/>
      <c r="CF1054" s="0"/>
      <c r="CG1054" s="0"/>
      <c r="CH1054" s="0"/>
      <c r="CI1054" s="0"/>
      <c r="CJ1054" s="0"/>
      <c r="CK1054" s="0"/>
      <c r="CL1054" s="0"/>
      <c r="CM1054" s="0"/>
      <c r="CN1054" s="0"/>
      <c r="CO1054" s="0"/>
      <c r="CP1054" s="0"/>
      <c r="CQ1054" s="0"/>
      <c r="CR1054" s="0"/>
      <c r="CS1054" s="0"/>
      <c r="CT1054" s="0"/>
      <c r="CU1054" s="0"/>
      <c r="CV1054" s="0"/>
      <c r="CW1054" s="0"/>
      <c r="CX1054" s="0"/>
      <c r="CY1054" s="0"/>
      <c r="CZ1054" s="0"/>
      <c r="DA1054" s="0"/>
      <c r="DB1054" s="0"/>
      <c r="DC1054" s="0"/>
      <c r="DD1054" s="0"/>
      <c r="DE1054" s="0"/>
      <c r="DF1054" s="0"/>
      <c r="DG1054" s="0"/>
      <c r="DH1054" s="0"/>
      <c r="DI1054" s="0"/>
      <c r="DJ1054" s="0"/>
      <c r="DK1054" s="0"/>
      <c r="DL1054" s="0"/>
      <c r="DM1054" s="0"/>
      <c r="DN1054" s="0"/>
      <c r="DO1054" s="0"/>
      <c r="DP1054" s="0"/>
      <c r="DQ1054" s="0"/>
      <c r="DR1054" s="0"/>
      <c r="DS1054" s="0"/>
      <c r="DT1054" s="0"/>
      <c r="DU1054" s="0"/>
      <c r="DV1054" s="0"/>
      <c r="DW1054" s="0"/>
      <c r="DX1054" s="0"/>
      <c r="DY1054" s="0"/>
      <c r="DZ1054" s="0"/>
      <c r="EA1054" s="0"/>
      <c r="EB1054" s="0"/>
      <c r="EC1054" s="0"/>
      <c r="ED1054" s="0"/>
      <c r="EE1054" s="0"/>
      <c r="EF1054" s="0"/>
      <c r="EG1054" s="0"/>
      <c r="EH1054" s="0"/>
      <c r="EI1054" s="0"/>
      <c r="EJ1054" s="0"/>
      <c r="EK1054" s="0"/>
      <c r="EL1054" s="0"/>
      <c r="EM1054" s="0"/>
      <c r="EN1054" s="0"/>
      <c r="EO1054" s="0"/>
      <c r="EP1054" s="0"/>
      <c r="EQ1054" s="0"/>
      <c r="ER1054" s="0"/>
      <c r="ES1054" s="0"/>
      <c r="ET1054" s="0"/>
      <c r="EU1054" s="0"/>
      <c r="EV1054" s="0"/>
      <c r="EW1054" s="0"/>
      <c r="EX1054" s="0"/>
      <c r="EY1054" s="0"/>
      <c r="EZ1054" s="0"/>
      <c r="FA1054" s="0"/>
      <c r="FB1054" s="0"/>
      <c r="FC1054" s="0"/>
      <c r="FD1054" s="0"/>
      <c r="FE1054" s="0"/>
      <c r="FF1054" s="0"/>
      <c r="FG1054" s="0"/>
      <c r="FH1054" s="0"/>
      <c r="FI1054" s="0"/>
      <c r="FJ1054" s="0"/>
      <c r="FK1054" s="0"/>
      <c r="FL1054" s="0"/>
      <c r="FM1054" s="0"/>
      <c r="FN1054" s="0"/>
      <c r="FO1054" s="0"/>
      <c r="FP1054" s="0"/>
      <c r="FQ1054" s="0"/>
      <c r="FR1054" s="0"/>
      <c r="FS1054" s="0"/>
      <c r="FT1054" s="0"/>
      <c r="FU1054" s="0"/>
      <c r="FV1054" s="0"/>
      <c r="FW1054" s="0"/>
      <c r="FX1054" s="0"/>
      <c r="FY1054" s="0"/>
      <c r="FZ1054" s="0"/>
      <c r="GA1054" s="0"/>
      <c r="GB1054" s="0"/>
      <c r="GC1054" s="0"/>
      <c r="GD1054" s="0"/>
      <c r="GE1054" s="0"/>
      <c r="GF1054" s="0"/>
      <c r="GG1054" s="0"/>
      <c r="GH1054" s="0"/>
      <c r="GI1054" s="0"/>
      <c r="GJ1054" s="0"/>
      <c r="GK1054" s="0"/>
      <c r="GL1054" s="0"/>
      <c r="GM1054" s="0"/>
      <c r="GN1054" s="0"/>
      <c r="GO1054" s="0"/>
      <c r="GP1054" s="0"/>
      <c r="GQ1054" s="0"/>
      <c r="GR1054" s="0"/>
      <c r="GS1054" s="0"/>
      <c r="GT1054" s="0"/>
      <c r="GU1054" s="0"/>
      <c r="GV1054" s="0"/>
      <c r="GW1054" s="0"/>
      <c r="GX1054" s="0"/>
      <c r="GY1054" s="0"/>
      <c r="GZ1054" s="0"/>
      <c r="HA1054" s="0"/>
      <c r="HB1054" s="0"/>
      <c r="HC1054" s="0"/>
      <c r="HD1054" s="0"/>
      <c r="HE1054" s="0"/>
      <c r="HF1054" s="0"/>
      <c r="HG1054" s="0"/>
      <c r="HH1054" s="0"/>
      <c r="HI1054" s="0"/>
      <c r="HJ1054" s="0"/>
      <c r="HK1054" s="0"/>
      <c r="HL1054" s="0"/>
      <c r="HM1054" s="0"/>
      <c r="HN1054" s="0"/>
      <c r="HO1054" s="0"/>
      <c r="HP1054" s="0"/>
      <c r="HQ1054" s="0"/>
      <c r="HR1054" s="0"/>
      <c r="HS1054" s="0"/>
      <c r="HT1054" s="0"/>
      <c r="HU1054" s="0"/>
      <c r="HV1054" s="0"/>
      <c r="HW1054" s="0"/>
      <c r="HX1054" s="0"/>
      <c r="HY1054" s="0"/>
      <c r="HZ1054" s="0"/>
      <c r="IA1054" s="0"/>
      <c r="IB1054" s="0"/>
      <c r="IC1054" s="0"/>
      <c r="ID1054" s="0"/>
      <c r="IE1054" s="0"/>
      <c r="IF1054" s="0"/>
      <c r="IG1054" s="0"/>
      <c r="IH1054" s="0"/>
      <c r="II1054" s="0"/>
      <c r="IJ1054" s="0"/>
      <c r="IK1054" s="0"/>
      <c r="IL1054" s="0"/>
      <c r="IM1054" s="0"/>
      <c r="IN1054" s="0"/>
      <c r="IO1054" s="0"/>
      <c r="IP1054" s="0"/>
      <c r="IQ1054" s="0"/>
      <c r="IR1054" s="0"/>
      <c r="IS1054" s="0"/>
      <c r="IT1054" s="0"/>
      <c r="IU1054" s="0"/>
      <c r="IV1054" s="0"/>
    </row>
    <row r="1055" customFormat="false" ht="15.75" hidden="false" customHeight="true" outlineLevel="0" collapsed="false">
      <c r="A1055" s="1005"/>
      <c r="B1055" s="1005"/>
      <c r="C1055" s="1005"/>
      <c r="D1055" s="1005"/>
      <c r="E1055" s="1005"/>
      <c r="F1055" s="1005"/>
      <c r="G1055" s="1005"/>
      <c r="H1055" s="0"/>
      <c r="I1055" s="0"/>
      <c r="J1055" s="0"/>
      <c r="K1055" s="1310"/>
      <c r="L1055" s="877"/>
      <c r="M1055" s="0"/>
      <c r="Q1055" s="55"/>
      <c r="R1055" s="55"/>
      <c r="T1055" s="0"/>
      <c r="U1055" s="0"/>
      <c r="V1055" s="0"/>
      <c r="W1055" s="0"/>
      <c r="X1055" s="0"/>
      <c r="Y1055" s="0"/>
      <c r="Z1055" s="0"/>
      <c r="AA1055" s="0"/>
      <c r="AB1055" s="0"/>
      <c r="AC1055" s="0"/>
      <c r="AD1055" s="0"/>
      <c r="AE1055" s="0"/>
      <c r="AF1055" s="0"/>
      <c r="AG1055" s="0"/>
      <c r="AH1055" s="0"/>
      <c r="AI1055" s="0"/>
      <c r="AJ1055" s="0"/>
      <c r="AK1055" s="0"/>
      <c r="AL1055" s="0"/>
      <c r="AM1055" s="0"/>
      <c r="AN1055" s="0"/>
      <c r="AO1055" s="0"/>
      <c r="AP1055" s="0"/>
      <c r="AQ1055" s="0"/>
      <c r="AR1055" s="0"/>
      <c r="AS1055" s="0"/>
      <c r="AT1055" s="0"/>
      <c r="AU1055" s="0"/>
      <c r="AV1055" s="0"/>
      <c r="AW1055" s="0"/>
      <c r="AX1055" s="0"/>
      <c r="AY1055" s="0"/>
      <c r="AZ1055" s="0"/>
      <c r="BA1055" s="0"/>
      <c r="BB1055" s="0"/>
      <c r="BC1055" s="0"/>
      <c r="BD1055" s="0"/>
      <c r="BE1055" s="0"/>
      <c r="BF1055" s="0"/>
      <c r="BG1055" s="0"/>
      <c r="BH1055" s="0"/>
      <c r="BI1055" s="0"/>
      <c r="BJ1055" s="0"/>
      <c r="BK1055" s="0"/>
      <c r="BL1055" s="0"/>
      <c r="BM1055" s="0"/>
      <c r="BN1055" s="0"/>
      <c r="BO1055" s="0"/>
      <c r="BP1055" s="0"/>
      <c r="BQ1055" s="0"/>
      <c r="BR1055" s="0"/>
      <c r="BS1055" s="0"/>
      <c r="BT1055" s="0"/>
      <c r="BU1055" s="0"/>
      <c r="BV1055" s="0"/>
      <c r="BW1055" s="0"/>
      <c r="BX1055" s="0"/>
      <c r="BY1055" s="0"/>
      <c r="BZ1055" s="0"/>
      <c r="CA1055" s="0"/>
      <c r="CB1055" s="0"/>
      <c r="CC1055" s="0"/>
      <c r="CD1055" s="0"/>
      <c r="CE1055" s="0"/>
      <c r="CF1055" s="0"/>
      <c r="CG1055" s="0"/>
      <c r="CH1055" s="0"/>
      <c r="CI1055" s="0"/>
      <c r="CJ1055" s="0"/>
      <c r="CK1055" s="0"/>
      <c r="CL1055" s="0"/>
      <c r="CM1055" s="0"/>
      <c r="CN1055" s="0"/>
      <c r="CO1055" s="0"/>
      <c r="CP1055" s="0"/>
      <c r="CQ1055" s="0"/>
      <c r="CR1055" s="0"/>
      <c r="CS1055" s="0"/>
      <c r="CT1055" s="0"/>
      <c r="CU1055" s="0"/>
      <c r="CV1055" s="0"/>
      <c r="CW1055" s="0"/>
      <c r="CX1055" s="0"/>
      <c r="CY1055" s="0"/>
      <c r="CZ1055" s="0"/>
      <c r="DA1055" s="0"/>
      <c r="DB1055" s="0"/>
      <c r="DC1055" s="0"/>
      <c r="DD1055" s="0"/>
      <c r="DE1055" s="0"/>
      <c r="DF1055" s="0"/>
      <c r="DG1055" s="0"/>
      <c r="DH1055" s="0"/>
      <c r="DI1055" s="0"/>
      <c r="DJ1055" s="0"/>
      <c r="DK1055" s="0"/>
      <c r="DL1055" s="0"/>
      <c r="DM1055" s="0"/>
      <c r="DN1055" s="0"/>
      <c r="DO1055" s="0"/>
      <c r="DP1055" s="0"/>
      <c r="DQ1055" s="0"/>
      <c r="DR1055" s="0"/>
      <c r="DS1055" s="0"/>
      <c r="DT1055" s="0"/>
      <c r="DU1055" s="0"/>
      <c r="DV1055" s="0"/>
      <c r="DW1055" s="0"/>
      <c r="DX1055" s="0"/>
      <c r="DY1055" s="0"/>
      <c r="DZ1055" s="0"/>
      <c r="EA1055" s="0"/>
      <c r="EB1055" s="0"/>
      <c r="EC1055" s="0"/>
      <c r="ED1055" s="0"/>
      <c r="EE1055" s="0"/>
      <c r="EF1055" s="0"/>
      <c r="EG1055" s="0"/>
      <c r="EH1055" s="0"/>
      <c r="EI1055" s="0"/>
      <c r="EJ1055" s="0"/>
      <c r="EK1055" s="0"/>
      <c r="EL1055" s="0"/>
      <c r="EM1055" s="0"/>
      <c r="EN1055" s="0"/>
      <c r="EO1055" s="0"/>
      <c r="EP1055" s="0"/>
      <c r="EQ1055" s="0"/>
      <c r="ER1055" s="0"/>
      <c r="ES1055" s="0"/>
      <c r="ET1055" s="0"/>
      <c r="EU1055" s="0"/>
      <c r="EV1055" s="0"/>
      <c r="EW1055" s="0"/>
      <c r="EX1055" s="0"/>
      <c r="EY1055" s="0"/>
      <c r="EZ1055" s="0"/>
      <c r="FA1055" s="0"/>
      <c r="FB1055" s="0"/>
      <c r="FC1055" s="0"/>
      <c r="FD1055" s="0"/>
      <c r="FE1055" s="0"/>
      <c r="FF1055" s="0"/>
      <c r="FG1055" s="0"/>
      <c r="FH1055" s="0"/>
      <c r="FI1055" s="0"/>
      <c r="FJ1055" s="0"/>
      <c r="FK1055" s="0"/>
      <c r="FL1055" s="0"/>
      <c r="FM1055" s="0"/>
      <c r="FN1055" s="0"/>
      <c r="FO1055" s="0"/>
      <c r="FP1055" s="0"/>
      <c r="FQ1055" s="0"/>
      <c r="FR1055" s="0"/>
      <c r="FS1055" s="0"/>
      <c r="FT1055" s="0"/>
      <c r="FU1055" s="0"/>
      <c r="FV1055" s="0"/>
      <c r="FW1055" s="0"/>
      <c r="FX1055" s="0"/>
      <c r="FY1055" s="0"/>
      <c r="FZ1055" s="0"/>
      <c r="GA1055" s="0"/>
      <c r="GB1055" s="0"/>
      <c r="GC1055" s="0"/>
      <c r="GD1055" s="0"/>
      <c r="GE1055" s="0"/>
      <c r="GF1055" s="0"/>
      <c r="GG1055" s="0"/>
      <c r="GH1055" s="0"/>
      <c r="GI1055" s="0"/>
      <c r="GJ1055" s="0"/>
      <c r="GK1055" s="0"/>
      <c r="GL1055" s="0"/>
      <c r="GM1055" s="0"/>
      <c r="GN1055" s="0"/>
      <c r="GO1055" s="0"/>
      <c r="GP1055" s="0"/>
      <c r="GQ1055" s="0"/>
      <c r="GR1055" s="0"/>
      <c r="GS1055" s="0"/>
      <c r="GT1055" s="0"/>
      <c r="GU1055" s="0"/>
      <c r="GV1055" s="0"/>
      <c r="GW1055" s="0"/>
      <c r="GX1055" s="0"/>
      <c r="GY1055" s="0"/>
      <c r="GZ1055" s="0"/>
      <c r="HA1055" s="0"/>
      <c r="HB1055" s="0"/>
      <c r="HC1055" s="0"/>
      <c r="HD1055" s="0"/>
      <c r="HE1055" s="0"/>
      <c r="HF1055" s="0"/>
      <c r="HG1055" s="0"/>
      <c r="HH1055" s="0"/>
      <c r="HI1055" s="0"/>
      <c r="HJ1055" s="0"/>
      <c r="HK1055" s="0"/>
      <c r="HL1055" s="0"/>
      <c r="HM1055" s="0"/>
      <c r="HN1055" s="0"/>
      <c r="HO1055" s="0"/>
      <c r="HP1055" s="0"/>
      <c r="HQ1055" s="0"/>
      <c r="HR1055" s="0"/>
      <c r="HS1055" s="0"/>
      <c r="HT1055" s="0"/>
      <c r="HU1055" s="0"/>
      <c r="HV1055" s="0"/>
      <c r="HW1055" s="0"/>
      <c r="HX1055" s="0"/>
      <c r="HY1055" s="0"/>
      <c r="HZ1055" s="0"/>
      <c r="IA1055" s="0"/>
      <c r="IB1055" s="0"/>
      <c r="IC1055" s="0"/>
      <c r="ID1055" s="0"/>
      <c r="IE1055" s="0"/>
      <c r="IF1055" s="0"/>
      <c r="IG1055" s="0"/>
      <c r="IH1055" s="0"/>
      <c r="II1055" s="0"/>
      <c r="IJ1055" s="0"/>
      <c r="IK1055" s="0"/>
      <c r="IL1055" s="0"/>
      <c r="IM1055" s="0"/>
      <c r="IN1055" s="0"/>
      <c r="IO1055" s="0"/>
      <c r="IP1055" s="0"/>
      <c r="IQ1055" s="0"/>
      <c r="IR1055" s="0"/>
      <c r="IS1055" s="0"/>
      <c r="IT1055" s="0"/>
      <c r="IU1055" s="0"/>
      <c r="IV1055" s="0"/>
    </row>
    <row r="1056" customFormat="false" ht="30" hidden="false" customHeight="true" outlineLevel="0" collapsed="false">
      <c r="A1056" s="1272" t="s">
        <v>752</v>
      </c>
      <c r="B1056" s="1272"/>
      <c r="C1056" s="1272"/>
      <c r="D1056" s="906" t="n">
        <v>0</v>
      </c>
      <c r="G1056" s="0"/>
      <c r="H1056" s="0"/>
      <c r="I1056" s="0"/>
      <c r="J1056" s="0"/>
      <c r="K1056" s="1310"/>
      <c r="L1056" s="877"/>
      <c r="M1056" s="0"/>
      <c r="Q1056" s="55"/>
      <c r="R1056" s="55"/>
      <c r="T1056" s="0"/>
      <c r="U1056" s="0"/>
      <c r="V1056" s="0"/>
      <c r="W1056" s="0"/>
      <c r="X1056" s="0"/>
      <c r="Y1056" s="0"/>
      <c r="Z1056" s="0"/>
      <c r="AA1056" s="0"/>
      <c r="AB1056" s="0"/>
      <c r="AC1056" s="0"/>
      <c r="AD1056" s="0"/>
      <c r="AE1056" s="0"/>
      <c r="AF1056" s="0"/>
      <c r="AG1056" s="0"/>
      <c r="AH1056" s="0"/>
      <c r="AI1056" s="0"/>
      <c r="AJ1056" s="0"/>
      <c r="AK1056" s="0"/>
      <c r="AL1056" s="0"/>
      <c r="AM1056" s="0"/>
      <c r="AN1056" s="0"/>
      <c r="AO1056" s="0"/>
      <c r="AP1056" s="0"/>
      <c r="AQ1056" s="0"/>
      <c r="AR1056" s="0"/>
      <c r="AS1056" s="0"/>
      <c r="AT1056" s="0"/>
      <c r="AU1056" s="0"/>
      <c r="AV1056" s="0"/>
      <c r="AW1056" s="0"/>
      <c r="AX1056" s="0"/>
      <c r="AY1056" s="0"/>
      <c r="AZ1056" s="0"/>
      <c r="BA1056" s="0"/>
      <c r="BB1056" s="0"/>
      <c r="BC1056" s="0"/>
      <c r="BD1056" s="0"/>
      <c r="BE1056" s="0"/>
      <c r="BF1056" s="0"/>
      <c r="BG1056" s="0"/>
      <c r="BH1056" s="0"/>
      <c r="BI1056" s="0"/>
      <c r="BJ1056" s="0"/>
      <c r="BK1056" s="0"/>
      <c r="BL1056" s="0"/>
      <c r="BM1056" s="0"/>
      <c r="BN1056" s="0"/>
      <c r="BO1056" s="0"/>
      <c r="BP1056" s="0"/>
      <c r="BQ1056" s="0"/>
      <c r="BR1056" s="0"/>
      <c r="BS1056" s="0"/>
      <c r="BT1056" s="0"/>
      <c r="BU1056" s="0"/>
      <c r="BV1056" s="0"/>
      <c r="BW1056" s="0"/>
      <c r="BX1056" s="0"/>
      <c r="BY1056" s="0"/>
      <c r="BZ1056" s="0"/>
      <c r="CA1056" s="0"/>
      <c r="CB1056" s="0"/>
      <c r="CC1056" s="0"/>
      <c r="CD1056" s="0"/>
      <c r="CE1056" s="0"/>
      <c r="CF1056" s="0"/>
      <c r="CG1056" s="0"/>
      <c r="CH1056" s="0"/>
      <c r="CI1056" s="0"/>
      <c r="CJ1056" s="0"/>
      <c r="CK1056" s="0"/>
      <c r="CL1056" s="0"/>
      <c r="CM1056" s="0"/>
      <c r="CN1056" s="0"/>
      <c r="CO1056" s="0"/>
      <c r="CP1056" s="0"/>
      <c r="CQ1056" s="0"/>
      <c r="CR1056" s="0"/>
      <c r="CS1056" s="0"/>
      <c r="CT1056" s="0"/>
      <c r="CU1056" s="0"/>
      <c r="CV1056" s="0"/>
      <c r="CW1056" s="0"/>
      <c r="CX1056" s="0"/>
      <c r="CY1056" s="0"/>
      <c r="CZ1056" s="0"/>
      <c r="DA1056" s="0"/>
      <c r="DB1056" s="0"/>
      <c r="DC1056" s="0"/>
      <c r="DD1056" s="0"/>
      <c r="DE1056" s="0"/>
      <c r="DF1056" s="0"/>
      <c r="DG1056" s="0"/>
      <c r="DH1056" s="0"/>
      <c r="DI1056" s="0"/>
      <c r="DJ1056" s="0"/>
      <c r="DK1056" s="0"/>
      <c r="DL1056" s="0"/>
      <c r="DM1056" s="0"/>
      <c r="DN1056" s="0"/>
      <c r="DO1056" s="0"/>
      <c r="DP1056" s="0"/>
      <c r="DQ1056" s="0"/>
      <c r="DR1056" s="0"/>
      <c r="DS1056" s="0"/>
      <c r="DT1056" s="0"/>
      <c r="DU1056" s="0"/>
      <c r="DV1056" s="0"/>
      <c r="DW1056" s="0"/>
      <c r="DX1056" s="0"/>
      <c r="DY1056" s="0"/>
      <c r="DZ1056" s="0"/>
      <c r="EA1056" s="0"/>
      <c r="EB1056" s="0"/>
      <c r="EC1056" s="0"/>
      <c r="ED1056" s="0"/>
      <c r="EE1056" s="0"/>
      <c r="EF1056" s="0"/>
      <c r="EG1056" s="0"/>
      <c r="EH1056" s="0"/>
      <c r="EI1056" s="0"/>
      <c r="EJ1056" s="0"/>
      <c r="EK1056" s="0"/>
      <c r="EL1056" s="0"/>
      <c r="EM1056" s="0"/>
      <c r="EN1056" s="0"/>
      <c r="EO1056" s="0"/>
      <c r="EP1056" s="0"/>
      <c r="EQ1056" s="0"/>
      <c r="ER1056" s="0"/>
      <c r="ES1056" s="0"/>
      <c r="ET1056" s="0"/>
      <c r="EU1056" s="0"/>
      <c r="EV1056" s="0"/>
      <c r="EW1056" s="0"/>
      <c r="EX1056" s="0"/>
      <c r="EY1056" s="0"/>
      <c r="EZ1056" s="0"/>
      <c r="FA1056" s="0"/>
      <c r="FB1056" s="0"/>
      <c r="FC1056" s="0"/>
      <c r="FD1056" s="0"/>
      <c r="FE1056" s="0"/>
      <c r="FF1056" s="0"/>
      <c r="FG1056" s="0"/>
      <c r="FH1056" s="0"/>
      <c r="FI1056" s="0"/>
      <c r="FJ1056" s="0"/>
      <c r="FK1056" s="0"/>
      <c r="FL1056" s="0"/>
      <c r="FM1056" s="0"/>
      <c r="FN1056" s="0"/>
      <c r="FO1056" s="0"/>
      <c r="FP1056" s="0"/>
      <c r="FQ1056" s="0"/>
      <c r="FR1056" s="0"/>
      <c r="FS1056" s="0"/>
      <c r="FT1056" s="0"/>
      <c r="FU1056" s="0"/>
      <c r="FV1056" s="0"/>
      <c r="FW1056" s="0"/>
      <c r="FX1056" s="0"/>
      <c r="FY1056" s="0"/>
      <c r="FZ1056" s="0"/>
      <c r="GA1056" s="0"/>
      <c r="GB1056" s="0"/>
      <c r="GC1056" s="0"/>
      <c r="GD1056" s="0"/>
      <c r="GE1056" s="0"/>
      <c r="GF1056" s="0"/>
      <c r="GG1056" s="0"/>
      <c r="GH1056" s="0"/>
      <c r="GI1056" s="0"/>
      <c r="GJ1056" s="0"/>
      <c r="GK1056" s="0"/>
      <c r="GL1056" s="0"/>
      <c r="GM1056" s="0"/>
      <c r="GN1056" s="0"/>
      <c r="GO1056" s="0"/>
      <c r="GP1056" s="0"/>
      <c r="GQ1056" s="0"/>
      <c r="GR1056" s="0"/>
      <c r="GS1056" s="0"/>
      <c r="GT1056" s="0"/>
      <c r="GU1056" s="0"/>
      <c r="GV1056" s="0"/>
      <c r="GW1056" s="0"/>
      <c r="GX1056" s="0"/>
      <c r="GY1056" s="0"/>
      <c r="GZ1056" s="0"/>
      <c r="HA1056" s="0"/>
      <c r="HB1056" s="0"/>
      <c r="HC1056" s="0"/>
      <c r="HD1056" s="0"/>
      <c r="HE1056" s="0"/>
      <c r="HF1056" s="0"/>
      <c r="HG1056" s="0"/>
      <c r="HH1056" s="0"/>
      <c r="HI1056" s="0"/>
      <c r="HJ1056" s="0"/>
      <c r="HK1056" s="0"/>
      <c r="HL1056" s="0"/>
      <c r="HM1056" s="0"/>
      <c r="HN1056" s="0"/>
      <c r="HO1056" s="0"/>
      <c r="HP1056" s="0"/>
      <c r="HQ1056" s="0"/>
      <c r="HR1056" s="0"/>
      <c r="HS1056" s="0"/>
      <c r="HT1056" s="0"/>
      <c r="HU1056" s="0"/>
      <c r="HV1056" s="0"/>
      <c r="HW1056" s="0"/>
      <c r="HX1056" s="0"/>
      <c r="HY1056" s="0"/>
      <c r="HZ1056" s="0"/>
      <c r="IA1056" s="0"/>
      <c r="IB1056" s="0"/>
      <c r="IC1056" s="0"/>
      <c r="ID1056" s="0"/>
      <c r="IE1056" s="0"/>
      <c r="IF1056" s="0"/>
      <c r="IG1056" s="0"/>
      <c r="IH1056" s="0"/>
      <c r="II1056" s="0"/>
      <c r="IJ1056" s="0"/>
      <c r="IK1056" s="0"/>
      <c r="IL1056" s="0"/>
      <c r="IM1056" s="0"/>
      <c r="IN1056" s="0"/>
      <c r="IO1056" s="0"/>
      <c r="IP1056" s="0"/>
      <c r="IQ1056" s="0"/>
      <c r="IR1056" s="0"/>
      <c r="IS1056" s="0"/>
      <c r="IT1056" s="0"/>
      <c r="IU1056" s="0"/>
      <c r="IV1056" s="0"/>
    </row>
    <row r="1057" customFormat="false" ht="15.75" hidden="false" customHeight="true" outlineLevel="0" collapsed="false">
      <c r="K1057" s="1310"/>
      <c r="L1057" s="877"/>
      <c r="M1057" s="0"/>
      <c r="Q1057" s="55"/>
      <c r="R1057" s="55"/>
      <c r="T1057" s="0"/>
      <c r="U1057" s="0"/>
      <c r="V1057" s="0"/>
      <c r="W1057" s="0"/>
      <c r="X1057" s="0"/>
      <c r="Y1057" s="0"/>
      <c r="Z1057" s="0"/>
      <c r="AA1057" s="0"/>
      <c r="AB1057" s="0"/>
      <c r="AC1057" s="0"/>
      <c r="AD1057" s="0"/>
      <c r="AE1057" s="0"/>
      <c r="AF1057" s="0"/>
      <c r="AG1057" s="0"/>
      <c r="AH1057" s="0"/>
      <c r="AI1057" s="0"/>
      <c r="AJ1057" s="0"/>
      <c r="AK1057" s="0"/>
      <c r="AL1057" s="0"/>
      <c r="AM1057" s="0"/>
      <c r="AN1057" s="0"/>
      <c r="AO1057" s="0"/>
      <c r="AP1057" s="0"/>
      <c r="AQ1057" s="0"/>
      <c r="AR1057" s="0"/>
      <c r="AS1057" s="0"/>
      <c r="AT1057" s="0"/>
      <c r="AU1057" s="0"/>
      <c r="AV1057" s="0"/>
      <c r="AW1057" s="0"/>
      <c r="AX1057" s="0"/>
      <c r="AY1057" s="0"/>
      <c r="AZ1057" s="0"/>
      <c r="BA1057" s="0"/>
      <c r="BB1057" s="0"/>
      <c r="BC1057" s="0"/>
      <c r="BD1057" s="0"/>
      <c r="BE1057" s="0"/>
      <c r="BF1057" s="0"/>
      <c r="BG1057" s="0"/>
      <c r="BH1057" s="0"/>
      <c r="BI1057" s="0"/>
      <c r="BJ1057" s="0"/>
      <c r="BK1057" s="0"/>
      <c r="BL1057" s="0"/>
      <c r="BM1057" s="0"/>
      <c r="BN1057" s="0"/>
      <c r="BO1057" s="0"/>
      <c r="BP1057" s="0"/>
      <c r="BQ1057" s="0"/>
      <c r="BR1057" s="0"/>
      <c r="BS1057" s="0"/>
      <c r="BT1057" s="0"/>
      <c r="BU1057" s="0"/>
      <c r="BV1057" s="0"/>
      <c r="BW1057" s="0"/>
      <c r="BX1057" s="0"/>
      <c r="BY1057" s="0"/>
      <c r="BZ1057" s="0"/>
      <c r="CA1057" s="0"/>
      <c r="CB1057" s="0"/>
      <c r="CC1057" s="0"/>
      <c r="CD1057" s="0"/>
      <c r="CE1057" s="0"/>
      <c r="CF1057" s="0"/>
      <c r="CG1057" s="0"/>
      <c r="CH1057" s="0"/>
      <c r="CI1057" s="0"/>
      <c r="CJ1057" s="0"/>
      <c r="CK1057" s="0"/>
      <c r="CL1057" s="0"/>
      <c r="CM1057" s="0"/>
      <c r="CN1057" s="0"/>
      <c r="CO1057" s="0"/>
      <c r="CP1057" s="0"/>
      <c r="CQ1057" s="0"/>
      <c r="CR1057" s="0"/>
      <c r="CS1057" s="0"/>
      <c r="CT1057" s="0"/>
      <c r="CU1057" s="0"/>
      <c r="CV1057" s="0"/>
      <c r="CW1057" s="0"/>
      <c r="CX1057" s="0"/>
      <c r="CY1057" s="0"/>
      <c r="CZ1057" s="0"/>
      <c r="DA1057" s="0"/>
      <c r="DB1057" s="0"/>
      <c r="DC1057" s="0"/>
      <c r="DD1057" s="0"/>
      <c r="DE1057" s="0"/>
      <c r="DF1057" s="0"/>
      <c r="DG1057" s="0"/>
      <c r="DH1057" s="0"/>
      <c r="DI1057" s="0"/>
      <c r="DJ1057" s="0"/>
      <c r="DK1057" s="0"/>
      <c r="DL1057" s="0"/>
      <c r="DM1057" s="0"/>
      <c r="DN1057" s="0"/>
      <c r="DO1057" s="0"/>
      <c r="DP1057" s="0"/>
      <c r="DQ1057" s="0"/>
      <c r="DR1057" s="0"/>
      <c r="DS1057" s="0"/>
      <c r="DT1057" s="0"/>
      <c r="DU1057" s="0"/>
      <c r="DV1057" s="0"/>
      <c r="DW1057" s="0"/>
      <c r="DX1057" s="0"/>
      <c r="DY1057" s="0"/>
      <c r="DZ1057" s="0"/>
      <c r="EA1057" s="0"/>
      <c r="EB1057" s="0"/>
      <c r="EC1057" s="0"/>
      <c r="ED1057" s="0"/>
      <c r="EE1057" s="0"/>
      <c r="EF1057" s="0"/>
      <c r="EG1057" s="0"/>
      <c r="EH1057" s="0"/>
      <c r="EI1057" s="0"/>
      <c r="EJ1057" s="0"/>
      <c r="EK1057" s="0"/>
      <c r="EL1057" s="0"/>
      <c r="EM1057" s="0"/>
      <c r="EN1057" s="0"/>
      <c r="EO1057" s="0"/>
      <c r="EP1057" s="0"/>
      <c r="EQ1057" s="0"/>
      <c r="ER1057" s="0"/>
      <c r="ES1057" s="0"/>
      <c r="ET1057" s="0"/>
      <c r="EU1057" s="0"/>
      <c r="EV1057" s="0"/>
      <c r="EW1057" s="0"/>
      <c r="EX1057" s="0"/>
      <c r="EY1057" s="0"/>
      <c r="EZ1057" s="0"/>
      <c r="FA1057" s="0"/>
      <c r="FB1057" s="0"/>
      <c r="FC1057" s="0"/>
      <c r="FD1057" s="0"/>
      <c r="FE1057" s="0"/>
      <c r="FF1057" s="0"/>
      <c r="FG1057" s="0"/>
      <c r="FH1057" s="0"/>
      <c r="FI1057" s="0"/>
      <c r="FJ1057" s="0"/>
      <c r="FK1057" s="0"/>
      <c r="FL1057" s="0"/>
      <c r="FM1057" s="0"/>
      <c r="FN1057" s="0"/>
      <c r="FO1057" s="0"/>
      <c r="FP1057" s="0"/>
      <c r="FQ1057" s="0"/>
      <c r="FR1057" s="0"/>
      <c r="FS1057" s="0"/>
      <c r="FT1057" s="0"/>
      <c r="FU1057" s="0"/>
      <c r="FV1057" s="0"/>
      <c r="FW1057" s="0"/>
      <c r="FX1057" s="0"/>
      <c r="FY1057" s="0"/>
      <c r="FZ1057" s="0"/>
      <c r="GA1057" s="0"/>
      <c r="GB1057" s="0"/>
      <c r="GC1057" s="0"/>
      <c r="GD1057" s="0"/>
      <c r="GE1057" s="0"/>
      <c r="GF1057" s="0"/>
      <c r="GG1057" s="0"/>
      <c r="GH1057" s="0"/>
      <c r="GI1057" s="0"/>
      <c r="GJ1057" s="0"/>
      <c r="GK1057" s="0"/>
      <c r="GL1057" s="0"/>
      <c r="GM1057" s="0"/>
      <c r="GN1057" s="0"/>
      <c r="GO1057" s="0"/>
      <c r="GP1057" s="0"/>
      <c r="GQ1057" s="0"/>
      <c r="GR1057" s="0"/>
      <c r="GS1057" s="0"/>
      <c r="GT1057" s="0"/>
      <c r="GU1057" s="0"/>
      <c r="GV1057" s="0"/>
      <c r="GW1057" s="0"/>
      <c r="GX1057" s="0"/>
      <c r="GY1057" s="0"/>
      <c r="GZ1057" s="0"/>
      <c r="HA1057" s="0"/>
      <c r="HB1057" s="0"/>
      <c r="HC1057" s="0"/>
      <c r="HD1057" s="0"/>
      <c r="HE1057" s="0"/>
      <c r="HF1057" s="0"/>
      <c r="HG1057" s="0"/>
      <c r="HH1057" s="0"/>
      <c r="HI1057" s="0"/>
      <c r="HJ1057" s="0"/>
      <c r="HK1057" s="0"/>
      <c r="HL1057" s="0"/>
      <c r="HM1057" s="0"/>
      <c r="HN1057" s="0"/>
      <c r="HO1057" s="0"/>
      <c r="HP1057" s="0"/>
      <c r="HQ1057" s="0"/>
      <c r="HR1057" s="0"/>
      <c r="HS1057" s="0"/>
      <c r="HT1057" s="0"/>
      <c r="HU1057" s="0"/>
      <c r="HV1057" s="0"/>
      <c r="HW1057" s="0"/>
      <c r="HX1057" s="0"/>
      <c r="HY1057" s="0"/>
      <c r="HZ1057" s="0"/>
      <c r="IA1057" s="0"/>
      <c r="IB1057" s="0"/>
      <c r="IC1057" s="0"/>
      <c r="ID1057" s="0"/>
      <c r="IE1057" s="0"/>
      <c r="IF1057" s="0"/>
      <c r="IG1057" s="0"/>
      <c r="IH1057" s="0"/>
      <c r="II1057" s="0"/>
      <c r="IJ1057" s="0"/>
      <c r="IK1057" s="0"/>
      <c r="IL1057" s="0"/>
      <c r="IM1057" s="0"/>
      <c r="IN1057" s="0"/>
      <c r="IO1057" s="0"/>
      <c r="IP1057" s="0"/>
      <c r="IQ1057" s="0"/>
      <c r="IR1057" s="0"/>
      <c r="IS1057" s="0"/>
      <c r="IT1057" s="0"/>
      <c r="IU1057" s="0"/>
      <c r="IV1057" s="0"/>
    </row>
    <row r="1058" customFormat="false" ht="31.5" hidden="false" customHeight="true" outlineLevel="0" collapsed="false">
      <c r="A1058" s="1272" t="s">
        <v>755</v>
      </c>
      <c r="B1058" s="1272"/>
      <c r="C1058" s="1272"/>
      <c r="D1058" s="966" t="s">
        <v>254</v>
      </c>
      <c r="K1058" s="1310"/>
      <c r="L1058" s="877"/>
      <c r="M1058" s="0"/>
      <c r="Q1058" s="55"/>
      <c r="R1058" s="55"/>
      <c r="T1058" s="0"/>
      <c r="U1058" s="0"/>
      <c r="V1058" s="0"/>
      <c r="W1058" s="0"/>
      <c r="X1058" s="0"/>
      <c r="Y1058" s="0"/>
      <c r="Z1058" s="0"/>
      <c r="AA1058" s="0"/>
      <c r="AB1058" s="0"/>
      <c r="AC1058" s="0"/>
      <c r="AD1058" s="0"/>
      <c r="AE1058" s="0"/>
      <c r="AF1058" s="0"/>
      <c r="AG1058" s="0"/>
      <c r="AH1058" s="0"/>
      <c r="AI1058" s="0"/>
      <c r="AJ1058" s="0"/>
      <c r="AK1058" s="0"/>
      <c r="AL1058" s="0"/>
      <c r="AM1058" s="0"/>
      <c r="AN1058" s="0"/>
      <c r="AO1058" s="0"/>
      <c r="AP1058" s="0"/>
      <c r="AQ1058" s="0"/>
      <c r="AR1058" s="0"/>
      <c r="AS1058" s="0"/>
      <c r="AT1058" s="0"/>
      <c r="AU1058" s="0"/>
      <c r="AV1058" s="0"/>
      <c r="AW1058" s="0"/>
      <c r="AX1058" s="0"/>
      <c r="AY1058" s="0"/>
      <c r="AZ1058" s="0"/>
      <c r="BA1058" s="0"/>
      <c r="BB1058" s="0"/>
      <c r="BC1058" s="0"/>
      <c r="BD1058" s="0"/>
      <c r="BE1058" s="0"/>
      <c r="BF1058" s="0"/>
      <c r="BG1058" s="0"/>
      <c r="BH1058" s="0"/>
      <c r="BI1058" s="0"/>
      <c r="BJ1058" s="0"/>
      <c r="BK1058" s="0"/>
      <c r="BL1058" s="0"/>
      <c r="BM1058" s="0"/>
      <c r="BN1058" s="0"/>
      <c r="BO1058" s="0"/>
      <c r="BP1058" s="0"/>
      <c r="BQ1058" s="0"/>
      <c r="BR1058" s="0"/>
      <c r="BS1058" s="0"/>
      <c r="BT1058" s="0"/>
      <c r="BU1058" s="0"/>
      <c r="BV1058" s="0"/>
      <c r="BW1058" s="0"/>
      <c r="BX1058" s="0"/>
      <c r="BY1058" s="0"/>
      <c r="BZ1058" s="0"/>
      <c r="CA1058" s="0"/>
      <c r="CB1058" s="0"/>
      <c r="CC1058" s="0"/>
      <c r="CD1058" s="0"/>
      <c r="CE1058" s="0"/>
      <c r="CF1058" s="0"/>
      <c r="CG1058" s="0"/>
      <c r="CH1058" s="0"/>
      <c r="CI1058" s="0"/>
      <c r="CJ1058" s="0"/>
      <c r="CK1058" s="0"/>
      <c r="CL1058" s="0"/>
      <c r="CM1058" s="0"/>
      <c r="CN1058" s="0"/>
      <c r="CO1058" s="0"/>
      <c r="CP1058" s="0"/>
      <c r="CQ1058" s="0"/>
      <c r="CR1058" s="0"/>
      <c r="CS1058" s="0"/>
      <c r="CT1058" s="0"/>
      <c r="CU1058" s="0"/>
      <c r="CV1058" s="0"/>
      <c r="CW1058" s="0"/>
      <c r="CX1058" s="0"/>
      <c r="CY1058" s="0"/>
      <c r="CZ1058" s="0"/>
      <c r="DA1058" s="0"/>
      <c r="DB1058" s="0"/>
      <c r="DC1058" s="0"/>
      <c r="DD1058" s="0"/>
      <c r="DE1058" s="0"/>
      <c r="DF1058" s="0"/>
      <c r="DG1058" s="0"/>
      <c r="DH1058" s="0"/>
      <c r="DI1058" s="0"/>
      <c r="DJ1058" s="0"/>
      <c r="DK1058" s="0"/>
      <c r="DL1058" s="0"/>
      <c r="DM1058" s="0"/>
      <c r="DN1058" s="0"/>
      <c r="DO1058" s="0"/>
      <c r="DP1058" s="0"/>
      <c r="DQ1058" s="0"/>
      <c r="DR1058" s="0"/>
      <c r="DS1058" s="0"/>
      <c r="DT1058" s="0"/>
      <c r="DU1058" s="0"/>
      <c r="DV1058" s="0"/>
      <c r="DW1058" s="0"/>
      <c r="DX1058" s="0"/>
      <c r="DY1058" s="0"/>
      <c r="DZ1058" s="0"/>
      <c r="EA1058" s="0"/>
      <c r="EB1058" s="0"/>
      <c r="EC1058" s="0"/>
      <c r="ED1058" s="0"/>
      <c r="EE1058" s="0"/>
      <c r="EF1058" s="0"/>
      <c r="EG1058" s="0"/>
      <c r="EH1058" s="0"/>
      <c r="EI1058" s="0"/>
      <c r="EJ1058" s="0"/>
      <c r="EK1058" s="0"/>
      <c r="EL1058" s="0"/>
      <c r="EM1058" s="0"/>
      <c r="EN1058" s="0"/>
      <c r="EO1058" s="0"/>
      <c r="EP1058" s="0"/>
      <c r="EQ1058" s="0"/>
      <c r="ER1058" s="0"/>
      <c r="ES1058" s="0"/>
      <c r="ET1058" s="0"/>
      <c r="EU1058" s="0"/>
      <c r="EV1058" s="0"/>
      <c r="EW1058" s="0"/>
      <c r="EX1058" s="0"/>
      <c r="EY1058" s="0"/>
      <c r="EZ1058" s="0"/>
      <c r="FA1058" s="0"/>
      <c r="FB1058" s="0"/>
      <c r="FC1058" s="0"/>
      <c r="FD1058" s="0"/>
      <c r="FE1058" s="0"/>
      <c r="FF1058" s="0"/>
      <c r="FG1058" s="0"/>
      <c r="FH1058" s="0"/>
      <c r="FI1058" s="0"/>
      <c r="FJ1058" s="0"/>
      <c r="FK1058" s="0"/>
      <c r="FL1058" s="0"/>
      <c r="FM1058" s="0"/>
      <c r="FN1058" s="0"/>
      <c r="FO1058" s="0"/>
      <c r="FP1058" s="0"/>
      <c r="FQ1058" s="0"/>
      <c r="FR1058" s="0"/>
      <c r="FS1058" s="0"/>
      <c r="FT1058" s="0"/>
      <c r="FU1058" s="0"/>
      <c r="FV1058" s="0"/>
      <c r="FW1058" s="0"/>
      <c r="FX1058" s="0"/>
      <c r="FY1058" s="0"/>
      <c r="FZ1058" s="0"/>
      <c r="GA1058" s="0"/>
      <c r="GB1058" s="0"/>
      <c r="GC1058" s="0"/>
      <c r="GD1058" s="0"/>
      <c r="GE1058" s="0"/>
      <c r="GF1058" s="0"/>
      <c r="GG1058" s="0"/>
      <c r="GH1058" s="0"/>
      <c r="GI1058" s="0"/>
      <c r="GJ1058" s="0"/>
      <c r="GK1058" s="0"/>
      <c r="GL1058" s="0"/>
      <c r="GM1058" s="0"/>
      <c r="GN1058" s="0"/>
      <c r="GO1058" s="0"/>
      <c r="GP1058" s="0"/>
      <c r="GQ1058" s="0"/>
      <c r="GR1058" s="0"/>
      <c r="GS1058" s="0"/>
      <c r="GT1058" s="0"/>
      <c r="GU1058" s="0"/>
      <c r="GV1058" s="0"/>
      <c r="GW1058" s="0"/>
      <c r="GX1058" s="0"/>
      <c r="GY1058" s="0"/>
      <c r="GZ1058" s="0"/>
      <c r="HA1058" s="0"/>
      <c r="HB1058" s="0"/>
      <c r="HC1058" s="0"/>
      <c r="HD1058" s="0"/>
      <c r="HE1058" s="0"/>
      <c r="HF1058" s="0"/>
      <c r="HG1058" s="0"/>
      <c r="HH1058" s="0"/>
      <c r="HI1058" s="0"/>
      <c r="HJ1058" s="0"/>
      <c r="HK1058" s="0"/>
      <c r="HL1058" s="0"/>
      <c r="HM1058" s="0"/>
      <c r="HN1058" s="0"/>
      <c r="HO1058" s="0"/>
      <c r="HP1058" s="0"/>
      <c r="HQ1058" s="0"/>
      <c r="HR1058" s="0"/>
      <c r="HS1058" s="0"/>
      <c r="HT1058" s="0"/>
      <c r="HU1058" s="0"/>
      <c r="HV1058" s="0"/>
      <c r="HW1058" s="0"/>
      <c r="HX1058" s="0"/>
      <c r="HY1058" s="0"/>
      <c r="HZ1058" s="0"/>
      <c r="IA1058" s="0"/>
      <c r="IB1058" s="0"/>
      <c r="IC1058" s="0"/>
      <c r="ID1058" s="0"/>
      <c r="IE1058" s="0"/>
      <c r="IF1058" s="0"/>
      <c r="IG1058" s="0"/>
      <c r="IH1058" s="0"/>
      <c r="II1058" s="0"/>
      <c r="IJ1058" s="0"/>
      <c r="IK1058" s="0"/>
      <c r="IL1058" s="0"/>
      <c r="IM1058" s="0"/>
      <c r="IN1058" s="0"/>
      <c r="IO1058" s="0"/>
      <c r="IP1058" s="0"/>
      <c r="IQ1058" s="0"/>
      <c r="IR1058" s="0"/>
      <c r="IS1058" s="0"/>
      <c r="IT1058" s="0"/>
      <c r="IU1058" s="0"/>
      <c r="IV1058" s="0"/>
    </row>
    <row r="1059" customFormat="false" ht="15.75" hidden="false" customHeight="true" outlineLevel="0" collapsed="false">
      <c r="A1059" s="443"/>
      <c r="K1059" s="1310"/>
      <c r="L1059" s="877"/>
      <c r="M1059" s="0"/>
      <c r="Q1059" s="55"/>
      <c r="R1059" s="55"/>
      <c r="T1059" s="0"/>
      <c r="U1059" s="0"/>
      <c r="V1059" s="0"/>
      <c r="W1059" s="0"/>
      <c r="X1059" s="0"/>
      <c r="Y1059" s="0"/>
      <c r="Z1059" s="0"/>
      <c r="AA1059" s="0"/>
      <c r="AB1059" s="0"/>
      <c r="AC1059" s="0"/>
      <c r="AD1059" s="0"/>
      <c r="AE1059" s="0"/>
      <c r="AF1059" s="0"/>
      <c r="AG1059" s="0"/>
      <c r="AH1059" s="0"/>
      <c r="AI1059" s="0"/>
      <c r="AJ1059" s="0"/>
      <c r="AK1059" s="0"/>
      <c r="AL1059" s="0"/>
      <c r="AM1059" s="0"/>
      <c r="AN1059" s="0"/>
      <c r="AO1059" s="0"/>
      <c r="AP1059" s="0"/>
      <c r="AQ1059" s="0"/>
      <c r="AR1059" s="0"/>
      <c r="AS1059" s="0"/>
      <c r="AT1059" s="0"/>
      <c r="AU1059" s="0"/>
      <c r="AV1059" s="0"/>
      <c r="AW1059" s="0"/>
      <c r="AX1059" s="0"/>
      <c r="AY1059" s="0"/>
      <c r="AZ1059" s="0"/>
      <c r="BA1059" s="0"/>
      <c r="BB1059" s="0"/>
      <c r="BC1059" s="0"/>
      <c r="BD1059" s="0"/>
      <c r="BE1059" s="0"/>
      <c r="BF1059" s="0"/>
      <c r="BG1059" s="0"/>
      <c r="BH1059" s="0"/>
      <c r="BI1059" s="0"/>
      <c r="BJ1059" s="0"/>
      <c r="BK1059" s="0"/>
      <c r="BL1059" s="0"/>
      <c r="BM1059" s="0"/>
      <c r="BN1059" s="0"/>
      <c r="BO1059" s="0"/>
      <c r="BP1059" s="0"/>
      <c r="BQ1059" s="0"/>
      <c r="BR1059" s="0"/>
      <c r="BS1059" s="0"/>
      <c r="BT1059" s="0"/>
      <c r="BU1059" s="0"/>
      <c r="BV1059" s="0"/>
      <c r="BW1059" s="0"/>
      <c r="BX1059" s="0"/>
      <c r="BY1059" s="0"/>
      <c r="BZ1059" s="0"/>
      <c r="CA1059" s="0"/>
      <c r="CB1059" s="0"/>
      <c r="CC1059" s="0"/>
      <c r="CD1059" s="0"/>
      <c r="CE1059" s="0"/>
      <c r="CF1059" s="0"/>
      <c r="CG1059" s="0"/>
      <c r="CH1059" s="0"/>
      <c r="CI1059" s="0"/>
      <c r="CJ1059" s="0"/>
      <c r="CK1059" s="0"/>
      <c r="CL1059" s="0"/>
      <c r="CM1059" s="0"/>
      <c r="CN1059" s="0"/>
      <c r="CO1059" s="0"/>
      <c r="CP1059" s="0"/>
      <c r="CQ1059" s="0"/>
      <c r="CR1059" s="0"/>
      <c r="CS1059" s="0"/>
      <c r="CT1059" s="0"/>
      <c r="CU1059" s="0"/>
      <c r="CV1059" s="0"/>
      <c r="CW1059" s="0"/>
      <c r="CX1059" s="0"/>
      <c r="CY1059" s="0"/>
      <c r="CZ1059" s="0"/>
      <c r="DA1059" s="0"/>
      <c r="DB1059" s="0"/>
      <c r="DC1059" s="0"/>
      <c r="DD1059" s="0"/>
      <c r="DE1059" s="0"/>
      <c r="DF1059" s="0"/>
      <c r="DG1059" s="0"/>
      <c r="DH1059" s="0"/>
      <c r="DI1059" s="0"/>
      <c r="DJ1059" s="0"/>
      <c r="DK1059" s="0"/>
      <c r="DL1059" s="0"/>
      <c r="DM1059" s="0"/>
      <c r="DN1059" s="0"/>
      <c r="DO1059" s="0"/>
      <c r="DP1059" s="0"/>
      <c r="DQ1059" s="0"/>
      <c r="DR1059" s="0"/>
      <c r="DS1059" s="0"/>
      <c r="DT1059" s="0"/>
      <c r="DU1059" s="0"/>
      <c r="DV1059" s="0"/>
      <c r="DW1059" s="0"/>
      <c r="DX1059" s="0"/>
      <c r="DY1059" s="0"/>
      <c r="DZ1059" s="0"/>
      <c r="EA1059" s="0"/>
      <c r="EB1059" s="0"/>
      <c r="EC1059" s="0"/>
      <c r="ED1059" s="0"/>
      <c r="EE1059" s="0"/>
      <c r="EF1059" s="0"/>
      <c r="EG1059" s="0"/>
      <c r="EH1059" s="0"/>
      <c r="EI1059" s="0"/>
      <c r="EJ1059" s="0"/>
      <c r="EK1059" s="0"/>
      <c r="EL1059" s="0"/>
      <c r="EM1059" s="0"/>
      <c r="EN1059" s="0"/>
      <c r="EO1059" s="0"/>
      <c r="EP1059" s="0"/>
      <c r="EQ1059" s="0"/>
      <c r="ER1059" s="0"/>
      <c r="ES1059" s="0"/>
      <c r="ET1059" s="0"/>
      <c r="EU1059" s="0"/>
      <c r="EV1059" s="0"/>
      <c r="EW1059" s="0"/>
      <c r="EX1059" s="0"/>
      <c r="EY1059" s="0"/>
      <c r="EZ1059" s="0"/>
      <c r="FA1059" s="0"/>
      <c r="FB1059" s="0"/>
      <c r="FC1059" s="0"/>
      <c r="FD1059" s="0"/>
      <c r="FE1059" s="0"/>
      <c r="FF1059" s="0"/>
      <c r="FG1059" s="0"/>
      <c r="FH1059" s="0"/>
      <c r="FI1059" s="0"/>
      <c r="FJ1059" s="0"/>
      <c r="FK1059" s="0"/>
      <c r="FL1059" s="0"/>
      <c r="FM1059" s="0"/>
      <c r="FN1059" s="0"/>
      <c r="FO1059" s="0"/>
      <c r="FP1059" s="0"/>
      <c r="FQ1059" s="0"/>
      <c r="FR1059" s="0"/>
      <c r="FS1059" s="0"/>
      <c r="FT1059" s="0"/>
      <c r="FU1059" s="0"/>
      <c r="FV1059" s="0"/>
      <c r="FW1059" s="0"/>
      <c r="FX1059" s="0"/>
      <c r="FY1059" s="0"/>
      <c r="FZ1059" s="0"/>
      <c r="GA1059" s="0"/>
      <c r="GB1059" s="0"/>
      <c r="GC1059" s="0"/>
      <c r="GD1059" s="0"/>
      <c r="GE1059" s="0"/>
      <c r="GF1059" s="0"/>
      <c r="GG1059" s="0"/>
      <c r="GH1059" s="0"/>
      <c r="GI1059" s="0"/>
      <c r="GJ1059" s="0"/>
      <c r="GK1059" s="0"/>
      <c r="GL1059" s="0"/>
      <c r="GM1059" s="0"/>
      <c r="GN1059" s="0"/>
      <c r="GO1059" s="0"/>
      <c r="GP1059" s="0"/>
      <c r="GQ1059" s="0"/>
      <c r="GR1059" s="0"/>
      <c r="GS1059" s="0"/>
      <c r="GT1059" s="0"/>
      <c r="GU1059" s="0"/>
      <c r="GV1059" s="0"/>
      <c r="GW1059" s="0"/>
      <c r="GX1059" s="0"/>
      <c r="GY1059" s="0"/>
      <c r="GZ1059" s="0"/>
      <c r="HA1059" s="0"/>
      <c r="HB1059" s="0"/>
      <c r="HC1059" s="0"/>
      <c r="HD1059" s="0"/>
      <c r="HE1059" s="0"/>
      <c r="HF1059" s="0"/>
      <c r="HG1059" s="0"/>
      <c r="HH1059" s="0"/>
      <c r="HI1059" s="0"/>
      <c r="HJ1059" s="0"/>
      <c r="HK1059" s="0"/>
      <c r="HL1059" s="0"/>
      <c r="HM1059" s="0"/>
      <c r="HN1059" s="0"/>
      <c r="HO1059" s="0"/>
      <c r="HP1059" s="0"/>
      <c r="HQ1059" s="0"/>
      <c r="HR1059" s="0"/>
      <c r="HS1059" s="0"/>
      <c r="HT1059" s="0"/>
      <c r="HU1059" s="0"/>
      <c r="HV1059" s="0"/>
      <c r="HW1059" s="0"/>
      <c r="HX1059" s="0"/>
      <c r="HY1059" s="0"/>
      <c r="HZ1059" s="0"/>
      <c r="IA1059" s="0"/>
      <c r="IB1059" s="0"/>
      <c r="IC1059" s="0"/>
      <c r="ID1059" s="0"/>
      <c r="IE1059" s="0"/>
      <c r="IF1059" s="0"/>
      <c r="IG1059" s="0"/>
      <c r="IH1059" s="0"/>
      <c r="II1059" s="0"/>
      <c r="IJ1059" s="0"/>
      <c r="IK1059" s="0"/>
      <c r="IL1059" s="0"/>
      <c r="IM1059" s="0"/>
      <c r="IN1059" s="0"/>
      <c r="IO1059" s="0"/>
      <c r="IP1059" s="0"/>
      <c r="IQ1059" s="0"/>
      <c r="IR1059" s="0"/>
      <c r="IS1059" s="0"/>
      <c r="IT1059" s="0"/>
      <c r="IU1059" s="0"/>
      <c r="IV1059" s="0"/>
    </row>
    <row r="1060" customFormat="false" ht="33" hidden="false" customHeight="true" outlineLevel="0" collapsed="false">
      <c r="A1060" s="1272" t="s">
        <v>753</v>
      </c>
      <c r="B1060" s="1272"/>
      <c r="C1060" s="1272"/>
      <c r="D1060" s="906" t="n">
        <v>4</v>
      </c>
      <c r="H1060" s="14"/>
      <c r="K1060" s="1310"/>
      <c r="L1060" s="877"/>
      <c r="Q1060" s="55"/>
      <c r="R1060" s="55"/>
    </row>
    <row r="1061" customFormat="false" ht="15" hidden="false" customHeight="true" outlineLevel="0" collapsed="false">
      <c r="A1061" s="0"/>
      <c r="B1061" s="0"/>
      <c r="C1061" s="0"/>
      <c r="D1061" s="0"/>
      <c r="E1061" s="0"/>
      <c r="F1061" s="0"/>
      <c r="H1061" s="0"/>
      <c r="I1061" s="0"/>
      <c r="J1061" s="0"/>
      <c r="K1061" s="0"/>
      <c r="L1061" s="0"/>
      <c r="Q1061" s="55"/>
      <c r="R1061" s="55"/>
    </row>
    <row r="1062" customFormat="false" ht="15" hidden="false" customHeight="true" outlineLevel="0" collapsed="false">
      <c r="A1062" s="0"/>
      <c r="B1062" s="0"/>
      <c r="C1062" s="0"/>
      <c r="D1062" s="0"/>
      <c r="E1062" s="0"/>
      <c r="F1062" s="0"/>
      <c r="G1062" s="0"/>
      <c r="H1062" s="0"/>
      <c r="I1062" s="0"/>
      <c r="J1062" s="11"/>
      <c r="K1062" s="903"/>
      <c r="L1062" s="877"/>
      <c r="M1062" s="0"/>
      <c r="N1062" s="0"/>
      <c r="O1062" s="0"/>
      <c r="P1062" s="0"/>
      <c r="Q1062" s="0"/>
      <c r="R1062" s="0"/>
      <c r="S1062" s="0"/>
      <c r="T1062" s="0"/>
      <c r="U1062" s="0"/>
      <c r="V1062" s="0"/>
      <c r="W1062" s="0"/>
      <c r="X1062" s="0"/>
      <c r="Y1062" s="0"/>
      <c r="Z1062" s="0"/>
      <c r="AA1062" s="0"/>
      <c r="AB1062" s="0"/>
      <c r="AC1062" s="0"/>
      <c r="AD1062" s="0"/>
      <c r="AE1062" s="0"/>
      <c r="AF1062" s="0"/>
      <c r="AG1062" s="0"/>
      <c r="AH1062" s="0"/>
      <c r="AI1062" s="0"/>
      <c r="AJ1062" s="0"/>
      <c r="AK1062" s="0"/>
      <c r="AL1062" s="0"/>
      <c r="AM1062" s="0"/>
      <c r="AN1062" s="0"/>
      <c r="AO1062" s="0"/>
      <c r="AP1062" s="0"/>
      <c r="AQ1062" s="0"/>
      <c r="AR1062" s="0"/>
      <c r="AS1062" s="0"/>
      <c r="AT1062" s="0"/>
      <c r="AU1062" s="0"/>
      <c r="AV1062" s="0"/>
      <c r="AW1062" s="0"/>
      <c r="AX1062" s="0"/>
      <c r="AY1062" s="0"/>
      <c r="AZ1062" s="0"/>
      <c r="BA1062" s="0"/>
      <c r="BB1062" s="0"/>
      <c r="BC1062" s="0"/>
      <c r="BD1062" s="0"/>
      <c r="BE1062" s="0"/>
      <c r="BF1062" s="0"/>
      <c r="BG1062" s="0"/>
      <c r="BH1062" s="0"/>
      <c r="BI1062" s="0"/>
      <c r="BJ1062" s="0"/>
      <c r="BK1062" s="0"/>
      <c r="BL1062" s="0"/>
      <c r="BM1062" s="0"/>
      <c r="BN1062" s="0"/>
      <c r="BO1062" s="0"/>
      <c r="BP1062" s="0"/>
      <c r="BQ1062" s="0"/>
      <c r="BR1062" s="0"/>
      <c r="BS1062" s="0"/>
      <c r="BT1062" s="0"/>
      <c r="BU1062" s="0"/>
      <c r="BV1062" s="0"/>
      <c r="BW1062" s="0"/>
      <c r="BX1062" s="0"/>
      <c r="BY1062" s="0"/>
      <c r="BZ1062" s="0"/>
      <c r="CA1062" s="0"/>
      <c r="CB1062" s="0"/>
      <c r="CC1062" s="0"/>
      <c r="CD1062" s="0"/>
      <c r="CE1062" s="0"/>
      <c r="CF1062" s="0"/>
      <c r="CG1062" s="0"/>
      <c r="CH1062" s="0"/>
      <c r="CI1062" s="0"/>
      <c r="CJ1062" s="0"/>
      <c r="CK1062" s="0"/>
      <c r="CL1062" s="0"/>
      <c r="CM1062" s="0"/>
      <c r="CN1062" s="0"/>
      <c r="CO1062" s="0"/>
      <c r="CP1062" s="0"/>
      <c r="CQ1062" s="0"/>
      <c r="CR1062" s="0"/>
      <c r="CS1062" s="0"/>
      <c r="CT1062" s="0"/>
      <c r="CU1062" s="0"/>
      <c r="CV1062" s="0"/>
      <c r="CW1062" s="0"/>
      <c r="CX1062" s="0"/>
      <c r="CY1062" s="0"/>
      <c r="CZ1062" s="0"/>
      <c r="DA1062" s="0"/>
      <c r="DB1062" s="0"/>
      <c r="DC1062" s="0"/>
      <c r="DD1062" s="0"/>
      <c r="DE1062" s="0"/>
      <c r="DF1062" s="0"/>
      <c r="DG1062" s="0"/>
      <c r="DH1062" s="0"/>
      <c r="DI1062" s="0"/>
      <c r="DJ1062" s="0"/>
      <c r="DK1062" s="0"/>
      <c r="DL1062" s="0"/>
      <c r="DM1062" s="0"/>
      <c r="DN1062" s="0"/>
      <c r="DO1062" s="0"/>
      <c r="DP1062" s="0"/>
      <c r="DQ1062" s="0"/>
      <c r="DR1062" s="0"/>
      <c r="DS1062" s="0"/>
      <c r="DT1062" s="0"/>
      <c r="DU1062" s="0"/>
      <c r="DV1062" s="0"/>
      <c r="DW1062" s="0"/>
      <c r="DX1062" s="0"/>
      <c r="DY1062" s="0"/>
      <c r="DZ1062" s="0"/>
      <c r="EA1062" s="0"/>
      <c r="EB1062" s="0"/>
      <c r="EC1062" s="0"/>
      <c r="ED1062" s="0"/>
      <c r="EE1062" s="0"/>
      <c r="EF1062" s="0"/>
      <c r="EG1062" s="0"/>
      <c r="EH1062" s="0"/>
      <c r="EI1062" s="0"/>
      <c r="EJ1062" s="0"/>
      <c r="EK1062" s="0"/>
      <c r="EL1062" s="0"/>
      <c r="EM1062" s="0"/>
      <c r="EN1062" s="0"/>
      <c r="EO1062" s="0"/>
      <c r="EP1062" s="0"/>
      <c r="EQ1062" s="0"/>
      <c r="ER1062" s="0"/>
      <c r="ES1062" s="0"/>
      <c r="ET1062" s="0"/>
      <c r="EU1062" s="0"/>
      <c r="EV1062" s="0"/>
      <c r="EW1062" s="0"/>
      <c r="EX1062" s="0"/>
      <c r="EY1062" s="0"/>
      <c r="EZ1062" s="0"/>
      <c r="FA1062" s="0"/>
      <c r="FB1062" s="0"/>
      <c r="FC1062" s="0"/>
      <c r="FD1062" s="0"/>
      <c r="FE1062" s="0"/>
      <c r="FF1062" s="0"/>
      <c r="FG1062" s="0"/>
      <c r="FH1062" s="0"/>
      <c r="FI1062" s="0"/>
      <c r="FJ1062" s="0"/>
      <c r="FK1062" s="0"/>
      <c r="FL1062" s="0"/>
      <c r="FM1062" s="0"/>
      <c r="FN1062" s="0"/>
      <c r="FO1062" s="0"/>
      <c r="FP1062" s="0"/>
      <c r="FQ1062" s="0"/>
      <c r="FR1062" s="0"/>
      <c r="FS1062" s="0"/>
      <c r="FT1062" s="0"/>
      <c r="FU1062" s="0"/>
      <c r="FV1062" s="0"/>
      <c r="FW1062" s="0"/>
      <c r="FX1062" s="0"/>
      <c r="FY1062" s="0"/>
      <c r="FZ1062" s="0"/>
      <c r="GA1062" s="0"/>
      <c r="GB1062" s="0"/>
      <c r="GC1062" s="0"/>
      <c r="GD1062" s="0"/>
      <c r="GE1062" s="0"/>
      <c r="GF1062" s="0"/>
      <c r="GG1062" s="0"/>
      <c r="GH1062" s="0"/>
      <c r="GI1062" s="0"/>
      <c r="GJ1062" s="0"/>
      <c r="GK1062" s="0"/>
      <c r="GL1062" s="0"/>
      <c r="GM1062" s="0"/>
      <c r="GN1062" s="0"/>
      <c r="GO1062" s="0"/>
      <c r="GP1062" s="0"/>
      <c r="GQ1062" s="0"/>
      <c r="GR1062" s="0"/>
      <c r="GS1062" s="0"/>
      <c r="GT1062" s="0"/>
      <c r="GU1062" s="0"/>
      <c r="GV1062" s="0"/>
      <c r="GW1062" s="0"/>
      <c r="GX1062" s="0"/>
      <c r="GY1062" s="0"/>
      <c r="GZ1062" s="0"/>
      <c r="HA1062" s="0"/>
      <c r="HB1062" s="0"/>
      <c r="HC1062" s="0"/>
      <c r="HD1062" s="0"/>
      <c r="HE1062" s="0"/>
      <c r="HF1062" s="0"/>
      <c r="HG1062" s="0"/>
      <c r="HH1062" s="0"/>
      <c r="HI1062" s="0"/>
      <c r="HJ1062" s="0"/>
      <c r="HK1062" s="0"/>
      <c r="HL1062" s="0"/>
      <c r="HM1062" s="0"/>
      <c r="HN1062" s="0"/>
      <c r="HO1062" s="0"/>
      <c r="HP1062" s="0"/>
      <c r="HQ1062" s="0"/>
      <c r="HR1062" s="0"/>
      <c r="HS1062" s="0"/>
      <c r="HT1062" s="0"/>
      <c r="HU1062" s="0"/>
      <c r="HV1062" s="0"/>
      <c r="HW1062" s="0"/>
      <c r="HX1062" s="0"/>
      <c r="HY1062" s="0"/>
      <c r="HZ1062" s="0"/>
      <c r="IA1062" s="0"/>
      <c r="IB1062" s="0"/>
      <c r="IC1062" s="0"/>
      <c r="ID1062" s="0"/>
      <c r="IE1062" s="0"/>
      <c r="IF1062" s="0"/>
      <c r="IG1062" s="0"/>
      <c r="IH1062" s="0"/>
      <c r="II1062" s="0"/>
      <c r="IJ1062" s="0"/>
      <c r="IK1062" s="0"/>
      <c r="IL1062" s="0"/>
      <c r="IM1062" s="0"/>
      <c r="IN1062" s="0"/>
      <c r="IO1062" s="0"/>
      <c r="IP1062" s="0"/>
      <c r="IQ1062" s="0"/>
      <c r="IR1062" s="0"/>
      <c r="IS1062" s="0"/>
      <c r="IT1062" s="0"/>
      <c r="IU1062" s="0"/>
      <c r="IV1062" s="0"/>
    </row>
    <row r="1063" customFormat="false" ht="16.5" hidden="false" customHeight="true" outlineLevel="0" collapsed="false">
      <c r="A1063" s="869" t="s">
        <v>1703</v>
      </c>
      <c r="B1063" s="869"/>
      <c r="C1063" s="869"/>
      <c r="D1063" s="869"/>
      <c r="E1063" s="869"/>
      <c r="F1063" s="869"/>
      <c r="G1063" s="869"/>
      <c r="H1063" s="53"/>
      <c r="I1063" s="53"/>
      <c r="J1063" s="53"/>
      <c r="K1063" s="870"/>
      <c r="L1063" s="871" t="s">
        <v>1704</v>
      </c>
    </row>
    <row r="1064" customFormat="false" ht="16.5" hidden="false" customHeight="true" outlineLevel="0" collapsed="false">
      <c r="A1064" s="1005"/>
      <c r="B1064" s="1005"/>
      <c r="C1064" s="1005"/>
      <c r="D1064" s="1005"/>
      <c r="E1064" s="1005"/>
      <c r="F1064" s="1005"/>
      <c r="G1064" s="1005"/>
      <c r="H1064" s="55"/>
      <c r="I1064" s="55"/>
      <c r="K1064" s="903"/>
      <c r="L1064" s="877"/>
    </row>
    <row r="1065" customFormat="false" ht="15.75" hidden="false" customHeight="true" outlineLevel="0" collapsed="false">
      <c r="A1065" s="14" t="s">
        <v>1705</v>
      </c>
      <c r="B1065" s="0"/>
      <c r="C1065" s="0"/>
      <c r="D1065" s="55"/>
      <c r="E1065" s="0"/>
      <c r="G1065" s="950" t="s">
        <v>1706</v>
      </c>
      <c r="H1065" s="15" t="s">
        <v>803</v>
      </c>
      <c r="I1065" s="1258"/>
      <c r="J1065" s="1258"/>
      <c r="K1065" s="1258"/>
      <c r="L1065" s="877" t="s">
        <v>1707</v>
      </c>
      <c r="M1065" s="0"/>
      <c r="N1065" s="0"/>
      <c r="O1065" s="0"/>
      <c r="P1065" s="0"/>
      <c r="Q1065" s="0"/>
      <c r="R1065" s="0"/>
      <c r="S1065" s="0"/>
      <c r="T1065" s="0"/>
      <c r="U1065" s="0"/>
      <c r="V1065" s="0"/>
      <c r="W1065" s="0"/>
      <c r="X1065" s="0"/>
      <c r="Y1065" s="0"/>
      <c r="Z1065" s="0"/>
      <c r="AA1065" s="0"/>
      <c r="AB1065" s="0"/>
      <c r="AC1065" s="0"/>
      <c r="AD1065" s="0"/>
      <c r="AE1065" s="0"/>
      <c r="AF1065" s="0"/>
      <c r="AG1065" s="0"/>
      <c r="AH1065" s="0"/>
      <c r="AI1065" s="0"/>
      <c r="AJ1065" s="0"/>
      <c r="AK1065" s="0"/>
      <c r="AL1065" s="0"/>
      <c r="AM1065" s="0"/>
      <c r="AN1065" s="0"/>
      <c r="AO1065" s="0"/>
      <c r="AP1065" s="0"/>
      <c r="AQ1065" s="0"/>
      <c r="AR1065" s="0"/>
      <c r="AS1065" s="0"/>
      <c r="AT1065" s="0"/>
      <c r="AU1065" s="0"/>
      <c r="AV1065" s="0"/>
      <c r="AW1065" s="0"/>
      <c r="AX1065" s="0"/>
      <c r="AY1065" s="0"/>
      <c r="AZ1065" s="0"/>
      <c r="BA1065" s="0"/>
      <c r="BB1065" s="0"/>
      <c r="BC1065" s="0"/>
      <c r="BD1065" s="0"/>
      <c r="BE1065" s="0"/>
      <c r="BF1065" s="0"/>
      <c r="BG1065" s="0"/>
      <c r="BH1065" s="0"/>
      <c r="BI1065" s="0"/>
      <c r="BJ1065" s="0"/>
      <c r="BK1065" s="0"/>
      <c r="BL1065" s="0"/>
      <c r="BM1065" s="0"/>
      <c r="BN1065" s="0"/>
      <c r="BO1065" s="0"/>
      <c r="BP1065" s="0"/>
      <c r="BQ1065" s="0"/>
      <c r="BR1065" s="0"/>
      <c r="BS1065" s="0"/>
      <c r="BT1065" s="0"/>
      <c r="BU1065" s="0"/>
      <c r="BV1065" s="0"/>
      <c r="BW1065" s="0"/>
      <c r="BX1065" s="0"/>
      <c r="BY1065" s="0"/>
      <c r="BZ1065" s="0"/>
      <c r="CA1065" s="0"/>
      <c r="CB1065" s="0"/>
      <c r="CC1065" s="0"/>
      <c r="CD1065" s="0"/>
      <c r="CE1065" s="0"/>
      <c r="CF1065" s="0"/>
      <c r="CG1065" s="0"/>
      <c r="CH1065" s="0"/>
      <c r="CI1065" s="0"/>
      <c r="CJ1065" s="0"/>
      <c r="CK1065" s="0"/>
      <c r="CL1065" s="0"/>
      <c r="CM1065" s="0"/>
      <c r="CN1065" s="0"/>
      <c r="CO1065" s="0"/>
      <c r="CP1065" s="0"/>
      <c r="CQ1065" s="0"/>
      <c r="CR1065" s="0"/>
      <c r="CS1065" s="0"/>
      <c r="CT1065" s="0"/>
      <c r="CU1065" s="0"/>
      <c r="CV1065" s="0"/>
      <c r="CW1065" s="0"/>
      <c r="CX1065" s="0"/>
      <c r="CY1065" s="0"/>
      <c r="CZ1065" s="0"/>
      <c r="DA1065" s="0"/>
      <c r="DB1065" s="0"/>
      <c r="DC1065" s="0"/>
      <c r="DD1065" s="0"/>
      <c r="DE1065" s="0"/>
      <c r="DF1065" s="0"/>
      <c r="DG1065" s="0"/>
      <c r="DH1065" s="0"/>
      <c r="DI1065" s="0"/>
      <c r="DJ1065" s="0"/>
      <c r="DK1065" s="0"/>
      <c r="DL1065" s="0"/>
      <c r="DM1065" s="0"/>
      <c r="DN1065" s="0"/>
      <c r="DO1065" s="0"/>
      <c r="DP1065" s="0"/>
      <c r="DQ1065" s="0"/>
      <c r="DR1065" s="0"/>
      <c r="DS1065" s="0"/>
      <c r="DT1065" s="0"/>
      <c r="DU1065" s="0"/>
      <c r="DV1065" s="0"/>
      <c r="DW1065" s="0"/>
      <c r="DX1065" s="0"/>
      <c r="DY1065" s="0"/>
      <c r="DZ1065" s="0"/>
      <c r="EA1065" s="0"/>
      <c r="EB1065" s="0"/>
      <c r="EC1065" s="0"/>
      <c r="ED1065" s="0"/>
      <c r="EE1065" s="0"/>
      <c r="EF1065" s="0"/>
      <c r="EG1065" s="0"/>
      <c r="EH1065" s="0"/>
      <c r="EI1065" s="0"/>
      <c r="EJ1065" s="0"/>
      <c r="EK1065" s="0"/>
      <c r="EL1065" s="0"/>
      <c r="EM1065" s="0"/>
      <c r="EN1065" s="0"/>
      <c r="EO1065" s="0"/>
      <c r="EP1065" s="0"/>
      <c r="EQ1065" s="0"/>
      <c r="ER1065" s="0"/>
      <c r="ES1065" s="0"/>
      <c r="ET1065" s="0"/>
      <c r="EU1065" s="0"/>
      <c r="EV1065" s="0"/>
      <c r="EW1065" s="0"/>
      <c r="EX1065" s="0"/>
      <c r="EY1065" s="0"/>
      <c r="EZ1065" s="0"/>
      <c r="FA1065" s="0"/>
      <c r="FB1065" s="0"/>
      <c r="FC1065" s="0"/>
      <c r="FD1065" s="0"/>
      <c r="FE1065" s="0"/>
      <c r="FF1065" s="0"/>
      <c r="FG1065" s="0"/>
      <c r="FH1065" s="0"/>
      <c r="FI1065" s="0"/>
      <c r="FJ1065" s="0"/>
      <c r="FK1065" s="0"/>
      <c r="FL1065" s="0"/>
      <c r="FM1065" s="0"/>
      <c r="FN1065" s="0"/>
      <c r="FO1065" s="0"/>
      <c r="FP1065" s="0"/>
      <c r="FQ1065" s="0"/>
      <c r="FR1065" s="0"/>
      <c r="FS1065" s="0"/>
      <c r="FT1065" s="0"/>
      <c r="FU1065" s="0"/>
      <c r="FV1065" s="0"/>
      <c r="FW1065" s="0"/>
      <c r="FX1065" s="0"/>
      <c r="FY1065" s="0"/>
      <c r="FZ1065" s="0"/>
      <c r="GA1065" s="0"/>
      <c r="GB1065" s="0"/>
      <c r="GC1065" s="0"/>
      <c r="GD1065" s="0"/>
      <c r="GE1065" s="0"/>
      <c r="GF1065" s="0"/>
      <c r="GG1065" s="0"/>
      <c r="GH1065" s="0"/>
      <c r="GI1065" s="0"/>
      <c r="GJ1065" s="0"/>
      <c r="GK1065" s="0"/>
      <c r="GL1065" s="0"/>
      <c r="GM1065" s="0"/>
      <c r="GN1065" s="0"/>
      <c r="GO1065" s="0"/>
      <c r="GP1065" s="0"/>
      <c r="GQ1065" s="0"/>
      <c r="GR1065" s="0"/>
      <c r="GS1065" s="0"/>
      <c r="GT1065" s="0"/>
      <c r="GU1065" s="0"/>
      <c r="GV1065" s="0"/>
      <c r="GW1065" s="0"/>
      <c r="GX1065" s="0"/>
      <c r="GY1065" s="0"/>
      <c r="GZ1065" s="0"/>
      <c r="HA1065" s="0"/>
      <c r="HB1065" s="0"/>
      <c r="HC1065" s="0"/>
      <c r="HD1065" s="0"/>
      <c r="HE1065" s="0"/>
      <c r="HF1065" s="0"/>
      <c r="HG1065" s="0"/>
      <c r="HH1065" s="0"/>
      <c r="HI1065" s="0"/>
      <c r="HJ1065" s="0"/>
      <c r="HK1065" s="0"/>
      <c r="HL1065" s="0"/>
      <c r="HM1065" s="0"/>
      <c r="HN1065" s="0"/>
      <c r="HO1065" s="0"/>
      <c r="HP1065" s="0"/>
      <c r="HQ1065" s="0"/>
      <c r="HR1065" s="0"/>
      <c r="HS1065" s="0"/>
      <c r="HT1065" s="0"/>
      <c r="HU1065" s="0"/>
      <c r="HV1065" s="0"/>
      <c r="HW1065" s="0"/>
      <c r="HX1065" s="0"/>
      <c r="HY1065" s="0"/>
      <c r="HZ1065" s="0"/>
      <c r="IA1065" s="0"/>
      <c r="IB1065" s="0"/>
      <c r="IC1065" s="0"/>
      <c r="ID1065" s="0"/>
      <c r="IE1065" s="0"/>
      <c r="IF1065" s="0"/>
      <c r="IG1065" s="0"/>
      <c r="IH1065" s="0"/>
      <c r="II1065" s="0"/>
      <c r="IJ1065" s="0"/>
      <c r="IK1065" s="0"/>
      <c r="IL1065" s="0"/>
      <c r="IM1065" s="0"/>
      <c r="IN1065" s="0"/>
      <c r="IO1065" s="0"/>
      <c r="IP1065" s="0"/>
      <c r="IQ1065" s="0"/>
      <c r="IR1065" s="0"/>
      <c r="IS1065" s="0"/>
      <c r="IT1065" s="0"/>
      <c r="IU1065" s="0"/>
      <c r="IV1065" s="0"/>
    </row>
    <row r="1066" s="55" customFormat="true" ht="15.75" hidden="false" customHeight="true" outlineLevel="0" collapsed="false">
      <c r="L1066" s="877"/>
      <c r="M1066" s="11"/>
      <c r="N1066" s="11"/>
      <c r="O1066" s="11"/>
      <c r="P1066" s="11"/>
      <c r="Q1066" s="11"/>
      <c r="R1066" s="11"/>
      <c r="S1066" s="11"/>
    </row>
    <row r="1067" s="55" customFormat="true" ht="15.75" hidden="false" customHeight="true" outlineLevel="0" collapsed="false">
      <c r="A1067" s="14"/>
      <c r="G1067" s="537"/>
      <c r="J1067" s="620"/>
      <c r="L1067" s="877"/>
    </row>
    <row r="1068" s="55" customFormat="true" ht="15.75" hidden="false" customHeight="true" outlineLevel="0" collapsed="false">
      <c r="A1068" s="14" t="s">
        <v>1708</v>
      </c>
      <c r="B1068" s="11"/>
      <c r="C1068" s="11"/>
      <c r="E1068" s="11"/>
      <c r="G1068" s="950" t="s">
        <v>1706</v>
      </c>
      <c r="H1068" s="15" t="s">
        <v>803</v>
      </c>
      <c r="I1068" s="1258"/>
      <c r="J1068" s="1258"/>
      <c r="K1068" s="1258"/>
      <c r="L1068" s="877"/>
      <c r="M1068" s="11"/>
      <c r="N1068" s="11"/>
      <c r="O1068" s="11"/>
      <c r="P1068" s="11"/>
      <c r="Q1068" s="11"/>
      <c r="R1068" s="11"/>
      <c r="S1068" s="11"/>
    </row>
    <row r="1069" customFormat="false" ht="15.75" hidden="false" customHeight="true" outlineLevel="0" collapsed="false">
      <c r="A1069" s="55"/>
      <c r="B1069" s="55"/>
      <c r="C1069" s="55"/>
      <c r="D1069" s="55"/>
      <c r="E1069" s="55"/>
      <c r="F1069" s="55"/>
      <c r="G1069" s="55"/>
      <c r="H1069" s="55"/>
      <c r="I1069" s="55"/>
      <c r="J1069" s="55"/>
      <c r="K1069" s="903"/>
      <c r="L1069" s="877"/>
      <c r="M1069" s="0"/>
      <c r="N1069" s="0"/>
      <c r="O1069" s="0"/>
      <c r="P1069" s="0"/>
      <c r="Q1069" s="0"/>
      <c r="R1069" s="0"/>
      <c r="S1069" s="0"/>
      <c r="T1069" s="0"/>
      <c r="U1069" s="0"/>
      <c r="V1069" s="0"/>
      <c r="W1069" s="0"/>
      <c r="X1069" s="0"/>
      <c r="Y1069" s="0"/>
      <c r="Z1069" s="0"/>
      <c r="AA1069" s="0"/>
      <c r="AB1069" s="0"/>
      <c r="AC1069" s="0"/>
      <c r="AD1069" s="0"/>
      <c r="AE1069" s="0"/>
      <c r="AF1069" s="0"/>
      <c r="AG1069" s="0"/>
      <c r="AH1069" s="0"/>
      <c r="AI1069" s="0"/>
      <c r="AJ1069" s="0"/>
      <c r="AK1069" s="0"/>
      <c r="AL1069" s="0"/>
      <c r="AM1069" s="0"/>
      <c r="AN1069" s="0"/>
      <c r="AO1069" s="0"/>
      <c r="AP1069" s="0"/>
      <c r="AQ1069" s="0"/>
      <c r="AR1069" s="0"/>
      <c r="AS1069" s="0"/>
      <c r="AT1069" s="0"/>
      <c r="AU1069" s="0"/>
      <c r="AV1069" s="0"/>
      <c r="AW1069" s="0"/>
      <c r="AX1069" s="0"/>
      <c r="AY1069" s="0"/>
      <c r="AZ1069" s="0"/>
      <c r="BA1069" s="0"/>
      <c r="BB1069" s="0"/>
      <c r="BC1069" s="0"/>
      <c r="BD1069" s="0"/>
      <c r="BE1069" s="0"/>
      <c r="BF1069" s="0"/>
      <c r="BG1069" s="0"/>
      <c r="BH1069" s="0"/>
      <c r="BI1069" s="0"/>
      <c r="BJ1069" s="0"/>
      <c r="BK1069" s="0"/>
      <c r="BL1069" s="0"/>
      <c r="BM1069" s="0"/>
      <c r="BN1069" s="0"/>
      <c r="BO1069" s="0"/>
      <c r="BP1069" s="0"/>
      <c r="BQ1069" s="0"/>
      <c r="BR1069" s="0"/>
      <c r="BS1069" s="0"/>
      <c r="BT1069" s="0"/>
      <c r="BU1069" s="0"/>
      <c r="BV1069" s="0"/>
      <c r="BW1069" s="0"/>
      <c r="BX1069" s="0"/>
      <c r="BY1069" s="0"/>
      <c r="BZ1069" s="0"/>
      <c r="CA1069" s="0"/>
      <c r="CB1069" s="0"/>
      <c r="CC1069" s="0"/>
      <c r="CD1069" s="0"/>
      <c r="CE1069" s="0"/>
      <c r="CF1069" s="0"/>
      <c r="CG1069" s="0"/>
      <c r="CH1069" s="0"/>
      <c r="CI1069" s="0"/>
      <c r="CJ1069" s="0"/>
      <c r="CK1069" s="0"/>
      <c r="CL1069" s="0"/>
      <c r="CM1069" s="0"/>
      <c r="CN1069" s="0"/>
      <c r="CO1069" s="0"/>
      <c r="CP1069" s="0"/>
      <c r="CQ1069" s="0"/>
      <c r="CR1069" s="0"/>
      <c r="CS1069" s="0"/>
      <c r="CT1069" s="0"/>
      <c r="CU1069" s="0"/>
      <c r="CV1069" s="0"/>
      <c r="CW1069" s="0"/>
      <c r="CX1069" s="0"/>
      <c r="CY1069" s="0"/>
      <c r="CZ1069" s="0"/>
      <c r="DA1069" s="0"/>
      <c r="DB1069" s="0"/>
      <c r="DC1069" s="0"/>
      <c r="DD1069" s="0"/>
      <c r="DE1069" s="0"/>
      <c r="DF1069" s="0"/>
      <c r="DG1069" s="0"/>
      <c r="DH1069" s="0"/>
      <c r="DI1069" s="0"/>
      <c r="DJ1069" s="0"/>
      <c r="DK1069" s="0"/>
      <c r="DL1069" s="0"/>
      <c r="DM1069" s="0"/>
      <c r="DN1069" s="0"/>
      <c r="DO1069" s="0"/>
      <c r="DP1069" s="0"/>
      <c r="DQ1069" s="0"/>
      <c r="DR1069" s="0"/>
      <c r="DS1069" s="0"/>
      <c r="DT1069" s="0"/>
      <c r="DU1069" s="0"/>
      <c r="DV1069" s="0"/>
      <c r="DW1069" s="0"/>
      <c r="DX1069" s="0"/>
      <c r="DY1069" s="0"/>
      <c r="DZ1069" s="0"/>
      <c r="EA1069" s="0"/>
      <c r="EB1069" s="0"/>
      <c r="EC1069" s="0"/>
      <c r="ED1069" s="0"/>
      <c r="EE1069" s="0"/>
      <c r="EF1069" s="0"/>
      <c r="EG1069" s="0"/>
      <c r="EH1069" s="0"/>
      <c r="EI1069" s="0"/>
      <c r="EJ1069" s="0"/>
      <c r="EK1069" s="0"/>
      <c r="EL1069" s="0"/>
      <c r="EM1069" s="0"/>
      <c r="EN1069" s="0"/>
      <c r="EO1069" s="0"/>
      <c r="EP1069" s="0"/>
      <c r="EQ1069" s="0"/>
      <c r="ER1069" s="0"/>
      <c r="ES1069" s="0"/>
      <c r="ET1069" s="0"/>
      <c r="EU1069" s="0"/>
      <c r="EV1069" s="0"/>
      <c r="EW1069" s="0"/>
      <c r="EX1069" s="0"/>
      <c r="EY1069" s="0"/>
      <c r="EZ1069" s="0"/>
      <c r="FA1069" s="0"/>
      <c r="FB1069" s="0"/>
      <c r="FC1069" s="0"/>
      <c r="FD1069" s="0"/>
      <c r="FE1069" s="0"/>
      <c r="FF1069" s="0"/>
      <c r="FG1069" s="0"/>
      <c r="FH1069" s="0"/>
      <c r="FI1069" s="0"/>
      <c r="FJ1069" s="0"/>
      <c r="FK1069" s="0"/>
      <c r="FL1069" s="0"/>
      <c r="FM1069" s="0"/>
      <c r="FN1069" s="0"/>
      <c r="FO1069" s="0"/>
      <c r="FP1069" s="0"/>
      <c r="FQ1069" s="0"/>
      <c r="FR1069" s="0"/>
      <c r="FS1069" s="0"/>
      <c r="FT1069" s="0"/>
      <c r="FU1069" s="0"/>
      <c r="FV1069" s="0"/>
      <c r="FW1069" s="0"/>
      <c r="FX1069" s="0"/>
      <c r="FY1069" s="0"/>
      <c r="FZ1069" s="0"/>
      <c r="GA1069" s="0"/>
      <c r="GB1069" s="0"/>
      <c r="GC1069" s="0"/>
      <c r="GD1069" s="0"/>
      <c r="GE1069" s="0"/>
      <c r="GF1069" s="0"/>
      <c r="GG1069" s="0"/>
      <c r="GH1069" s="0"/>
      <c r="GI1069" s="0"/>
      <c r="GJ1069" s="0"/>
      <c r="GK1069" s="0"/>
      <c r="GL1069" s="0"/>
      <c r="GM1069" s="0"/>
      <c r="GN1069" s="0"/>
      <c r="GO1069" s="0"/>
      <c r="GP1069" s="0"/>
      <c r="GQ1069" s="0"/>
      <c r="GR1069" s="0"/>
      <c r="GS1069" s="0"/>
      <c r="GT1069" s="0"/>
      <c r="GU1069" s="0"/>
      <c r="GV1069" s="0"/>
      <c r="GW1069" s="0"/>
      <c r="GX1069" s="0"/>
      <c r="GY1069" s="0"/>
      <c r="GZ1069" s="0"/>
      <c r="HA1069" s="0"/>
      <c r="HB1069" s="0"/>
      <c r="HC1069" s="0"/>
      <c r="HD1069" s="0"/>
      <c r="HE1069" s="0"/>
      <c r="HF1069" s="0"/>
      <c r="HG1069" s="0"/>
      <c r="HH1069" s="0"/>
      <c r="HI1069" s="0"/>
      <c r="HJ1069" s="0"/>
      <c r="HK1069" s="0"/>
      <c r="HL1069" s="0"/>
      <c r="HM1069" s="0"/>
      <c r="HN1069" s="0"/>
      <c r="HO1069" s="0"/>
      <c r="HP1069" s="0"/>
      <c r="HQ1069" s="0"/>
      <c r="HR1069" s="0"/>
      <c r="HS1069" s="0"/>
      <c r="HT1069" s="0"/>
      <c r="HU1069" s="0"/>
      <c r="HV1069" s="0"/>
      <c r="HW1069" s="0"/>
      <c r="HX1069" s="0"/>
      <c r="HY1069" s="0"/>
      <c r="HZ1069" s="0"/>
      <c r="IA1069" s="0"/>
      <c r="IB1069" s="0"/>
      <c r="IC1069" s="0"/>
      <c r="ID1069" s="0"/>
      <c r="IE1069" s="0"/>
      <c r="IF1069" s="0"/>
      <c r="IG1069" s="0"/>
      <c r="IH1069" s="0"/>
      <c r="II1069" s="0"/>
      <c r="IJ1069" s="0"/>
      <c r="IK1069" s="0"/>
      <c r="IL1069" s="0"/>
      <c r="IM1069" s="0"/>
      <c r="IN1069" s="0"/>
      <c r="IO1069" s="0"/>
      <c r="IP1069" s="0"/>
      <c r="IQ1069" s="0"/>
      <c r="IR1069" s="0"/>
      <c r="IS1069" s="0"/>
      <c r="IT1069" s="0"/>
      <c r="IU1069" s="0"/>
      <c r="IV1069" s="0"/>
    </row>
    <row r="1070" customFormat="false" ht="15.75" hidden="false" customHeight="true" outlineLevel="0" collapsed="false">
      <c r="A1070" s="0"/>
      <c r="B1070" s="0"/>
      <c r="C1070" s="0"/>
      <c r="D1070" s="0"/>
      <c r="E1070" s="0"/>
      <c r="F1070" s="0"/>
      <c r="G1070" s="1312"/>
      <c r="H1070" s="0"/>
      <c r="I1070" s="0"/>
      <c r="J1070" s="0"/>
      <c r="K1070" s="903"/>
      <c r="L1070" s="877"/>
      <c r="M1070" s="0"/>
      <c r="N1070" s="0"/>
      <c r="O1070" s="0"/>
      <c r="P1070" s="0"/>
      <c r="Q1070" s="0"/>
      <c r="R1070" s="0"/>
      <c r="S1070" s="0"/>
      <c r="T1070" s="0"/>
      <c r="U1070" s="0"/>
      <c r="V1070" s="0"/>
      <c r="W1070" s="0"/>
      <c r="X1070" s="0"/>
      <c r="Y1070" s="0"/>
      <c r="Z1070" s="0"/>
      <c r="AA1070" s="0"/>
      <c r="AB1070" s="0"/>
      <c r="AC1070" s="0"/>
      <c r="AD1070" s="0"/>
      <c r="AE1070" s="0"/>
      <c r="AF1070" s="0"/>
      <c r="AG1070" s="0"/>
      <c r="AH1070" s="0"/>
      <c r="AI1070" s="0"/>
      <c r="AJ1070" s="0"/>
      <c r="AK1070" s="0"/>
      <c r="AL1070" s="0"/>
      <c r="AM1070" s="0"/>
      <c r="AN1070" s="0"/>
      <c r="AO1070" s="0"/>
      <c r="AP1070" s="0"/>
      <c r="AQ1070" s="0"/>
      <c r="AR1070" s="0"/>
      <c r="AS1070" s="0"/>
      <c r="AT1070" s="0"/>
      <c r="AU1070" s="0"/>
      <c r="AV1070" s="0"/>
      <c r="AW1070" s="0"/>
      <c r="AX1070" s="0"/>
      <c r="AY1070" s="0"/>
      <c r="AZ1070" s="0"/>
      <c r="BA1070" s="0"/>
      <c r="BB1070" s="0"/>
      <c r="BC1070" s="0"/>
      <c r="BD1070" s="0"/>
      <c r="BE1070" s="0"/>
      <c r="BF1070" s="0"/>
      <c r="BG1070" s="0"/>
      <c r="BH1070" s="0"/>
      <c r="BI1070" s="0"/>
      <c r="BJ1070" s="0"/>
      <c r="BK1070" s="0"/>
      <c r="BL1070" s="0"/>
      <c r="BM1070" s="0"/>
      <c r="BN1070" s="0"/>
      <c r="BO1070" s="0"/>
      <c r="BP1070" s="0"/>
      <c r="BQ1070" s="0"/>
      <c r="BR1070" s="0"/>
      <c r="BS1070" s="0"/>
      <c r="BT1070" s="0"/>
      <c r="BU1070" s="0"/>
      <c r="BV1070" s="0"/>
      <c r="BW1070" s="0"/>
      <c r="BX1070" s="0"/>
      <c r="BY1070" s="0"/>
      <c r="BZ1070" s="0"/>
      <c r="CA1070" s="0"/>
      <c r="CB1070" s="0"/>
      <c r="CC1070" s="0"/>
      <c r="CD1070" s="0"/>
      <c r="CE1070" s="0"/>
      <c r="CF1070" s="0"/>
      <c r="CG1070" s="0"/>
      <c r="CH1070" s="0"/>
      <c r="CI1070" s="0"/>
      <c r="CJ1070" s="0"/>
      <c r="CK1070" s="0"/>
      <c r="CL1070" s="0"/>
      <c r="CM1070" s="0"/>
      <c r="CN1070" s="0"/>
      <c r="CO1070" s="0"/>
      <c r="CP1070" s="0"/>
      <c r="CQ1070" s="0"/>
      <c r="CR1070" s="0"/>
      <c r="CS1070" s="0"/>
      <c r="CT1070" s="0"/>
      <c r="CU1070" s="0"/>
      <c r="CV1070" s="0"/>
      <c r="CW1070" s="0"/>
      <c r="CX1070" s="0"/>
      <c r="CY1070" s="0"/>
      <c r="CZ1070" s="0"/>
      <c r="DA1070" s="0"/>
      <c r="DB1070" s="0"/>
      <c r="DC1070" s="0"/>
      <c r="DD1070" s="0"/>
      <c r="DE1070" s="0"/>
      <c r="DF1070" s="0"/>
      <c r="DG1070" s="0"/>
      <c r="DH1070" s="0"/>
      <c r="DI1070" s="0"/>
      <c r="DJ1070" s="0"/>
      <c r="DK1070" s="0"/>
      <c r="DL1070" s="0"/>
      <c r="DM1070" s="0"/>
      <c r="DN1070" s="0"/>
      <c r="DO1070" s="0"/>
      <c r="DP1070" s="0"/>
      <c r="DQ1070" s="0"/>
      <c r="DR1070" s="0"/>
      <c r="DS1070" s="0"/>
      <c r="DT1070" s="0"/>
      <c r="DU1070" s="0"/>
      <c r="DV1070" s="0"/>
      <c r="DW1070" s="0"/>
      <c r="DX1070" s="0"/>
      <c r="DY1070" s="0"/>
      <c r="DZ1070" s="0"/>
      <c r="EA1070" s="0"/>
      <c r="EB1070" s="0"/>
      <c r="EC1070" s="0"/>
      <c r="ED1070" s="0"/>
      <c r="EE1070" s="0"/>
      <c r="EF1070" s="0"/>
      <c r="EG1070" s="0"/>
      <c r="EH1070" s="0"/>
      <c r="EI1070" s="0"/>
      <c r="EJ1070" s="0"/>
      <c r="EK1070" s="0"/>
      <c r="EL1070" s="0"/>
      <c r="EM1070" s="0"/>
      <c r="EN1070" s="0"/>
      <c r="EO1070" s="0"/>
      <c r="EP1070" s="0"/>
      <c r="EQ1070" s="0"/>
      <c r="ER1070" s="0"/>
      <c r="ES1070" s="0"/>
      <c r="ET1070" s="0"/>
      <c r="EU1070" s="0"/>
      <c r="EV1070" s="0"/>
      <c r="EW1070" s="0"/>
      <c r="EX1070" s="0"/>
      <c r="EY1070" s="0"/>
      <c r="EZ1070" s="0"/>
      <c r="FA1070" s="0"/>
      <c r="FB1070" s="0"/>
      <c r="FC1070" s="0"/>
      <c r="FD1070" s="0"/>
      <c r="FE1070" s="0"/>
      <c r="FF1070" s="0"/>
      <c r="FG1070" s="0"/>
      <c r="FH1070" s="0"/>
      <c r="FI1070" s="0"/>
      <c r="FJ1070" s="0"/>
      <c r="FK1070" s="0"/>
      <c r="FL1070" s="0"/>
      <c r="FM1070" s="0"/>
      <c r="FN1070" s="0"/>
      <c r="FO1070" s="0"/>
      <c r="FP1070" s="0"/>
      <c r="FQ1070" s="0"/>
      <c r="FR1070" s="0"/>
      <c r="FS1070" s="0"/>
      <c r="FT1070" s="0"/>
      <c r="FU1070" s="0"/>
      <c r="FV1070" s="0"/>
      <c r="FW1070" s="0"/>
      <c r="FX1070" s="0"/>
      <c r="FY1070" s="0"/>
      <c r="FZ1070" s="0"/>
      <c r="GA1070" s="0"/>
      <c r="GB1070" s="0"/>
      <c r="GC1070" s="0"/>
      <c r="GD1070" s="0"/>
      <c r="GE1070" s="0"/>
      <c r="GF1070" s="0"/>
      <c r="GG1070" s="0"/>
      <c r="GH1070" s="0"/>
      <c r="GI1070" s="0"/>
      <c r="GJ1070" s="0"/>
      <c r="GK1070" s="0"/>
      <c r="GL1070" s="0"/>
      <c r="GM1070" s="0"/>
      <c r="GN1070" s="0"/>
      <c r="GO1070" s="0"/>
      <c r="GP1070" s="0"/>
      <c r="GQ1070" s="0"/>
      <c r="GR1070" s="0"/>
      <c r="GS1070" s="0"/>
      <c r="GT1070" s="0"/>
      <c r="GU1070" s="0"/>
      <c r="GV1070" s="0"/>
      <c r="GW1070" s="0"/>
      <c r="GX1070" s="0"/>
      <c r="GY1070" s="0"/>
      <c r="GZ1070" s="0"/>
      <c r="HA1070" s="0"/>
      <c r="HB1070" s="0"/>
      <c r="HC1070" s="0"/>
      <c r="HD1070" s="0"/>
      <c r="HE1070" s="0"/>
      <c r="HF1070" s="0"/>
      <c r="HG1070" s="0"/>
      <c r="HH1070" s="0"/>
      <c r="HI1070" s="0"/>
      <c r="HJ1070" s="0"/>
      <c r="HK1070" s="0"/>
      <c r="HL1070" s="0"/>
      <c r="HM1070" s="0"/>
      <c r="HN1070" s="0"/>
      <c r="HO1070" s="0"/>
      <c r="HP1070" s="0"/>
      <c r="HQ1070" s="0"/>
      <c r="HR1070" s="0"/>
      <c r="HS1070" s="0"/>
      <c r="HT1070" s="0"/>
      <c r="HU1070" s="0"/>
      <c r="HV1070" s="0"/>
      <c r="HW1070" s="0"/>
      <c r="HX1070" s="0"/>
      <c r="HY1070" s="0"/>
      <c r="HZ1070" s="0"/>
      <c r="IA1070" s="0"/>
      <c r="IB1070" s="0"/>
      <c r="IC1070" s="0"/>
      <c r="ID1070" s="0"/>
      <c r="IE1070" s="0"/>
      <c r="IF1070" s="0"/>
      <c r="IG1070" s="0"/>
      <c r="IH1070" s="0"/>
      <c r="II1070" s="0"/>
      <c r="IJ1070" s="0"/>
      <c r="IK1070" s="0"/>
      <c r="IL1070" s="0"/>
      <c r="IM1070" s="0"/>
      <c r="IN1070" s="0"/>
      <c r="IO1070" s="0"/>
      <c r="IP1070" s="0"/>
      <c r="IQ1070" s="0"/>
      <c r="IR1070" s="0"/>
      <c r="IS1070" s="0"/>
      <c r="IT1070" s="0"/>
      <c r="IU1070" s="0"/>
      <c r="IV1070" s="0"/>
    </row>
    <row r="1071" customFormat="false" ht="15.75" hidden="false" customHeight="true" outlineLevel="0" collapsed="false">
      <c r="A1071" s="14" t="s">
        <v>1709</v>
      </c>
      <c r="B1071" s="19"/>
      <c r="C1071" s="19"/>
      <c r="D1071" s="19"/>
      <c r="E1071" s="935"/>
      <c r="G1071" s="902" t="s">
        <v>254</v>
      </c>
      <c r="H1071" s="935"/>
      <c r="I1071" s="19"/>
      <c r="J1071" s="11"/>
      <c r="K1071" s="903"/>
      <c r="L1071" s="877"/>
    </row>
    <row r="1072" customFormat="false" ht="15.75" hidden="false" customHeight="true" outlineLevel="0" collapsed="false">
      <c r="A1072" s="0"/>
      <c r="B1072" s="0"/>
      <c r="C1072" s="0"/>
      <c r="D1072" s="0"/>
      <c r="E1072" s="0"/>
      <c r="F1072" s="0"/>
      <c r="G1072" s="1312"/>
      <c r="H1072" s="0"/>
      <c r="I1072" s="0"/>
      <c r="K1072" s="903"/>
      <c r="L1072" s="877"/>
    </row>
    <row r="1073" customFormat="false" ht="15.75" hidden="false" customHeight="true" outlineLevel="0" collapsed="false">
      <c r="A1073" s="1313" t="s">
        <v>796</v>
      </c>
      <c r="D1073" s="950" t="s">
        <v>254</v>
      </c>
      <c r="E1073" s="15" t="s">
        <v>1639</v>
      </c>
      <c r="F1073" s="1258"/>
      <c r="G1073" s="1258"/>
      <c r="H1073" s="1258"/>
    </row>
    <row r="1074" customFormat="false" ht="15.75" hidden="false" customHeight="true" outlineLevel="0" collapsed="false">
      <c r="A1074" s="0"/>
      <c r="B1074" s="0"/>
      <c r="C1074" s="0"/>
      <c r="D1074" s="0"/>
      <c r="E1074" s="0"/>
      <c r="F1074" s="0"/>
      <c r="G1074" s="0"/>
      <c r="H1074" s="0"/>
      <c r="I1074" s="0"/>
      <c r="K1074" s="903"/>
      <c r="L1074" s="877"/>
      <c r="M1074" s="0"/>
      <c r="N1074" s="0"/>
      <c r="O1074" s="0"/>
      <c r="P1074" s="0"/>
      <c r="Q1074" s="0"/>
      <c r="R1074" s="0"/>
      <c r="S1074" s="0"/>
      <c r="T1074" s="0"/>
      <c r="U1074" s="0"/>
      <c r="V1074" s="0"/>
      <c r="W1074" s="0"/>
      <c r="X1074" s="0"/>
      <c r="Y1074" s="0"/>
      <c r="Z1074" s="0"/>
      <c r="AA1074" s="0"/>
      <c r="AB1074" s="0"/>
      <c r="AC1074" s="0"/>
      <c r="AD1074" s="0"/>
      <c r="AE1074" s="0"/>
      <c r="AF1074" s="0"/>
      <c r="AG1074" s="0"/>
      <c r="AH1074" s="0"/>
      <c r="AI1074" s="0"/>
      <c r="AJ1074" s="0"/>
      <c r="AK1074" s="0"/>
      <c r="AL1074" s="0"/>
      <c r="AM1074" s="0"/>
      <c r="AN1074" s="0"/>
      <c r="AO1074" s="0"/>
      <c r="AP1074" s="0"/>
      <c r="AQ1074" s="0"/>
      <c r="AR1074" s="0"/>
      <c r="AS1074" s="0"/>
      <c r="AT1074" s="0"/>
      <c r="AU1074" s="0"/>
      <c r="AV1074" s="0"/>
      <c r="AW1074" s="0"/>
      <c r="AX1074" s="0"/>
      <c r="AY1074" s="0"/>
      <c r="AZ1074" s="0"/>
      <c r="BA1074" s="0"/>
      <c r="BB1074" s="0"/>
      <c r="BC1074" s="0"/>
      <c r="BD1074" s="0"/>
      <c r="BE1074" s="0"/>
      <c r="BF1074" s="0"/>
      <c r="BG1074" s="0"/>
      <c r="BH1074" s="0"/>
      <c r="BI1074" s="0"/>
      <c r="BJ1074" s="0"/>
      <c r="BK1074" s="0"/>
      <c r="BL1074" s="0"/>
      <c r="BM1074" s="0"/>
      <c r="BN1074" s="0"/>
      <c r="BO1074" s="0"/>
      <c r="BP1074" s="0"/>
      <c r="BQ1074" s="0"/>
      <c r="BR1074" s="0"/>
      <c r="BS1074" s="0"/>
      <c r="BT1074" s="0"/>
      <c r="BU1074" s="0"/>
      <c r="BV1074" s="0"/>
      <c r="BW1074" s="0"/>
      <c r="BX1074" s="0"/>
      <c r="BY1074" s="0"/>
      <c r="BZ1074" s="0"/>
      <c r="CA1074" s="0"/>
      <c r="CB1074" s="0"/>
      <c r="CC1074" s="0"/>
      <c r="CD1074" s="0"/>
      <c r="CE1074" s="0"/>
      <c r="CF1074" s="0"/>
      <c r="CG1074" s="0"/>
      <c r="CH1074" s="0"/>
      <c r="CI1074" s="0"/>
      <c r="CJ1074" s="0"/>
      <c r="CK1074" s="0"/>
      <c r="CL1074" s="0"/>
      <c r="CM1074" s="0"/>
      <c r="CN1074" s="0"/>
      <c r="CO1074" s="0"/>
      <c r="CP1074" s="0"/>
      <c r="CQ1074" s="0"/>
      <c r="CR1074" s="0"/>
      <c r="CS1074" s="0"/>
      <c r="CT1074" s="0"/>
      <c r="CU1074" s="0"/>
      <c r="CV1074" s="0"/>
      <c r="CW1074" s="0"/>
      <c r="CX1074" s="0"/>
      <c r="CY1074" s="0"/>
      <c r="CZ1074" s="0"/>
      <c r="DA1074" s="0"/>
      <c r="DB1074" s="0"/>
      <c r="DC1074" s="0"/>
      <c r="DD1074" s="0"/>
      <c r="DE1074" s="0"/>
      <c r="DF1074" s="0"/>
      <c r="DG1074" s="0"/>
      <c r="DH1074" s="0"/>
      <c r="DI1074" s="0"/>
      <c r="DJ1074" s="0"/>
      <c r="DK1074" s="0"/>
      <c r="DL1074" s="0"/>
      <c r="DM1074" s="0"/>
      <c r="DN1074" s="0"/>
      <c r="DO1074" s="0"/>
      <c r="DP1074" s="0"/>
      <c r="DQ1074" s="0"/>
      <c r="DR1074" s="0"/>
      <c r="DS1074" s="0"/>
      <c r="DT1074" s="0"/>
      <c r="DU1074" s="0"/>
      <c r="DV1074" s="0"/>
      <c r="DW1074" s="0"/>
      <c r="DX1074" s="0"/>
      <c r="DY1074" s="0"/>
      <c r="DZ1074" s="0"/>
      <c r="EA1074" s="0"/>
      <c r="EB1074" s="0"/>
      <c r="EC1074" s="0"/>
      <c r="ED1074" s="0"/>
      <c r="EE1074" s="0"/>
      <c r="EF1074" s="0"/>
      <c r="EG1074" s="0"/>
      <c r="EH1074" s="0"/>
      <c r="EI1074" s="0"/>
      <c r="EJ1074" s="0"/>
      <c r="EK1074" s="0"/>
      <c r="EL1074" s="0"/>
      <c r="EM1074" s="0"/>
      <c r="EN1074" s="0"/>
      <c r="EO1074" s="0"/>
      <c r="EP1074" s="0"/>
      <c r="EQ1074" s="0"/>
      <c r="ER1074" s="0"/>
      <c r="ES1074" s="0"/>
      <c r="ET1074" s="0"/>
      <c r="EU1074" s="0"/>
      <c r="EV1074" s="0"/>
      <c r="EW1074" s="0"/>
      <c r="EX1074" s="0"/>
      <c r="EY1074" s="0"/>
      <c r="EZ1074" s="0"/>
      <c r="FA1074" s="0"/>
      <c r="FB1074" s="0"/>
      <c r="FC1074" s="0"/>
      <c r="FD1074" s="0"/>
      <c r="FE1074" s="0"/>
      <c r="FF1074" s="0"/>
      <c r="FG1074" s="0"/>
      <c r="FH1074" s="0"/>
      <c r="FI1074" s="0"/>
      <c r="FJ1074" s="0"/>
      <c r="FK1074" s="0"/>
      <c r="FL1074" s="0"/>
      <c r="FM1074" s="0"/>
      <c r="FN1074" s="0"/>
      <c r="FO1074" s="0"/>
      <c r="FP1074" s="0"/>
      <c r="FQ1074" s="0"/>
      <c r="FR1074" s="0"/>
      <c r="FS1074" s="0"/>
      <c r="FT1074" s="0"/>
      <c r="FU1074" s="0"/>
      <c r="FV1074" s="0"/>
      <c r="FW1074" s="0"/>
      <c r="FX1074" s="0"/>
      <c r="FY1074" s="0"/>
      <c r="FZ1074" s="0"/>
      <c r="GA1074" s="0"/>
      <c r="GB1074" s="0"/>
      <c r="GC1074" s="0"/>
      <c r="GD1074" s="0"/>
      <c r="GE1074" s="0"/>
      <c r="GF1074" s="0"/>
      <c r="GG1074" s="0"/>
      <c r="GH1074" s="0"/>
      <c r="GI1074" s="0"/>
      <c r="GJ1074" s="0"/>
      <c r="GK1074" s="0"/>
      <c r="GL1074" s="0"/>
      <c r="GM1074" s="0"/>
      <c r="GN1074" s="0"/>
      <c r="GO1074" s="0"/>
      <c r="GP1074" s="0"/>
      <c r="GQ1074" s="0"/>
      <c r="GR1074" s="0"/>
      <c r="GS1074" s="0"/>
      <c r="GT1074" s="0"/>
      <c r="GU1074" s="0"/>
      <c r="GV1074" s="0"/>
      <c r="GW1074" s="0"/>
      <c r="GX1074" s="0"/>
      <c r="GY1074" s="0"/>
      <c r="GZ1074" s="0"/>
      <c r="HA1074" s="0"/>
      <c r="HB1074" s="0"/>
      <c r="HC1074" s="0"/>
      <c r="HD1074" s="0"/>
      <c r="HE1074" s="0"/>
      <c r="HF1074" s="0"/>
      <c r="HG1074" s="0"/>
      <c r="HH1074" s="0"/>
      <c r="HI1074" s="0"/>
      <c r="HJ1074" s="0"/>
      <c r="HK1074" s="0"/>
      <c r="HL1074" s="0"/>
      <c r="HM1074" s="0"/>
      <c r="HN1074" s="0"/>
      <c r="HO1074" s="0"/>
      <c r="HP1074" s="0"/>
      <c r="HQ1074" s="0"/>
      <c r="HR1074" s="0"/>
      <c r="HS1074" s="0"/>
      <c r="HT1074" s="0"/>
      <c r="HU1074" s="0"/>
      <c r="HV1074" s="0"/>
      <c r="HW1074" s="0"/>
      <c r="HX1074" s="0"/>
      <c r="HY1074" s="0"/>
      <c r="HZ1074" s="0"/>
      <c r="IA1074" s="0"/>
      <c r="IB1074" s="0"/>
      <c r="IC1074" s="0"/>
      <c r="ID1074" s="0"/>
      <c r="IE1074" s="0"/>
      <c r="IF1074" s="0"/>
      <c r="IG1074" s="0"/>
      <c r="IH1074" s="0"/>
      <c r="II1074" s="0"/>
      <c r="IJ1074" s="0"/>
      <c r="IK1074" s="0"/>
      <c r="IL1074" s="0"/>
      <c r="IM1074" s="0"/>
      <c r="IN1074" s="0"/>
      <c r="IO1074" s="0"/>
      <c r="IP1074" s="0"/>
      <c r="IQ1074" s="0"/>
      <c r="IR1074" s="0"/>
      <c r="IS1074" s="0"/>
      <c r="IT1074" s="0"/>
      <c r="IU1074" s="0"/>
      <c r="IV1074" s="0"/>
    </row>
    <row r="1075" customFormat="false" ht="15.75" hidden="false" customHeight="true" outlineLevel="0" collapsed="false">
      <c r="A1075" s="14" t="s">
        <v>798</v>
      </c>
      <c r="C1075" s="950" t="s">
        <v>254</v>
      </c>
      <c r="D1075" s="1314" t="s">
        <v>1710</v>
      </c>
      <c r="E1075" s="1314"/>
      <c r="F1075" s="1314"/>
      <c r="G1075" s="1258"/>
      <c r="H1075" s="1258"/>
      <c r="I1075" s="1258"/>
      <c r="J1075" s="1258"/>
      <c r="K1075" s="903"/>
      <c r="L1075" s="877"/>
      <c r="M1075" s="0"/>
      <c r="T1075" s="0"/>
      <c r="U1075" s="0"/>
      <c r="V1075" s="0"/>
      <c r="W1075" s="0"/>
      <c r="X1075" s="0"/>
      <c r="Y1075" s="0"/>
      <c r="Z1075" s="0"/>
      <c r="AA1075" s="0"/>
      <c r="AB1075" s="0"/>
      <c r="AC1075" s="0"/>
      <c r="AD1075" s="0"/>
      <c r="AE1075" s="0"/>
      <c r="AF1075" s="0"/>
      <c r="AG1075" s="0"/>
      <c r="AH1075" s="0"/>
      <c r="AI1075" s="0"/>
      <c r="AJ1075" s="0"/>
      <c r="AK1075" s="0"/>
      <c r="AL1075" s="0"/>
      <c r="AM1075" s="0"/>
      <c r="AN1075" s="0"/>
      <c r="AO1075" s="0"/>
      <c r="AP1075" s="0"/>
      <c r="AQ1075" s="0"/>
      <c r="AR1075" s="0"/>
      <c r="AS1075" s="0"/>
      <c r="AT1075" s="0"/>
      <c r="AU1075" s="0"/>
      <c r="AV1075" s="0"/>
      <c r="AW1075" s="0"/>
      <c r="AX1075" s="0"/>
      <c r="AY1075" s="0"/>
      <c r="AZ1075" s="0"/>
      <c r="BA1075" s="0"/>
      <c r="BB1075" s="0"/>
      <c r="BC1075" s="0"/>
      <c r="BD1075" s="0"/>
      <c r="BE1075" s="0"/>
      <c r="BF1075" s="0"/>
      <c r="BG1075" s="0"/>
      <c r="BH1075" s="0"/>
      <c r="BI1075" s="0"/>
      <c r="BJ1075" s="0"/>
      <c r="BK1075" s="0"/>
      <c r="BL1075" s="0"/>
      <c r="BM1075" s="0"/>
      <c r="BN1075" s="0"/>
      <c r="BO1075" s="0"/>
      <c r="BP1075" s="0"/>
      <c r="BQ1075" s="0"/>
      <c r="BR1075" s="0"/>
      <c r="BS1075" s="0"/>
      <c r="BT1075" s="0"/>
      <c r="BU1075" s="0"/>
      <c r="BV1075" s="0"/>
      <c r="BW1075" s="0"/>
      <c r="BX1075" s="0"/>
      <c r="BY1075" s="0"/>
      <c r="BZ1075" s="0"/>
      <c r="CA1075" s="0"/>
      <c r="CB1075" s="0"/>
      <c r="CC1075" s="0"/>
      <c r="CD1075" s="0"/>
      <c r="CE1075" s="0"/>
      <c r="CF1075" s="0"/>
      <c r="CG1075" s="0"/>
      <c r="CH1075" s="0"/>
      <c r="CI1075" s="0"/>
      <c r="CJ1075" s="0"/>
      <c r="CK1075" s="0"/>
      <c r="CL1075" s="0"/>
      <c r="CM1075" s="0"/>
      <c r="CN1075" s="0"/>
      <c r="CO1075" s="0"/>
      <c r="CP1075" s="0"/>
      <c r="CQ1075" s="0"/>
      <c r="CR1075" s="0"/>
      <c r="CS1075" s="0"/>
      <c r="CT1075" s="0"/>
      <c r="CU1075" s="0"/>
      <c r="CV1075" s="0"/>
      <c r="CW1075" s="0"/>
      <c r="CX1075" s="0"/>
      <c r="CY1075" s="0"/>
      <c r="CZ1075" s="0"/>
      <c r="DA1075" s="0"/>
      <c r="DB1075" s="0"/>
      <c r="DC1075" s="0"/>
      <c r="DD1075" s="0"/>
      <c r="DE1075" s="0"/>
      <c r="DF1075" s="0"/>
      <c r="DG1075" s="0"/>
      <c r="DH1075" s="0"/>
      <c r="DI1075" s="0"/>
      <c r="DJ1075" s="0"/>
      <c r="DK1075" s="0"/>
      <c r="DL1075" s="0"/>
      <c r="DM1075" s="0"/>
      <c r="DN1075" s="0"/>
      <c r="DO1075" s="0"/>
      <c r="DP1075" s="0"/>
      <c r="DQ1075" s="0"/>
      <c r="DR1075" s="0"/>
      <c r="DS1075" s="0"/>
      <c r="DT1075" s="0"/>
      <c r="DU1075" s="0"/>
      <c r="DV1075" s="0"/>
      <c r="DW1075" s="0"/>
      <c r="DX1075" s="0"/>
      <c r="DY1075" s="0"/>
      <c r="DZ1075" s="0"/>
      <c r="EA1075" s="0"/>
      <c r="EB1075" s="0"/>
      <c r="EC1075" s="0"/>
      <c r="ED1075" s="0"/>
      <c r="EE1075" s="0"/>
      <c r="EF1075" s="0"/>
      <c r="EG1075" s="0"/>
      <c r="EH1075" s="0"/>
      <c r="EI1075" s="0"/>
      <c r="EJ1075" s="0"/>
      <c r="EK1075" s="0"/>
      <c r="EL1075" s="0"/>
      <c r="EM1075" s="0"/>
      <c r="EN1075" s="0"/>
      <c r="EO1075" s="0"/>
      <c r="EP1075" s="0"/>
      <c r="EQ1075" s="0"/>
      <c r="ER1075" s="0"/>
      <c r="ES1075" s="0"/>
      <c r="ET1075" s="0"/>
      <c r="EU1075" s="0"/>
      <c r="EV1075" s="0"/>
      <c r="EW1075" s="0"/>
      <c r="EX1075" s="0"/>
      <c r="EY1075" s="0"/>
      <c r="EZ1075" s="0"/>
      <c r="FA1075" s="0"/>
      <c r="FB1075" s="0"/>
      <c r="FC1075" s="0"/>
      <c r="FD1075" s="0"/>
      <c r="FE1075" s="0"/>
      <c r="FF1075" s="0"/>
      <c r="FG1075" s="0"/>
      <c r="FH1075" s="0"/>
      <c r="FI1075" s="0"/>
      <c r="FJ1075" s="0"/>
      <c r="FK1075" s="0"/>
      <c r="FL1075" s="0"/>
      <c r="FM1075" s="0"/>
      <c r="FN1075" s="0"/>
      <c r="FO1075" s="0"/>
      <c r="FP1075" s="0"/>
      <c r="FQ1075" s="0"/>
      <c r="FR1075" s="0"/>
      <c r="FS1075" s="0"/>
      <c r="FT1075" s="0"/>
      <c r="FU1075" s="0"/>
      <c r="FV1075" s="0"/>
      <c r="FW1075" s="0"/>
      <c r="FX1075" s="0"/>
      <c r="FY1075" s="0"/>
      <c r="FZ1075" s="0"/>
      <c r="GA1075" s="0"/>
      <c r="GB1075" s="0"/>
      <c r="GC1075" s="0"/>
      <c r="GD1075" s="0"/>
      <c r="GE1075" s="0"/>
      <c r="GF1075" s="0"/>
      <c r="GG1075" s="0"/>
      <c r="GH1075" s="0"/>
      <c r="GI1075" s="0"/>
      <c r="GJ1075" s="0"/>
      <c r="GK1075" s="0"/>
      <c r="GL1075" s="0"/>
      <c r="GM1075" s="0"/>
      <c r="GN1075" s="0"/>
      <c r="GO1075" s="0"/>
      <c r="GP1075" s="0"/>
      <c r="GQ1075" s="0"/>
      <c r="GR1075" s="0"/>
      <c r="GS1075" s="0"/>
      <c r="GT1075" s="0"/>
      <c r="GU1075" s="0"/>
      <c r="GV1075" s="0"/>
      <c r="GW1075" s="0"/>
      <c r="GX1075" s="0"/>
      <c r="GY1075" s="0"/>
      <c r="GZ1075" s="0"/>
      <c r="HA1075" s="0"/>
      <c r="HB1075" s="0"/>
      <c r="HC1075" s="0"/>
      <c r="HD1075" s="0"/>
      <c r="HE1075" s="0"/>
      <c r="HF1075" s="0"/>
      <c r="HG1075" s="0"/>
      <c r="HH1075" s="0"/>
      <c r="HI1075" s="0"/>
      <c r="HJ1075" s="0"/>
      <c r="HK1075" s="0"/>
      <c r="HL1075" s="0"/>
      <c r="HM1075" s="0"/>
      <c r="HN1075" s="0"/>
      <c r="HO1075" s="0"/>
      <c r="HP1075" s="0"/>
      <c r="HQ1075" s="0"/>
      <c r="HR1075" s="0"/>
      <c r="HS1075" s="0"/>
      <c r="HT1075" s="0"/>
      <c r="HU1075" s="0"/>
      <c r="HV1075" s="0"/>
      <c r="HW1075" s="0"/>
      <c r="HX1075" s="0"/>
      <c r="HY1075" s="0"/>
      <c r="HZ1075" s="0"/>
      <c r="IA1075" s="0"/>
      <c r="IB1075" s="0"/>
      <c r="IC1075" s="0"/>
      <c r="ID1075" s="0"/>
      <c r="IE1075" s="0"/>
      <c r="IF1075" s="0"/>
      <c r="IG1075" s="0"/>
      <c r="IH1075" s="0"/>
      <c r="II1075" s="0"/>
      <c r="IJ1075" s="0"/>
      <c r="IK1075" s="0"/>
      <c r="IL1075" s="0"/>
      <c r="IM1075" s="0"/>
      <c r="IN1075" s="0"/>
      <c r="IO1075" s="0"/>
      <c r="IP1075" s="0"/>
      <c r="IQ1075" s="0"/>
      <c r="IR1075" s="0"/>
      <c r="IS1075" s="0"/>
      <c r="IT1075" s="0"/>
      <c r="IU1075" s="0"/>
      <c r="IV1075" s="0"/>
    </row>
    <row r="1076" customFormat="false" ht="15.75" hidden="false" customHeight="true" outlineLevel="0" collapsed="false">
      <c r="A1076" s="1315"/>
      <c r="B1076" s="19"/>
      <c r="C1076" s="19"/>
      <c r="E1076" s="935"/>
      <c r="F1076" s="935"/>
      <c r="G1076" s="1316"/>
      <c r="J1076" s="11"/>
      <c r="K1076" s="903"/>
      <c r="L1076" s="877"/>
      <c r="M1076" s="0"/>
      <c r="N1076" s="0"/>
      <c r="O1076" s="0"/>
      <c r="P1076" s="0"/>
      <c r="Q1076" s="0"/>
      <c r="R1076" s="0"/>
      <c r="S1076" s="0"/>
      <c r="T1076" s="0"/>
      <c r="U1076" s="0"/>
      <c r="V1076" s="0"/>
      <c r="W1076" s="0"/>
      <c r="X1076" s="0"/>
      <c r="Y1076" s="0"/>
      <c r="Z1076" s="0"/>
      <c r="AA1076" s="0"/>
      <c r="AB1076" s="0"/>
      <c r="AC1076" s="0"/>
      <c r="AD1076" s="0"/>
      <c r="AE1076" s="0"/>
      <c r="AF1076" s="0"/>
      <c r="AG1076" s="0"/>
      <c r="AH1076" s="0"/>
      <c r="AI1076" s="0"/>
      <c r="AJ1076" s="0"/>
      <c r="AK1076" s="0"/>
      <c r="AL1076" s="0"/>
      <c r="AM1076" s="0"/>
      <c r="AN1076" s="0"/>
      <c r="AO1076" s="0"/>
      <c r="AP1076" s="0"/>
      <c r="AQ1076" s="0"/>
      <c r="AR1076" s="0"/>
      <c r="AS1076" s="0"/>
      <c r="AT1076" s="0"/>
      <c r="AU1076" s="0"/>
      <c r="AV1076" s="0"/>
      <c r="AW1076" s="0"/>
      <c r="AX1076" s="0"/>
      <c r="AY1076" s="0"/>
      <c r="AZ1076" s="0"/>
      <c r="BA1076" s="0"/>
      <c r="BB1076" s="0"/>
      <c r="BC1076" s="0"/>
      <c r="BD1076" s="0"/>
      <c r="BE1076" s="0"/>
      <c r="BF1076" s="0"/>
      <c r="BG1076" s="0"/>
      <c r="BH1076" s="0"/>
      <c r="BI1076" s="0"/>
      <c r="BJ1076" s="0"/>
      <c r="BK1076" s="0"/>
      <c r="BL1076" s="0"/>
      <c r="BM1076" s="0"/>
      <c r="BN1076" s="0"/>
      <c r="BO1076" s="0"/>
      <c r="BP1076" s="0"/>
      <c r="BQ1076" s="0"/>
      <c r="BR1076" s="0"/>
      <c r="BS1076" s="0"/>
      <c r="BT1076" s="0"/>
      <c r="BU1076" s="0"/>
      <c r="BV1076" s="0"/>
      <c r="BW1076" s="0"/>
      <c r="BX1076" s="0"/>
      <c r="BY1076" s="0"/>
      <c r="BZ1076" s="0"/>
      <c r="CA1076" s="0"/>
      <c r="CB1076" s="0"/>
      <c r="CC1076" s="0"/>
      <c r="CD1076" s="0"/>
      <c r="CE1076" s="0"/>
      <c r="CF1076" s="0"/>
      <c r="CG1076" s="0"/>
      <c r="CH1076" s="0"/>
      <c r="CI1076" s="0"/>
      <c r="CJ1076" s="0"/>
      <c r="CK1076" s="0"/>
      <c r="CL1076" s="0"/>
      <c r="CM1076" s="0"/>
      <c r="CN1076" s="0"/>
      <c r="CO1076" s="0"/>
      <c r="CP1076" s="0"/>
      <c r="CQ1076" s="0"/>
      <c r="CR1076" s="0"/>
      <c r="CS1076" s="0"/>
      <c r="CT1076" s="0"/>
      <c r="CU1076" s="0"/>
      <c r="CV1076" s="0"/>
      <c r="CW1076" s="0"/>
      <c r="CX1076" s="0"/>
      <c r="CY1076" s="0"/>
      <c r="CZ1076" s="0"/>
      <c r="DA1076" s="0"/>
      <c r="DB1076" s="0"/>
      <c r="DC1076" s="0"/>
      <c r="DD1076" s="0"/>
      <c r="DE1076" s="0"/>
      <c r="DF1076" s="0"/>
      <c r="DG1076" s="0"/>
      <c r="DH1076" s="0"/>
      <c r="DI1076" s="0"/>
      <c r="DJ1076" s="0"/>
      <c r="DK1076" s="0"/>
      <c r="DL1076" s="0"/>
      <c r="DM1076" s="0"/>
      <c r="DN1076" s="0"/>
      <c r="DO1076" s="0"/>
      <c r="DP1076" s="0"/>
      <c r="DQ1076" s="0"/>
      <c r="DR1076" s="0"/>
      <c r="DS1076" s="0"/>
      <c r="DT1076" s="0"/>
      <c r="DU1076" s="0"/>
      <c r="DV1076" s="0"/>
      <c r="DW1076" s="0"/>
      <c r="DX1076" s="0"/>
      <c r="DY1076" s="0"/>
      <c r="DZ1076" s="0"/>
      <c r="EA1076" s="0"/>
      <c r="EB1076" s="0"/>
      <c r="EC1076" s="0"/>
      <c r="ED1076" s="0"/>
      <c r="EE1076" s="0"/>
      <c r="EF1076" s="0"/>
      <c r="EG1076" s="0"/>
      <c r="EH1076" s="0"/>
      <c r="EI1076" s="0"/>
      <c r="EJ1076" s="0"/>
      <c r="EK1076" s="0"/>
      <c r="EL1076" s="0"/>
      <c r="EM1076" s="0"/>
      <c r="EN1076" s="0"/>
      <c r="EO1076" s="0"/>
      <c r="EP1076" s="0"/>
      <c r="EQ1076" s="0"/>
      <c r="ER1076" s="0"/>
      <c r="ES1076" s="0"/>
      <c r="ET1076" s="0"/>
      <c r="EU1076" s="0"/>
      <c r="EV1076" s="0"/>
      <c r="EW1076" s="0"/>
      <c r="EX1076" s="0"/>
      <c r="EY1076" s="0"/>
      <c r="EZ1076" s="0"/>
      <c r="FA1076" s="0"/>
      <c r="FB1076" s="0"/>
      <c r="FC1076" s="0"/>
      <c r="FD1076" s="0"/>
      <c r="FE1076" s="0"/>
      <c r="FF1076" s="0"/>
      <c r="FG1076" s="0"/>
      <c r="FH1076" s="0"/>
      <c r="FI1076" s="0"/>
      <c r="FJ1076" s="0"/>
      <c r="FK1076" s="0"/>
      <c r="FL1076" s="0"/>
      <c r="FM1076" s="0"/>
      <c r="FN1076" s="0"/>
      <c r="FO1076" s="0"/>
      <c r="FP1076" s="0"/>
      <c r="FQ1076" s="0"/>
      <c r="FR1076" s="0"/>
      <c r="FS1076" s="0"/>
      <c r="FT1076" s="0"/>
      <c r="FU1076" s="0"/>
      <c r="FV1076" s="0"/>
      <c r="FW1076" s="0"/>
      <c r="FX1076" s="0"/>
      <c r="FY1076" s="0"/>
      <c r="FZ1076" s="0"/>
      <c r="GA1076" s="0"/>
      <c r="GB1076" s="0"/>
      <c r="GC1076" s="0"/>
      <c r="GD1076" s="0"/>
      <c r="GE1076" s="0"/>
      <c r="GF1076" s="0"/>
      <c r="GG1076" s="0"/>
      <c r="GH1076" s="0"/>
      <c r="GI1076" s="0"/>
      <c r="GJ1076" s="0"/>
      <c r="GK1076" s="0"/>
      <c r="GL1076" s="0"/>
      <c r="GM1076" s="0"/>
      <c r="GN1076" s="0"/>
      <c r="GO1076" s="0"/>
      <c r="GP1076" s="0"/>
      <c r="GQ1076" s="0"/>
      <c r="GR1076" s="0"/>
      <c r="GS1076" s="0"/>
      <c r="GT1076" s="0"/>
      <c r="GU1076" s="0"/>
      <c r="GV1076" s="0"/>
      <c r="GW1076" s="0"/>
      <c r="GX1076" s="0"/>
      <c r="GY1076" s="0"/>
      <c r="GZ1076" s="0"/>
      <c r="HA1076" s="0"/>
      <c r="HB1076" s="0"/>
      <c r="HC1076" s="0"/>
      <c r="HD1076" s="0"/>
      <c r="HE1076" s="0"/>
      <c r="HF1076" s="0"/>
      <c r="HG1076" s="0"/>
      <c r="HH1076" s="0"/>
      <c r="HI1076" s="0"/>
      <c r="HJ1076" s="0"/>
      <c r="HK1076" s="0"/>
      <c r="HL1076" s="0"/>
      <c r="HM1076" s="0"/>
      <c r="HN1076" s="0"/>
      <c r="HO1076" s="0"/>
      <c r="HP1076" s="0"/>
      <c r="HQ1076" s="0"/>
      <c r="HR1076" s="0"/>
      <c r="HS1076" s="0"/>
      <c r="HT1076" s="0"/>
      <c r="HU1076" s="0"/>
      <c r="HV1076" s="0"/>
      <c r="HW1076" s="0"/>
      <c r="HX1076" s="0"/>
      <c r="HY1076" s="0"/>
      <c r="HZ1076" s="0"/>
      <c r="IA1076" s="0"/>
      <c r="IB1076" s="0"/>
      <c r="IC1076" s="0"/>
      <c r="ID1076" s="0"/>
      <c r="IE1076" s="0"/>
      <c r="IF1076" s="0"/>
      <c r="IG1076" s="0"/>
      <c r="IH1076" s="0"/>
      <c r="II1076" s="0"/>
      <c r="IJ1076" s="0"/>
      <c r="IK1076" s="0"/>
      <c r="IL1076" s="0"/>
      <c r="IM1076" s="0"/>
      <c r="IN1076" s="0"/>
      <c r="IO1076" s="0"/>
      <c r="IP1076" s="0"/>
      <c r="IQ1076" s="0"/>
      <c r="IR1076" s="0"/>
      <c r="IS1076" s="0"/>
      <c r="IT1076" s="0"/>
      <c r="IU1076" s="0"/>
      <c r="IV1076" s="0"/>
    </row>
    <row r="1077" customFormat="false" ht="15.75" hidden="false" customHeight="true" outlineLevel="0" collapsed="false">
      <c r="A1077" s="410" t="s">
        <v>1711</v>
      </c>
      <c r="B1077" s="19"/>
      <c r="C1077" s="950" t="s">
        <v>254</v>
      </c>
      <c r="E1077" s="935"/>
      <c r="F1077" s="935"/>
      <c r="G1077" s="1316"/>
      <c r="H1077" s="935"/>
      <c r="I1077" s="19"/>
      <c r="K1077" s="903"/>
      <c r="L1077" s="877" t="s">
        <v>1712</v>
      </c>
    </row>
    <row r="1078" customFormat="false" ht="15" hidden="false" customHeight="true" outlineLevel="0" collapsed="false">
      <c r="A1078" s="1315"/>
      <c r="B1078" s="19"/>
      <c r="C1078" s="19"/>
      <c r="D1078" s="19"/>
      <c r="E1078" s="935"/>
      <c r="F1078" s="935"/>
      <c r="G1078" s="1316"/>
      <c r="H1078" s="935"/>
      <c r="I1078" s="19"/>
      <c r="K1078" s="903"/>
      <c r="L1078" s="877"/>
    </row>
    <row r="1079" customFormat="false" ht="15" hidden="false" customHeight="true" outlineLevel="0" collapsed="false">
      <c r="A1079" s="0"/>
      <c r="B1079" s="0"/>
      <c r="C1079" s="0"/>
      <c r="D1079" s="0"/>
      <c r="E1079" s="0"/>
      <c r="F1079" s="0"/>
      <c r="G1079" s="0"/>
      <c r="H1079" s="0"/>
      <c r="I1079" s="0"/>
      <c r="J1079" s="0"/>
      <c r="K1079" s="903"/>
      <c r="L1079" s="877"/>
      <c r="M1079" s="0"/>
      <c r="N1079" s="0"/>
      <c r="O1079" s="0"/>
      <c r="P1079" s="0"/>
      <c r="Q1079" s="0"/>
      <c r="R1079" s="0"/>
      <c r="S1079" s="0"/>
      <c r="T1079" s="0"/>
      <c r="U1079" s="0"/>
      <c r="V1079" s="0"/>
      <c r="W1079" s="0"/>
      <c r="X1079" s="0"/>
      <c r="Y1079" s="0"/>
      <c r="Z1079" s="0"/>
      <c r="AA1079" s="0"/>
      <c r="AB1079" s="0"/>
      <c r="AC1079" s="0"/>
      <c r="AD1079" s="0"/>
      <c r="AE1079" s="0"/>
      <c r="AF1079" s="0"/>
      <c r="AG1079" s="0"/>
      <c r="AH1079" s="0"/>
      <c r="AI1079" s="0"/>
      <c r="AJ1079" s="0"/>
      <c r="AK1079" s="0"/>
      <c r="AL1079" s="0"/>
      <c r="AM1079" s="0"/>
      <c r="AN1079" s="0"/>
      <c r="AO1079" s="0"/>
      <c r="AP1079" s="0"/>
      <c r="AQ1079" s="0"/>
      <c r="AR1079" s="0"/>
      <c r="AS1079" s="0"/>
      <c r="AT1079" s="0"/>
      <c r="AU1079" s="0"/>
      <c r="AV1079" s="0"/>
      <c r="AW1079" s="0"/>
      <c r="AX1079" s="0"/>
      <c r="AY1079" s="0"/>
      <c r="AZ1079" s="0"/>
      <c r="BA1079" s="0"/>
      <c r="BB1079" s="0"/>
      <c r="BC1079" s="0"/>
      <c r="BD1079" s="0"/>
      <c r="BE1079" s="0"/>
      <c r="BF1079" s="0"/>
      <c r="BG1079" s="0"/>
      <c r="BH1079" s="0"/>
      <c r="BI1079" s="0"/>
      <c r="BJ1079" s="0"/>
      <c r="BK1079" s="0"/>
      <c r="BL1079" s="0"/>
      <c r="BM1079" s="0"/>
      <c r="BN1079" s="0"/>
      <c r="BO1079" s="0"/>
      <c r="BP1079" s="0"/>
      <c r="BQ1079" s="0"/>
      <c r="BR1079" s="0"/>
      <c r="BS1079" s="0"/>
      <c r="BT1079" s="0"/>
      <c r="BU1079" s="0"/>
      <c r="BV1079" s="0"/>
      <c r="BW1079" s="0"/>
      <c r="BX1079" s="0"/>
      <c r="BY1079" s="0"/>
      <c r="BZ1079" s="0"/>
      <c r="CA1079" s="0"/>
      <c r="CB1079" s="0"/>
      <c r="CC1079" s="0"/>
      <c r="CD1079" s="0"/>
      <c r="CE1079" s="0"/>
      <c r="CF1079" s="0"/>
      <c r="CG1079" s="0"/>
      <c r="CH1079" s="0"/>
      <c r="CI1079" s="0"/>
      <c r="CJ1079" s="0"/>
      <c r="CK1079" s="0"/>
      <c r="CL1079" s="0"/>
      <c r="CM1079" s="0"/>
      <c r="CN1079" s="0"/>
      <c r="CO1079" s="0"/>
      <c r="CP1079" s="0"/>
      <c r="CQ1079" s="0"/>
      <c r="CR1079" s="0"/>
      <c r="CS1079" s="0"/>
      <c r="CT1079" s="0"/>
      <c r="CU1079" s="0"/>
      <c r="CV1079" s="0"/>
      <c r="CW1079" s="0"/>
      <c r="CX1079" s="0"/>
      <c r="CY1079" s="0"/>
      <c r="CZ1079" s="0"/>
      <c r="DA1079" s="0"/>
      <c r="DB1079" s="0"/>
      <c r="DC1079" s="0"/>
      <c r="DD1079" s="0"/>
      <c r="DE1079" s="0"/>
      <c r="DF1079" s="0"/>
      <c r="DG1079" s="0"/>
      <c r="DH1079" s="0"/>
      <c r="DI1079" s="0"/>
      <c r="DJ1079" s="0"/>
      <c r="DK1079" s="0"/>
      <c r="DL1079" s="0"/>
      <c r="DM1079" s="0"/>
      <c r="DN1079" s="0"/>
      <c r="DO1079" s="0"/>
      <c r="DP1079" s="0"/>
      <c r="DQ1079" s="0"/>
      <c r="DR1079" s="0"/>
      <c r="DS1079" s="0"/>
      <c r="DT1079" s="0"/>
      <c r="DU1079" s="0"/>
      <c r="DV1079" s="0"/>
      <c r="DW1079" s="0"/>
      <c r="DX1079" s="0"/>
      <c r="DY1079" s="0"/>
      <c r="DZ1079" s="0"/>
      <c r="EA1079" s="0"/>
      <c r="EB1079" s="0"/>
      <c r="EC1079" s="0"/>
      <c r="ED1079" s="0"/>
      <c r="EE1079" s="0"/>
      <c r="EF1079" s="0"/>
      <c r="EG1079" s="0"/>
      <c r="EH1079" s="0"/>
      <c r="EI1079" s="0"/>
      <c r="EJ1079" s="0"/>
      <c r="EK1079" s="0"/>
      <c r="EL1079" s="0"/>
      <c r="EM1079" s="0"/>
      <c r="EN1079" s="0"/>
      <c r="EO1079" s="0"/>
      <c r="EP1079" s="0"/>
      <c r="EQ1079" s="0"/>
      <c r="ER1079" s="0"/>
      <c r="ES1079" s="0"/>
      <c r="ET1079" s="0"/>
      <c r="EU1079" s="0"/>
      <c r="EV1079" s="0"/>
      <c r="EW1079" s="0"/>
      <c r="EX1079" s="0"/>
      <c r="EY1079" s="0"/>
      <c r="EZ1079" s="0"/>
      <c r="FA1079" s="0"/>
      <c r="FB1079" s="0"/>
      <c r="FC1079" s="0"/>
      <c r="FD1079" s="0"/>
      <c r="FE1079" s="0"/>
      <c r="FF1079" s="0"/>
      <c r="FG1079" s="0"/>
      <c r="FH1079" s="0"/>
      <c r="FI1079" s="0"/>
      <c r="FJ1079" s="0"/>
      <c r="FK1079" s="0"/>
      <c r="FL1079" s="0"/>
      <c r="FM1079" s="0"/>
      <c r="FN1079" s="0"/>
      <c r="FO1079" s="0"/>
      <c r="FP1079" s="0"/>
      <c r="FQ1079" s="0"/>
      <c r="FR1079" s="0"/>
      <c r="FS1079" s="0"/>
      <c r="FT1079" s="0"/>
      <c r="FU1079" s="0"/>
      <c r="FV1079" s="0"/>
      <c r="FW1079" s="0"/>
      <c r="FX1079" s="0"/>
      <c r="FY1079" s="0"/>
      <c r="FZ1079" s="0"/>
      <c r="GA1079" s="0"/>
      <c r="GB1079" s="0"/>
      <c r="GC1079" s="0"/>
      <c r="GD1079" s="0"/>
      <c r="GE1079" s="0"/>
      <c r="GF1079" s="0"/>
      <c r="GG1079" s="0"/>
      <c r="GH1079" s="0"/>
      <c r="GI1079" s="0"/>
      <c r="GJ1079" s="0"/>
      <c r="GK1079" s="0"/>
      <c r="GL1079" s="0"/>
      <c r="GM1079" s="0"/>
      <c r="GN1079" s="0"/>
      <c r="GO1079" s="0"/>
      <c r="GP1079" s="0"/>
      <c r="GQ1079" s="0"/>
      <c r="GR1079" s="0"/>
      <c r="GS1079" s="0"/>
      <c r="GT1079" s="0"/>
      <c r="GU1079" s="0"/>
      <c r="GV1079" s="0"/>
      <c r="GW1079" s="0"/>
      <c r="GX1079" s="0"/>
      <c r="GY1079" s="0"/>
      <c r="GZ1079" s="0"/>
      <c r="HA1079" s="0"/>
      <c r="HB1079" s="0"/>
      <c r="HC1079" s="0"/>
      <c r="HD1079" s="0"/>
      <c r="HE1079" s="0"/>
      <c r="HF1079" s="0"/>
      <c r="HG1079" s="0"/>
      <c r="HH1079" s="0"/>
      <c r="HI1079" s="0"/>
      <c r="HJ1079" s="0"/>
      <c r="HK1079" s="0"/>
      <c r="HL1079" s="0"/>
      <c r="HM1079" s="0"/>
      <c r="HN1079" s="0"/>
      <c r="HO1079" s="0"/>
      <c r="HP1079" s="0"/>
      <c r="HQ1079" s="0"/>
      <c r="HR1079" s="0"/>
      <c r="HS1079" s="0"/>
      <c r="HT1079" s="0"/>
      <c r="HU1079" s="0"/>
      <c r="HV1079" s="0"/>
      <c r="HW1079" s="0"/>
      <c r="HX1079" s="0"/>
      <c r="HY1079" s="0"/>
      <c r="HZ1079" s="0"/>
      <c r="IA1079" s="0"/>
      <c r="IB1079" s="0"/>
      <c r="IC1079" s="0"/>
      <c r="ID1079" s="0"/>
      <c r="IE1079" s="0"/>
      <c r="IF1079" s="0"/>
      <c r="IG1079" s="0"/>
      <c r="IH1079" s="0"/>
      <c r="II1079" s="0"/>
      <c r="IJ1079" s="0"/>
      <c r="IK1079" s="0"/>
      <c r="IL1079" s="0"/>
      <c r="IM1079" s="0"/>
      <c r="IN1079" s="0"/>
      <c r="IO1079" s="0"/>
      <c r="IP1079" s="0"/>
      <c r="IQ1079" s="0"/>
      <c r="IR1079" s="0"/>
      <c r="IS1079" s="0"/>
      <c r="IT1079" s="0"/>
      <c r="IU1079" s="0"/>
      <c r="IV1079" s="0"/>
    </row>
    <row r="1080" customFormat="false" ht="16.5" hidden="false" customHeight="true" outlineLevel="0" collapsed="false">
      <c r="A1080" s="869" t="s">
        <v>1713</v>
      </c>
      <c r="B1080" s="869"/>
      <c r="C1080" s="869"/>
      <c r="D1080" s="869"/>
      <c r="E1080" s="869"/>
      <c r="F1080" s="869"/>
      <c r="G1080" s="869"/>
      <c r="H1080" s="53"/>
      <c r="I1080" s="53"/>
      <c r="J1080" s="53"/>
      <c r="K1080" s="870"/>
      <c r="L1080" s="871" t="s">
        <v>1707</v>
      </c>
      <c r="M1080" s="0"/>
      <c r="N1080" s="0"/>
      <c r="O1080" s="0"/>
      <c r="P1080" s="0"/>
      <c r="Q1080" s="0"/>
      <c r="R1080" s="0"/>
      <c r="S1080" s="0"/>
      <c r="T1080" s="0"/>
      <c r="U1080" s="0"/>
      <c r="V1080" s="0"/>
      <c r="W1080" s="0"/>
      <c r="X1080" s="0"/>
      <c r="Y1080" s="0"/>
      <c r="Z1080" s="0"/>
      <c r="AA1080" s="0"/>
      <c r="AB1080" s="0"/>
      <c r="AC1080" s="0"/>
      <c r="AD1080" s="0"/>
      <c r="AE1080" s="0"/>
      <c r="AF1080" s="0"/>
      <c r="AG1080" s="0"/>
      <c r="AH1080" s="0"/>
      <c r="AI1080" s="0"/>
      <c r="AJ1080" s="0"/>
      <c r="AK1080" s="0"/>
      <c r="AL1080" s="0"/>
      <c r="AM1080" s="0"/>
      <c r="AN1080" s="0"/>
      <c r="AO1080" s="0"/>
      <c r="AP1080" s="0"/>
      <c r="AQ1080" s="0"/>
      <c r="AR1080" s="0"/>
      <c r="AS1080" s="0"/>
      <c r="AT1080" s="0"/>
      <c r="AU1080" s="0"/>
      <c r="AV1080" s="0"/>
      <c r="AW1080" s="0"/>
      <c r="AX1080" s="0"/>
      <c r="AY1080" s="0"/>
      <c r="AZ1080" s="0"/>
      <c r="BA1080" s="0"/>
      <c r="BB1080" s="0"/>
      <c r="BC1080" s="0"/>
      <c r="BD1080" s="0"/>
      <c r="BE1080" s="0"/>
      <c r="BF1080" s="0"/>
      <c r="BG1080" s="0"/>
      <c r="BH1080" s="0"/>
      <c r="BI1080" s="0"/>
      <c r="BJ1080" s="0"/>
      <c r="BK1080" s="0"/>
      <c r="BL1080" s="0"/>
      <c r="BM1080" s="0"/>
      <c r="BN1080" s="0"/>
      <c r="BO1080" s="0"/>
      <c r="BP1080" s="0"/>
      <c r="BQ1080" s="0"/>
      <c r="BR1080" s="0"/>
      <c r="BS1080" s="0"/>
      <c r="BT1080" s="0"/>
      <c r="BU1080" s="0"/>
      <c r="BV1080" s="0"/>
      <c r="BW1080" s="0"/>
      <c r="BX1080" s="0"/>
      <c r="BY1080" s="0"/>
      <c r="BZ1080" s="0"/>
      <c r="CA1080" s="0"/>
      <c r="CB1080" s="0"/>
      <c r="CC1080" s="0"/>
      <c r="CD1080" s="0"/>
      <c r="CE1080" s="0"/>
      <c r="CF1080" s="0"/>
      <c r="CG1080" s="0"/>
      <c r="CH1080" s="0"/>
      <c r="CI1080" s="0"/>
      <c r="CJ1080" s="0"/>
      <c r="CK1080" s="0"/>
      <c r="CL1080" s="0"/>
      <c r="CM1080" s="0"/>
      <c r="CN1080" s="0"/>
      <c r="CO1080" s="0"/>
      <c r="CP1080" s="0"/>
      <c r="CQ1080" s="0"/>
      <c r="CR1080" s="0"/>
      <c r="CS1080" s="0"/>
      <c r="CT1080" s="0"/>
      <c r="CU1080" s="0"/>
      <c r="CV1080" s="0"/>
      <c r="CW1080" s="0"/>
      <c r="CX1080" s="0"/>
      <c r="CY1080" s="0"/>
      <c r="CZ1080" s="0"/>
      <c r="DA1080" s="0"/>
      <c r="DB1080" s="0"/>
      <c r="DC1080" s="0"/>
      <c r="DD1080" s="0"/>
      <c r="DE1080" s="0"/>
      <c r="DF1080" s="0"/>
      <c r="DG1080" s="0"/>
      <c r="DH1080" s="0"/>
      <c r="DI1080" s="0"/>
      <c r="DJ1080" s="0"/>
      <c r="DK1080" s="0"/>
      <c r="DL1080" s="0"/>
      <c r="DM1080" s="0"/>
      <c r="DN1080" s="0"/>
      <c r="DO1080" s="0"/>
      <c r="DP1080" s="0"/>
      <c r="DQ1080" s="0"/>
      <c r="DR1080" s="0"/>
      <c r="DS1080" s="0"/>
      <c r="DT1080" s="0"/>
      <c r="DU1080" s="0"/>
      <c r="DV1080" s="0"/>
      <c r="DW1080" s="0"/>
      <c r="DX1080" s="0"/>
      <c r="DY1080" s="0"/>
      <c r="DZ1080" s="0"/>
      <c r="EA1080" s="0"/>
      <c r="EB1080" s="0"/>
      <c r="EC1080" s="0"/>
      <c r="ED1080" s="0"/>
      <c r="EE1080" s="0"/>
      <c r="EF1080" s="0"/>
      <c r="EG1080" s="0"/>
      <c r="EH1080" s="0"/>
      <c r="EI1080" s="0"/>
      <c r="EJ1080" s="0"/>
      <c r="EK1080" s="0"/>
      <c r="EL1080" s="0"/>
      <c r="EM1080" s="0"/>
      <c r="EN1080" s="0"/>
      <c r="EO1080" s="0"/>
      <c r="EP1080" s="0"/>
      <c r="EQ1080" s="0"/>
      <c r="ER1080" s="0"/>
      <c r="ES1080" s="0"/>
      <c r="ET1080" s="0"/>
      <c r="EU1080" s="0"/>
      <c r="EV1080" s="0"/>
      <c r="EW1080" s="0"/>
      <c r="EX1080" s="0"/>
      <c r="EY1080" s="0"/>
      <c r="EZ1080" s="0"/>
      <c r="FA1080" s="0"/>
      <c r="FB1080" s="0"/>
      <c r="FC1080" s="0"/>
      <c r="FD1080" s="0"/>
      <c r="FE1080" s="0"/>
      <c r="FF1080" s="0"/>
      <c r="FG1080" s="0"/>
      <c r="FH1080" s="0"/>
      <c r="FI1080" s="0"/>
      <c r="FJ1080" s="0"/>
      <c r="FK1080" s="0"/>
      <c r="FL1080" s="0"/>
      <c r="FM1080" s="0"/>
      <c r="FN1080" s="0"/>
      <c r="FO1080" s="0"/>
      <c r="FP1080" s="0"/>
      <c r="FQ1080" s="0"/>
      <c r="FR1080" s="0"/>
      <c r="FS1080" s="0"/>
      <c r="FT1080" s="0"/>
      <c r="FU1080" s="0"/>
      <c r="FV1080" s="0"/>
      <c r="FW1080" s="0"/>
      <c r="FX1080" s="0"/>
      <c r="FY1080" s="0"/>
      <c r="FZ1080" s="0"/>
      <c r="GA1080" s="0"/>
      <c r="GB1080" s="0"/>
      <c r="GC1080" s="0"/>
      <c r="GD1080" s="0"/>
      <c r="GE1080" s="0"/>
      <c r="GF1080" s="0"/>
      <c r="GG1080" s="0"/>
      <c r="GH1080" s="0"/>
      <c r="GI1080" s="0"/>
      <c r="GJ1080" s="0"/>
      <c r="GK1080" s="0"/>
      <c r="GL1080" s="0"/>
      <c r="GM1080" s="0"/>
      <c r="GN1080" s="0"/>
      <c r="GO1080" s="0"/>
      <c r="GP1080" s="0"/>
      <c r="GQ1080" s="0"/>
      <c r="GR1080" s="0"/>
      <c r="GS1080" s="0"/>
      <c r="GT1080" s="0"/>
      <c r="GU1080" s="0"/>
      <c r="GV1080" s="0"/>
      <c r="GW1080" s="0"/>
      <c r="GX1080" s="0"/>
      <c r="GY1080" s="0"/>
      <c r="GZ1080" s="0"/>
      <c r="HA1080" s="0"/>
      <c r="HB1080" s="0"/>
      <c r="HC1080" s="0"/>
      <c r="HD1080" s="0"/>
      <c r="HE1080" s="0"/>
      <c r="HF1080" s="0"/>
      <c r="HG1080" s="0"/>
      <c r="HH1080" s="0"/>
      <c r="HI1080" s="0"/>
      <c r="HJ1080" s="0"/>
      <c r="HK1080" s="0"/>
      <c r="HL1080" s="0"/>
      <c r="HM1080" s="0"/>
      <c r="HN1080" s="0"/>
      <c r="HO1080" s="0"/>
      <c r="HP1080" s="0"/>
      <c r="HQ1080" s="0"/>
      <c r="HR1080" s="0"/>
      <c r="HS1080" s="0"/>
      <c r="HT1080" s="0"/>
      <c r="HU1080" s="0"/>
      <c r="HV1080" s="0"/>
      <c r="HW1080" s="0"/>
      <c r="HX1080" s="0"/>
      <c r="HY1080" s="0"/>
      <c r="HZ1080" s="0"/>
      <c r="IA1080" s="0"/>
      <c r="IB1080" s="0"/>
      <c r="IC1080" s="0"/>
      <c r="ID1080" s="0"/>
      <c r="IE1080" s="0"/>
      <c r="IF1080" s="0"/>
      <c r="IG1080" s="0"/>
      <c r="IH1080" s="0"/>
      <c r="II1080" s="0"/>
      <c r="IJ1080" s="0"/>
      <c r="IK1080" s="0"/>
      <c r="IL1080" s="0"/>
      <c r="IM1080" s="0"/>
      <c r="IN1080" s="0"/>
      <c r="IO1080" s="0"/>
      <c r="IP1080" s="0"/>
      <c r="IQ1080" s="0"/>
      <c r="IR1080" s="0"/>
      <c r="IS1080" s="0"/>
      <c r="IT1080" s="0"/>
      <c r="IU1080" s="0"/>
      <c r="IV1080" s="0"/>
    </row>
    <row r="1081" customFormat="false" ht="15" hidden="false" customHeight="true" outlineLevel="0" collapsed="false">
      <c r="A1081" s="1005"/>
      <c r="B1081" s="1005"/>
      <c r="C1081" s="1005"/>
      <c r="D1081" s="1005"/>
      <c r="E1081" s="1005"/>
      <c r="F1081" s="1005"/>
      <c r="G1081" s="1005"/>
      <c r="H1081" s="0"/>
      <c r="I1081" s="0"/>
      <c r="J1081" s="620"/>
      <c r="K1081" s="903"/>
      <c r="L1081" s="877"/>
      <c r="M1081" s="0"/>
      <c r="N1081" s="0"/>
      <c r="O1081" s="0"/>
      <c r="P1081" s="0"/>
      <c r="Q1081" s="0"/>
      <c r="R1081" s="0"/>
      <c r="S1081" s="0"/>
      <c r="T1081" s="0"/>
      <c r="U1081" s="0"/>
      <c r="V1081" s="0"/>
      <c r="W1081" s="0"/>
      <c r="X1081" s="0"/>
      <c r="Y1081" s="0"/>
      <c r="Z1081" s="0"/>
      <c r="AA1081" s="0"/>
      <c r="AB1081" s="0"/>
      <c r="AC1081" s="0"/>
      <c r="AD1081" s="0"/>
      <c r="AE1081" s="0"/>
      <c r="AF1081" s="0"/>
      <c r="AG1081" s="0"/>
      <c r="AH1081" s="0"/>
      <c r="AI1081" s="0"/>
      <c r="AJ1081" s="0"/>
      <c r="AK1081" s="0"/>
      <c r="AL1081" s="0"/>
      <c r="AM1081" s="0"/>
      <c r="AN1081" s="0"/>
      <c r="AO1081" s="0"/>
      <c r="AP1081" s="0"/>
      <c r="AQ1081" s="0"/>
      <c r="AR1081" s="0"/>
      <c r="AS1081" s="0"/>
      <c r="AT1081" s="0"/>
      <c r="AU1081" s="0"/>
      <c r="AV1081" s="0"/>
      <c r="AW1081" s="0"/>
      <c r="AX1081" s="0"/>
      <c r="AY1081" s="0"/>
      <c r="AZ1081" s="0"/>
      <c r="BA1081" s="0"/>
      <c r="BB1081" s="0"/>
      <c r="BC1081" s="0"/>
      <c r="BD1081" s="0"/>
      <c r="BE1081" s="0"/>
      <c r="BF1081" s="0"/>
      <c r="BG1081" s="0"/>
      <c r="BH1081" s="0"/>
      <c r="BI1081" s="0"/>
      <c r="BJ1081" s="0"/>
      <c r="BK1081" s="0"/>
      <c r="BL1081" s="0"/>
      <c r="BM1081" s="0"/>
      <c r="BN1081" s="0"/>
      <c r="BO1081" s="0"/>
      <c r="BP1081" s="0"/>
      <c r="BQ1081" s="0"/>
      <c r="BR1081" s="0"/>
      <c r="BS1081" s="0"/>
      <c r="BT1081" s="0"/>
      <c r="BU1081" s="0"/>
      <c r="BV1081" s="0"/>
      <c r="BW1081" s="0"/>
      <c r="BX1081" s="0"/>
      <c r="BY1081" s="0"/>
      <c r="BZ1081" s="0"/>
      <c r="CA1081" s="0"/>
      <c r="CB1081" s="0"/>
      <c r="CC1081" s="0"/>
      <c r="CD1081" s="0"/>
      <c r="CE1081" s="0"/>
      <c r="CF1081" s="0"/>
      <c r="CG1081" s="0"/>
      <c r="CH1081" s="0"/>
      <c r="CI1081" s="0"/>
      <c r="CJ1081" s="0"/>
      <c r="CK1081" s="0"/>
      <c r="CL1081" s="0"/>
      <c r="CM1081" s="0"/>
      <c r="CN1081" s="0"/>
      <c r="CO1081" s="0"/>
      <c r="CP1081" s="0"/>
      <c r="CQ1081" s="0"/>
      <c r="CR1081" s="0"/>
      <c r="CS1081" s="0"/>
      <c r="CT1081" s="0"/>
      <c r="CU1081" s="0"/>
      <c r="CV1081" s="0"/>
      <c r="CW1081" s="0"/>
      <c r="CX1081" s="0"/>
      <c r="CY1081" s="0"/>
      <c r="CZ1081" s="0"/>
      <c r="DA1081" s="0"/>
      <c r="DB1081" s="0"/>
      <c r="DC1081" s="0"/>
      <c r="DD1081" s="0"/>
      <c r="DE1081" s="0"/>
      <c r="DF1081" s="0"/>
      <c r="DG1081" s="0"/>
      <c r="DH1081" s="0"/>
      <c r="DI1081" s="0"/>
      <c r="DJ1081" s="0"/>
      <c r="DK1081" s="0"/>
      <c r="DL1081" s="0"/>
      <c r="DM1081" s="0"/>
      <c r="DN1081" s="0"/>
      <c r="DO1081" s="0"/>
      <c r="DP1081" s="0"/>
      <c r="DQ1081" s="0"/>
      <c r="DR1081" s="0"/>
      <c r="DS1081" s="0"/>
      <c r="DT1081" s="0"/>
      <c r="DU1081" s="0"/>
      <c r="DV1081" s="0"/>
      <c r="DW1081" s="0"/>
      <c r="DX1081" s="0"/>
      <c r="DY1081" s="0"/>
      <c r="DZ1081" s="0"/>
      <c r="EA1081" s="0"/>
      <c r="EB1081" s="0"/>
      <c r="EC1081" s="0"/>
      <c r="ED1081" s="0"/>
      <c r="EE1081" s="0"/>
      <c r="EF1081" s="0"/>
      <c r="EG1081" s="0"/>
      <c r="EH1081" s="0"/>
      <c r="EI1081" s="0"/>
      <c r="EJ1081" s="0"/>
      <c r="EK1081" s="0"/>
      <c r="EL1081" s="0"/>
      <c r="EM1081" s="0"/>
      <c r="EN1081" s="0"/>
      <c r="EO1081" s="0"/>
      <c r="EP1081" s="0"/>
      <c r="EQ1081" s="0"/>
      <c r="ER1081" s="0"/>
      <c r="ES1081" s="0"/>
      <c r="ET1081" s="0"/>
      <c r="EU1081" s="0"/>
      <c r="EV1081" s="0"/>
      <c r="EW1081" s="0"/>
      <c r="EX1081" s="0"/>
      <c r="EY1081" s="0"/>
      <c r="EZ1081" s="0"/>
      <c r="FA1081" s="0"/>
      <c r="FB1081" s="0"/>
      <c r="FC1081" s="0"/>
      <c r="FD1081" s="0"/>
      <c r="FE1081" s="0"/>
      <c r="FF1081" s="0"/>
      <c r="FG1081" s="0"/>
      <c r="FH1081" s="0"/>
      <c r="FI1081" s="0"/>
      <c r="FJ1081" s="0"/>
      <c r="FK1081" s="0"/>
      <c r="FL1081" s="0"/>
      <c r="FM1081" s="0"/>
      <c r="FN1081" s="0"/>
      <c r="FO1081" s="0"/>
      <c r="FP1081" s="0"/>
      <c r="FQ1081" s="0"/>
      <c r="FR1081" s="0"/>
      <c r="FS1081" s="0"/>
      <c r="FT1081" s="0"/>
      <c r="FU1081" s="0"/>
      <c r="FV1081" s="0"/>
      <c r="FW1081" s="0"/>
      <c r="FX1081" s="0"/>
      <c r="FY1081" s="0"/>
      <c r="FZ1081" s="0"/>
      <c r="GA1081" s="0"/>
      <c r="GB1081" s="0"/>
      <c r="GC1081" s="0"/>
      <c r="GD1081" s="0"/>
      <c r="GE1081" s="0"/>
      <c r="GF1081" s="0"/>
      <c r="GG1081" s="0"/>
      <c r="GH1081" s="0"/>
      <c r="GI1081" s="0"/>
      <c r="GJ1081" s="0"/>
      <c r="GK1081" s="0"/>
      <c r="GL1081" s="0"/>
      <c r="GM1081" s="0"/>
      <c r="GN1081" s="0"/>
      <c r="GO1081" s="0"/>
      <c r="GP1081" s="0"/>
      <c r="GQ1081" s="0"/>
      <c r="GR1081" s="0"/>
      <c r="GS1081" s="0"/>
      <c r="GT1081" s="0"/>
      <c r="GU1081" s="0"/>
      <c r="GV1081" s="0"/>
      <c r="GW1081" s="0"/>
      <c r="GX1081" s="0"/>
      <c r="GY1081" s="0"/>
      <c r="GZ1081" s="0"/>
      <c r="HA1081" s="0"/>
      <c r="HB1081" s="0"/>
      <c r="HC1081" s="0"/>
      <c r="HD1081" s="0"/>
      <c r="HE1081" s="0"/>
      <c r="HF1081" s="0"/>
      <c r="HG1081" s="0"/>
      <c r="HH1081" s="0"/>
      <c r="HI1081" s="0"/>
      <c r="HJ1081" s="0"/>
      <c r="HK1081" s="0"/>
      <c r="HL1081" s="0"/>
      <c r="HM1081" s="0"/>
      <c r="HN1081" s="0"/>
      <c r="HO1081" s="0"/>
      <c r="HP1081" s="0"/>
      <c r="HQ1081" s="0"/>
      <c r="HR1081" s="0"/>
      <c r="HS1081" s="0"/>
      <c r="HT1081" s="0"/>
      <c r="HU1081" s="0"/>
      <c r="HV1081" s="0"/>
      <c r="HW1081" s="0"/>
      <c r="HX1081" s="0"/>
      <c r="HY1081" s="0"/>
      <c r="HZ1081" s="0"/>
      <c r="IA1081" s="0"/>
      <c r="IB1081" s="0"/>
      <c r="IC1081" s="0"/>
      <c r="ID1081" s="0"/>
      <c r="IE1081" s="0"/>
      <c r="IF1081" s="0"/>
      <c r="IG1081" s="0"/>
      <c r="IH1081" s="0"/>
      <c r="II1081" s="0"/>
      <c r="IJ1081" s="0"/>
      <c r="IK1081" s="0"/>
      <c r="IL1081" s="0"/>
      <c r="IM1081" s="0"/>
      <c r="IN1081" s="0"/>
      <c r="IO1081" s="0"/>
      <c r="IP1081" s="0"/>
      <c r="IQ1081" s="0"/>
      <c r="IR1081" s="0"/>
      <c r="IS1081" s="0"/>
      <c r="IT1081" s="0"/>
      <c r="IU1081" s="0"/>
      <c r="IV1081" s="0"/>
    </row>
    <row r="1082" customFormat="false" ht="15.75" hidden="false" customHeight="true" outlineLevel="0" collapsed="false">
      <c r="A1082" s="433" t="s">
        <v>801</v>
      </c>
      <c r="B1082" s="433"/>
      <c r="C1082" s="950" t="s">
        <v>1714</v>
      </c>
      <c r="D1082" s="15" t="s">
        <v>803</v>
      </c>
      <c r="E1082" s="1258"/>
      <c r="F1082" s="1258"/>
      <c r="G1082" s="0"/>
      <c r="J1082" s="11"/>
      <c r="K1082" s="903"/>
      <c r="L1082" s="877"/>
      <c r="M1082" s="0"/>
      <c r="N1082" s="0"/>
      <c r="O1082" s="0"/>
      <c r="P1082" s="0"/>
      <c r="Q1082" s="0"/>
      <c r="R1082" s="0"/>
      <c r="S1082" s="0"/>
      <c r="T1082" s="0"/>
      <c r="U1082" s="0"/>
      <c r="V1082" s="0"/>
      <c r="W1082" s="0"/>
      <c r="X1082" s="0"/>
      <c r="Y1082" s="0"/>
      <c r="Z1082" s="0"/>
      <c r="AA1082" s="0"/>
      <c r="AB1082" s="0"/>
      <c r="AC1082" s="0"/>
      <c r="AD1082" s="0"/>
      <c r="AE1082" s="0"/>
      <c r="AF1082" s="0"/>
      <c r="AG1082" s="0"/>
      <c r="AH1082" s="0"/>
      <c r="AI1082" s="0"/>
      <c r="AJ1082" s="0"/>
      <c r="AK1082" s="0"/>
      <c r="AL1082" s="0"/>
      <c r="AM1082" s="0"/>
      <c r="AN1082" s="0"/>
      <c r="AO1082" s="0"/>
      <c r="AP1082" s="0"/>
      <c r="AQ1082" s="0"/>
      <c r="AR1082" s="0"/>
      <c r="AS1082" s="0"/>
      <c r="AT1082" s="0"/>
      <c r="AU1082" s="0"/>
      <c r="AV1082" s="0"/>
      <c r="AW1082" s="0"/>
      <c r="AX1082" s="0"/>
      <c r="AY1082" s="0"/>
      <c r="AZ1082" s="0"/>
      <c r="BA1082" s="0"/>
      <c r="BB1082" s="0"/>
      <c r="BC1082" s="0"/>
      <c r="BD1082" s="0"/>
      <c r="BE1082" s="0"/>
      <c r="BF1082" s="0"/>
      <c r="BG1082" s="0"/>
      <c r="BH1082" s="0"/>
      <c r="BI1082" s="0"/>
      <c r="BJ1082" s="0"/>
      <c r="BK1082" s="0"/>
      <c r="BL1082" s="0"/>
      <c r="BM1082" s="0"/>
      <c r="BN1082" s="0"/>
      <c r="BO1082" s="0"/>
      <c r="BP1082" s="0"/>
      <c r="BQ1082" s="0"/>
      <c r="BR1082" s="0"/>
      <c r="BS1082" s="0"/>
      <c r="BT1082" s="0"/>
      <c r="BU1082" s="0"/>
      <c r="BV1082" s="0"/>
      <c r="BW1082" s="0"/>
      <c r="BX1082" s="0"/>
      <c r="BY1082" s="0"/>
      <c r="BZ1082" s="0"/>
      <c r="CA1082" s="0"/>
      <c r="CB1082" s="0"/>
      <c r="CC1082" s="0"/>
      <c r="CD1082" s="0"/>
      <c r="CE1082" s="0"/>
      <c r="CF1082" s="0"/>
      <c r="CG1082" s="0"/>
      <c r="CH1082" s="0"/>
      <c r="CI1082" s="0"/>
      <c r="CJ1082" s="0"/>
      <c r="CK1082" s="0"/>
      <c r="CL1082" s="0"/>
      <c r="CM1082" s="0"/>
      <c r="CN1082" s="0"/>
      <c r="CO1082" s="0"/>
      <c r="CP1082" s="0"/>
      <c r="CQ1082" s="0"/>
      <c r="CR1082" s="0"/>
      <c r="CS1082" s="0"/>
      <c r="CT1082" s="0"/>
      <c r="CU1082" s="0"/>
      <c r="CV1082" s="0"/>
      <c r="CW1082" s="0"/>
      <c r="CX1082" s="0"/>
      <c r="CY1082" s="0"/>
      <c r="CZ1082" s="0"/>
      <c r="DA1082" s="0"/>
      <c r="DB1082" s="0"/>
      <c r="DC1082" s="0"/>
      <c r="DD1082" s="0"/>
      <c r="DE1082" s="0"/>
      <c r="DF1082" s="0"/>
      <c r="DG1082" s="0"/>
      <c r="DH1082" s="0"/>
      <c r="DI1082" s="0"/>
      <c r="DJ1082" s="0"/>
      <c r="DK1082" s="0"/>
      <c r="DL1082" s="0"/>
      <c r="DM1082" s="0"/>
      <c r="DN1082" s="0"/>
      <c r="DO1082" s="0"/>
      <c r="DP1082" s="0"/>
      <c r="DQ1082" s="0"/>
      <c r="DR1082" s="0"/>
      <c r="DS1082" s="0"/>
      <c r="DT1082" s="0"/>
      <c r="DU1082" s="0"/>
      <c r="DV1082" s="0"/>
      <c r="DW1082" s="0"/>
      <c r="DX1082" s="0"/>
      <c r="DY1082" s="0"/>
      <c r="DZ1082" s="0"/>
      <c r="EA1082" s="0"/>
      <c r="EB1082" s="0"/>
      <c r="EC1082" s="0"/>
      <c r="ED1082" s="0"/>
      <c r="EE1082" s="0"/>
      <c r="EF1082" s="0"/>
      <c r="EG1082" s="0"/>
      <c r="EH1082" s="0"/>
      <c r="EI1082" s="0"/>
      <c r="EJ1082" s="0"/>
      <c r="EK1082" s="0"/>
      <c r="EL1082" s="0"/>
      <c r="EM1082" s="0"/>
      <c r="EN1082" s="0"/>
      <c r="EO1082" s="0"/>
      <c r="EP1082" s="0"/>
      <c r="EQ1082" s="0"/>
      <c r="ER1082" s="0"/>
      <c r="ES1082" s="0"/>
      <c r="ET1082" s="0"/>
      <c r="EU1082" s="0"/>
      <c r="EV1082" s="0"/>
      <c r="EW1082" s="0"/>
      <c r="EX1082" s="0"/>
      <c r="EY1082" s="0"/>
      <c r="EZ1082" s="0"/>
      <c r="FA1082" s="0"/>
      <c r="FB1082" s="0"/>
      <c r="FC1082" s="0"/>
      <c r="FD1082" s="0"/>
      <c r="FE1082" s="0"/>
      <c r="FF1082" s="0"/>
      <c r="FG1082" s="0"/>
      <c r="FH1082" s="0"/>
      <c r="FI1082" s="0"/>
      <c r="FJ1082" s="0"/>
      <c r="FK1082" s="0"/>
      <c r="FL1082" s="0"/>
      <c r="FM1082" s="0"/>
      <c r="FN1082" s="0"/>
      <c r="FO1082" s="0"/>
      <c r="FP1082" s="0"/>
      <c r="FQ1082" s="0"/>
      <c r="FR1082" s="0"/>
      <c r="FS1082" s="0"/>
      <c r="FT1082" s="0"/>
      <c r="FU1082" s="0"/>
      <c r="FV1082" s="0"/>
      <c r="FW1082" s="0"/>
      <c r="FX1082" s="0"/>
      <c r="FY1082" s="0"/>
      <c r="FZ1082" s="0"/>
      <c r="GA1082" s="0"/>
      <c r="GB1082" s="0"/>
      <c r="GC1082" s="0"/>
      <c r="GD1082" s="0"/>
      <c r="GE1082" s="0"/>
      <c r="GF1082" s="0"/>
      <c r="GG1082" s="0"/>
      <c r="GH1082" s="0"/>
      <c r="GI1082" s="0"/>
      <c r="GJ1082" s="0"/>
      <c r="GK1082" s="0"/>
      <c r="GL1082" s="0"/>
      <c r="GM1082" s="0"/>
      <c r="GN1082" s="0"/>
      <c r="GO1082" s="0"/>
      <c r="GP1082" s="0"/>
      <c r="GQ1082" s="0"/>
      <c r="GR1082" s="0"/>
      <c r="GS1082" s="0"/>
      <c r="GT1082" s="0"/>
      <c r="GU1082" s="0"/>
      <c r="GV1082" s="0"/>
      <c r="GW1082" s="0"/>
      <c r="GX1082" s="0"/>
      <c r="GY1082" s="0"/>
      <c r="GZ1082" s="0"/>
      <c r="HA1082" s="0"/>
      <c r="HB1082" s="0"/>
      <c r="HC1082" s="0"/>
      <c r="HD1082" s="0"/>
      <c r="HE1082" s="0"/>
      <c r="HF1082" s="0"/>
      <c r="HG1082" s="0"/>
      <c r="HH1082" s="0"/>
      <c r="HI1082" s="0"/>
      <c r="HJ1082" s="0"/>
      <c r="HK1082" s="0"/>
      <c r="HL1082" s="0"/>
      <c r="HM1082" s="0"/>
      <c r="HN1082" s="0"/>
      <c r="HO1082" s="0"/>
      <c r="HP1082" s="0"/>
      <c r="HQ1082" s="0"/>
      <c r="HR1082" s="0"/>
      <c r="HS1082" s="0"/>
      <c r="HT1082" s="0"/>
      <c r="HU1082" s="0"/>
      <c r="HV1082" s="0"/>
      <c r="HW1082" s="0"/>
      <c r="HX1082" s="0"/>
      <c r="HY1082" s="0"/>
      <c r="HZ1082" s="0"/>
      <c r="IA1082" s="0"/>
      <c r="IB1082" s="0"/>
      <c r="IC1082" s="0"/>
      <c r="ID1082" s="0"/>
      <c r="IE1082" s="0"/>
      <c r="IF1082" s="0"/>
      <c r="IG1082" s="0"/>
      <c r="IH1082" s="0"/>
      <c r="II1082" s="0"/>
      <c r="IJ1082" s="0"/>
      <c r="IK1082" s="0"/>
      <c r="IL1082" s="0"/>
      <c r="IM1082" s="0"/>
      <c r="IN1082" s="0"/>
      <c r="IO1082" s="0"/>
      <c r="IP1082" s="0"/>
      <c r="IQ1082" s="0"/>
      <c r="IR1082" s="0"/>
      <c r="IS1082" s="0"/>
      <c r="IT1082" s="0"/>
      <c r="IU1082" s="0"/>
      <c r="IV1082" s="0"/>
    </row>
    <row r="1083" customFormat="false" ht="15" hidden="false" customHeight="true" outlineLevel="0" collapsed="false">
      <c r="A1083" s="11" t="s">
        <v>802</v>
      </c>
      <c r="E1083" s="19"/>
      <c r="K1083" s="903"/>
      <c r="L1083" s="877"/>
    </row>
    <row r="1084" customFormat="false" ht="15.75" hidden="false" customHeight="true" outlineLevel="0" collapsed="false">
      <c r="A1084" s="0"/>
      <c r="B1084" s="0"/>
      <c r="C1084" s="0"/>
      <c r="D1084" s="0"/>
      <c r="E1084" s="931"/>
      <c r="F1084" s="0"/>
      <c r="G1084" s="0"/>
      <c r="H1084" s="0"/>
      <c r="I1084" s="0"/>
      <c r="J1084" s="11"/>
      <c r="K1084" s="0"/>
      <c r="L1084" s="0"/>
      <c r="M1084" s="0"/>
      <c r="N1084" s="0"/>
      <c r="O1084" s="0"/>
      <c r="P1084" s="0"/>
      <c r="Q1084" s="0"/>
      <c r="R1084" s="0"/>
      <c r="S1084" s="0"/>
      <c r="T1084" s="0"/>
      <c r="U1084" s="0"/>
      <c r="V1084" s="0"/>
      <c r="W1084" s="0"/>
      <c r="X1084" s="0"/>
      <c r="Y1084" s="0"/>
      <c r="Z1084" s="0"/>
      <c r="AA1084" s="0"/>
      <c r="AB1084" s="0"/>
      <c r="AC1084" s="0"/>
      <c r="AD1084" s="0"/>
      <c r="AE1084" s="0"/>
      <c r="AF1084" s="0"/>
      <c r="AG1084" s="0"/>
      <c r="AH1084" s="0"/>
      <c r="AI1084" s="0"/>
      <c r="AJ1084" s="0"/>
      <c r="AK1084" s="0"/>
      <c r="AL1084" s="0"/>
      <c r="AM1084" s="0"/>
      <c r="AN1084" s="0"/>
      <c r="AO1084" s="0"/>
      <c r="AP1084" s="0"/>
      <c r="AQ1084" s="0"/>
      <c r="AR1084" s="0"/>
      <c r="AS1084" s="0"/>
      <c r="AT1084" s="0"/>
      <c r="AU1084" s="0"/>
      <c r="AV1084" s="0"/>
      <c r="AW1084" s="0"/>
      <c r="AX1084" s="0"/>
      <c r="AY1084" s="0"/>
      <c r="AZ1084" s="0"/>
      <c r="BA1084" s="0"/>
      <c r="BB1084" s="0"/>
      <c r="BC1084" s="0"/>
      <c r="BD1084" s="0"/>
      <c r="BE1084" s="0"/>
      <c r="BF1084" s="0"/>
      <c r="BG1084" s="0"/>
      <c r="BH1084" s="0"/>
      <c r="BI1084" s="0"/>
      <c r="BJ1084" s="0"/>
      <c r="BK1084" s="0"/>
      <c r="BL1084" s="0"/>
      <c r="BM1084" s="0"/>
      <c r="BN1084" s="0"/>
      <c r="BO1084" s="0"/>
      <c r="BP1084" s="0"/>
      <c r="BQ1084" s="0"/>
      <c r="BR1084" s="0"/>
      <c r="BS1084" s="0"/>
      <c r="BT1084" s="0"/>
      <c r="BU1084" s="0"/>
      <c r="BV1084" s="0"/>
      <c r="BW1084" s="0"/>
      <c r="BX1084" s="0"/>
      <c r="BY1084" s="0"/>
      <c r="BZ1084" s="0"/>
      <c r="CA1084" s="0"/>
      <c r="CB1084" s="0"/>
      <c r="CC1084" s="0"/>
      <c r="CD1084" s="0"/>
      <c r="CE1084" s="0"/>
      <c r="CF1084" s="0"/>
      <c r="CG1084" s="0"/>
      <c r="CH1084" s="0"/>
      <c r="CI1084" s="0"/>
      <c r="CJ1084" s="0"/>
      <c r="CK1084" s="0"/>
      <c r="CL1084" s="0"/>
      <c r="CM1084" s="0"/>
      <c r="CN1084" s="0"/>
      <c r="CO1084" s="0"/>
      <c r="CP1084" s="0"/>
      <c r="CQ1084" s="0"/>
      <c r="CR1084" s="0"/>
      <c r="CS1084" s="0"/>
      <c r="CT1084" s="0"/>
      <c r="CU1084" s="0"/>
      <c r="CV1084" s="0"/>
      <c r="CW1084" s="0"/>
      <c r="CX1084" s="0"/>
      <c r="CY1084" s="0"/>
      <c r="CZ1084" s="0"/>
      <c r="DA1084" s="0"/>
      <c r="DB1084" s="0"/>
      <c r="DC1084" s="0"/>
      <c r="DD1084" s="0"/>
      <c r="DE1084" s="0"/>
      <c r="DF1084" s="0"/>
      <c r="DG1084" s="0"/>
      <c r="DH1084" s="0"/>
      <c r="DI1084" s="0"/>
      <c r="DJ1084" s="0"/>
      <c r="DK1084" s="0"/>
      <c r="DL1084" s="0"/>
      <c r="DM1084" s="0"/>
      <c r="DN1084" s="0"/>
      <c r="DO1084" s="0"/>
      <c r="DP1084" s="0"/>
      <c r="DQ1084" s="0"/>
      <c r="DR1084" s="0"/>
      <c r="DS1084" s="0"/>
      <c r="DT1084" s="0"/>
      <c r="DU1084" s="0"/>
      <c r="DV1084" s="0"/>
      <c r="DW1084" s="0"/>
      <c r="DX1084" s="0"/>
      <c r="DY1084" s="0"/>
      <c r="DZ1084" s="0"/>
      <c r="EA1084" s="0"/>
      <c r="EB1084" s="0"/>
      <c r="EC1084" s="0"/>
      <c r="ED1084" s="0"/>
      <c r="EE1084" s="0"/>
      <c r="EF1084" s="0"/>
      <c r="EG1084" s="0"/>
      <c r="EH1084" s="0"/>
      <c r="EI1084" s="0"/>
      <c r="EJ1084" s="0"/>
      <c r="EK1084" s="0"/>
      <c r="EL1084" s="0"/>
      <c r="EM1084" s="0"/>
      <c r="EN1084" s="0"/>
      <c r="EO1084" s="0"/>
      <c r="EP1084" s="0"/>
      <c r="EQ1084" s="0"/>
      <c r="ER1084" s="0"/>
      <c r="ES1084" s="0"/>
      <c r="ET1084" s="0"/>
      <c r="EU1084" s="0"/>
      <c r="EV1084" s="0"/>
      <c r="EW1084" s="0"/>
      <c r="EX1084" s="0"/>
      <c r="EY1084" s="0"/>
      <c r="EZ1084" s="0"/>
      <c r="FA1084" s="0"/>
      <c r="FB1084" s="0"/>
      <c r="FC1084" s="0"/>
      <c r="FD1084" s="0"/>
      <c r="FE1084" s="0"/>
      <c r="FF1084" s="0"/>
      <c r="FG1084" s="0"/>
      <c r="FH1084" s="0"/>
      <c r="FI1084" s="0"/>
      <c r="FJ1084" s="0"/>
      <c r="FK1084" s="0"/>
      <c r="FL1084" s="0"/>
      <c r="FM1084" s="0"/>
      <c r="FN1084" s="0"/>
      <c r="FO1084" s="0"/>
      <c r="FP1084" s="0"/>
      <c r="FQ1084" s="0"/>
      <c r="FR1084" s="0"/>
      <c r="FS1084" s="0"/>
      <c r="FT1084" s="0"/>
      <c r="FU1084" s="0"/>
      <c r="FV1084" s="0"/>
      <c r="FW1084" s="0"/>
      <c r="FX1084" s="0"/>
      <c r="FY1084" s="0"/>
      <c r="FZ1084" s="0"/>
      <c r="GA1084" s="0"/>
      <c r="GB1084" s="0"/>
      <c r="GC1084" s="0"/>
      <c r="GD1084" s="0"/>
      <c r="GE1084" s="0"/>
      <c r="GF1084" s="0"/>
      <c r="GG1084" s="0"/>
      <c r="GH1084" s="0"/>
      <c r="GI1084" s="0"/>
      <c r="GJ1084" s="0"/>
      <c r="GK1084" s="0"/>
      <c r="GL1084" s="0"/>
      <c r="GM1084" s="0"/>
      <c r="GN1084" s="0"/>
      <c r="GO1084" s="0"/>
      <c r="GP1084" s="0"/>
      <c r="GQ1084" s="0"/>
      <c r="GR1084" s="0"/>
      <c r="GS1084" s="0"/>
      <c r="GT1084" s="0"/>
      <c r="GU1084" s="0"/>
      <c r="GV1084" s="0"/>
      <c r="GW1084" s="0"/>
      <c r="GX1084" s="0"/>
      <c r="GY1084" s="0"/>
      <c r="GZ1084" s="0"/>
      <c r="HA1084" s="0"/>
      <c r="HB1084" s="0"/>
      <c r="HC1084" s="0"/>
      <c r="HD1084" s="0"/>
      <c r="HE1084" s="0"/>
      <c r="HF1084" s="0"/>
      <c r="HG1084" s="0"/>
      <c r="HH1084" s="0"/>
      <c r="HI1084" s="0"/>
      <c r="HJ1084" s="0"/>
      <c r="HK1084" s="0"/>
      <c r="HL1084" s="0"/>
      <c r="HM1084" s="0"/>
      <c r="HN1084" s="0"/>
      <c r="HO1084" s="0"/>
      <c r="HP1084" s="0"/>
      <c r="HQ1084" s="0"/>
      <c r="HR1084" s="0"/>
      <c r="HS1084" s="0"/>
      <c r="HT1084" s="0"/>
      <c r="HU1084" s="0"/>
      <c r="HV1084" s="0"/>
      <c r="HW1084" s="0"/>
      <c r="HX1084" s="0"/>
      <c r="HY1084" s="0"/>
      <c r="HZ1084" s="0"/>
      <c r="IA1084" s="0"/>
      <c r="IB1084" s="0"/>
      <c r="IC1084" s="0"/>
      <c r="ID1084" s="0"/>
      <c r="IE1084" s="0"/>
      <c r="IF1084" s="0"/>
      <c r="IG1084" s="0"/>
      <c r="IH1084" s="0"/>
      <c r="II1084" s="0"/>
      <c r="IJ1084" s="0"/>
      <c r="IK1084" s="0"/>
      <c r="IL1084" s="0"/>
      <c r="IM1084" s="0"/>
      <c r="IN1084" s="0"/>
      <c r="IO1084" s="0"/>
      <c r="IP1084" s="0"/>
      <c r="IQ1084" s="0"/>
      <c r="IR1084" s="0"/>
      <c r="IS1084" s="0"/>
      <c r="IT1084" s="0"/>
      <c r="IU1084" s="0"/>
      <c r="IV1084" s="0"/>
    </row>
    <row r="1085" customFormat="false" ht="15.75" hidden="false" customHeight="true" outlineLevel="0" collapsed="false">
      <c r="A1085" s="433" t="s">
        <v>804</v>
      </c>
      <c r="B1085" s="433"/>
      <c r="C1085" s="950" t="s">
        <v>254</v>
      </c>
      <c r="D1085" s="15" t="s">
        <v>806</v>
      </c>
      <c r="E1085" s="1258"/>
      <c r="F1085" s="1258"/>
      <c r="G1085" s="0"/>
      <c r="H1085" s="0"/>
      <c r="I1085" s="0"/>
      <c r="J1085" s="11"/>
      <c r="K1085" s="0"/>
      <c r="L1085" s="0"/>
      <c r="M1085" s="0"/>
      <c r="N1085" s="0"/>
      <c r="O1085" s="0"/>
      <c r="P1085" s="0"/>
      <c r="Q1085" s="0"/>
      <c r="R1085" s="0"/>
      <c r="S1085" s="0"/>
      <c r="T1085" s="0"/>
      <c r="U1085" s="0"/>
      <c r="V1085" s="0"/>
      <c r="W1085" s="0"/>
      <c r="X1085" s="0"/>
      <c r="Y1085" s="0"/>
      <c r="Z1085" s="0"/>
      <c r="AA1085" s="0"/>
      <c r="AB1085" s="0"/>
      <c r="AC1085" s="0"/>
      <c r="AD1085" s="0"/>
      <c r="AE1085" s="0"/>
      <c r="AF1085" s="0"/>
      <c r="AG1085" s="0"/>
      <c r="AH1085" s="0"/>
      <c r="AI1085" s="0"/>
      <c r="AJ1085" s="0"/>
      <c r="AK1085" s="0"/>
      <c r="AL1085" s="0"/>
      <c r="AM1085" s="0"/>
      <c r="AN1085" s="0"/>
      <c r="AO1085" s="0"/>
      <c r="AP1085" s="0"/>
      <c r="AQ1085" s="0"/>
      <c r="AR1085" s="0"/>
      <c r="AS1085" s="0"/>
      <c r="AT1085" s="0"/>
      <c r="AU1085" s="0"/>
      <c r="AV1085" s="0"/>
      <c r="AW1085" s="0"/>
      <c r="AX1085" s="0"/>
      <c r="AY1085" s="0"/>
      <c r="AZ1085" s="0"/>
      <c r="BA1085" s="0"/>
      <c r="BB1085" s="0"/>
      <c r="BC1085" s="0"/>
      <c r="BD1085" s="0"/>
      <c r="BE1085" s="0"/>
      <c r="BF1085" s="0"/>
      <c r="BG1085" s="0"/>
      <c r="BH1085" s="0"/>
      <c r="BI1085" s="0"/>
      <c r="BJ1085" s="0"/>
      <c r="BK1085" s="0"/>
      <c r="BL1085" s="0"/>
      <c r="BM1085" s="0"/>
      <c r="BN1085" s="0"/>
      <c r="BO1085" s="0"/>
      <c r="BP1085" s="0"/>
      <c r="BQ1085" s="0"/>
      <c r="BR1085" s="0"/>
      <c r="BS1085" s="0"/>
      <c r="BT1085" s="0"/>
      <c r="BU1085" s="0"/>
      <c r="BV1085" s="0"/>
      <c r="BW1085" s="0"/>
      <c r="BX1085" s="0"/>
      <c r="BY1085" s="0"/>
      <c r="BZ1085" s="0"/>
      <c r="CA1085" s="0"/>
      <c r="CB1085" s="0"/>
      <c r="CC1085" s="0"/>
      <c r="CD1085" s="0"/>
      <c r="CE1085" s="0"/>
      <c r="CF1085" s="0"/>
      <c r="CG1085" s="0"/>
      <c r="CH1085" s="0"/>
      <c r="CI1085" s="0"/>
      <c r="CJ1085" s="0"/>
      <c r="CK1085" s="0"/>
      <c r="CL1085" s="0"/>
      <c r="CM1085" s="0"/>
      <c r="CN1085" s="0"/>
      <c r="CO1085" s="0"/>
      <c r="CP1085" s="0"/>
      <c r="CQ1085" s="0"/>
      <c r="CR1085" s="0"/>
      <c r="CS1085" s="0"/>
      <c r="CT1085" s="0"/>
      <c r="CU1085" s="0"/>
      <c r="CV1085" s="0"/>
      <c r="CW1085" s="0"/>
      <c r="CX1085" s="0"/>
      <c r="CY1085" s="0"/>
      <c r="CZ1085" s="0"/>
      <c r="DA1085" s="0"/>
      <c r="DB1085" s="0"/>
      <c r="DC1085" s="0"/>
      <c r="DD1085" s="0"/>
      <c r="DE1085" s="0"/>
      <c r="DF1085" s="0"/>
      <c r="DG1085" s="0"/>
      <c r="DH1085" s="0"/>
      <c r="DI1085" s="0"/>
      <c r="DJ1085" s="0"/>
      <c r="DK1085" s="0"/>
      <c r="DL1085" s="0"/>
      <c r="DM1085" s="0"/>
      <c r="DN1085" s="0"/>
      <c r="DO1085" s="0"/>
      <c r="DP1085" s="0"/>
      <c r="DQ1085" s="0"/>
      <c r="DR1085" s="0"/>
      <c r="DS1085" s="0"/>
      <c r="DT1085" s="0"/>
      <c r="DU1085" s="0"/>
      <c r="DV1085" s="0"/>
      <c r="DW1085" s="0"/>
      <c r="DX1085" s="0"/>
      <c r="DY1085" s="0"/>
      <c r="DZ1085" s="0"/>
      <c r="EA1085" s="0"/>
      <c r="EB1085" s="0"/>
      <c r="EC1085" s="0"/>
      <c r="ED1085" s="0"/>
      <c r="EE1085" s="0"/>
      <c r="EF1085" s="0"/>
      <c r="EG1085" s="0"/>
      <c r="EH1085" s="0"/>
      <c r="EI1085" s="0"/>
      <c r="EJ1085" s="0"/>
      <c r="EK1085" s="0"/>
      <c r="EL1085" s="0"/>
      <c r="EM1085" s="0"/>
      <c r="EN1085" s="0"/>
      <c r="EO1085" s="0"/>
      <c r="EP1085" s="0"/>
      <c r="EQ1085" s="0"/>
      <c r="ER1085" s="0"/>
      <c r="ES1085" s="0"/>
      <c r="ET1085" s="0"/>
      <c r="EU1085" s="0"/>
      <c r="EV1085" s="0"/>
      <c r="EW1085" s="0"/>
      <c r="EX1085" s="0"/>
      <c r="EY1085" s="0"/>
      <c r="EZ1085" s="0"/>
      <c r="FA1085" s="0"/>
      <c r="FB1085" s="0"/>
      <c r="FC1085" s="0"/>
      <c r="FD1085" s="0"/>
      <c r="FE1085" s="0"/>
      <c r="FF1085" s="0"/>
      <c r="FG1085" s="0"/>
      <c r="FH1085" s="0"/>
      <c r="FI1085" s="0"/>
      <c r="FJ1085" s="0"/>
      <c r="FK1085" s="0"/>
      <c r="FL1085" s="0"/>
      <c r="FM1085" s="0"/>
      <c r="FN1085" s="0"/>
      <c r="FO1085" s="0"/>
      <c r="FP1085" s="0"/>
      <c r="FQ1085" s="0"/>
      <c r="FR1085" s="0"/>
      <c r="FS1085" s="0"/>
      <c r="FT1085" s="0"/>
      <c r="FU1085" s="0"/>
      <c r="FV1085" s="0"/>
      <c r="FW1085" s="0"/>
      <c r="FX1085" s="0"/>
      <c r="FY1085" s="0"/>
      <c r="FZ1085" s="0"/>
      <c r="GA1085" s="0"/>
      <c r="GB1085" s="0"/>
      <c r="GC1085" s="0"/>
      <c r="GD1085" s="0"/>
      <c r="GE1085" s="0"/>
      <c r="GF1085" s="0"/>
      <c r="GG1085" s="0"/>
      <c r="GH1085" s="0"/>
      <c r="GI1085" s="0"/>
      <c r="GJ1085" s="0"/>
      <c r="GK1085" s="0"/>
      <c r="GL1085" s="0"/>
      <c r="GM1085" s="0"/>
      <c r="GN1085" s="0"/>
      <c r="GO1085" s="0"/>
      <c r="GP1085" s="0"/>
      <c r="GQ1085" s="0"/>
      <c r="GR1085" s="0"/>
      <c r="GS1085" s="0"/>
      <c r="GT1085" s="0"/>
      <c r="GU1085" s="0"/>
      <c r="GV1085" s="0"/>
      <c r="GW1085" s="0"/>
      <c r="GX1085" s="0"/>
      <c r="GY1085" s="0"/>
      <c r="GZ1085" s="0"/>
      <c r="HA1085" s="0"/>
      <c r="HB1085" s="0"/>
      <c r="HC1085" s="0"/>
      <c r="HD1085" s="0"/>
      <c r="HE1085" s="0"/>
      <c r="HF1085" s="0"/>
      <c r="HG1085" s="0"/>
      <c r="HH1085" s="0"/>
      <c r="HI1085" s="0"/>
      <c r="HJ1085" s="0"/>
      <c r="HK1085" s="0"/>
      <c r="HL1085" s="0"/>
      <c r="HM1085" s="0"/>
      <c r="HN1085" s="0"/>
      <c r="HO1085" s="0"/>
      <c r="HP1085" s="0"/>
      <c r="HQ1085" s="0"/>
      <c r="HR1085" s="0"/>
      <c r="HS1085" s="0"/>
      <c r="HT1085" s="0"/>
      <c r="HU1085" s="0"/>
      <c r="HV1085" s="0"/>
      <c r="HW1085" s="0"/>
      <c r="HX1085" s="0"/>
      <c r="HY1085" s="0"/>
      <c r="HZ1085" s="0"/>
      <c r="IA1085" s="0"/>
      <c r="IB1085" s="0"/>
      <c r="IC1085" s="0"/>
      <c r="ID1085" s="0"/>
      <c r="IE1085" s="0"/>
      <c r="IF1085" s="0"/>
      <c r="IG1085" s="0"/>
      <c r="IH1085" s="0"/>
      <c r="II1085" s="0"/>
      <c r="IJ1085" s="0"/>
      <c r="IK1085" s="0"/>
      <c r="IL1085" s="0"/>
      <c r="IM1085" s="0"/>
      <c r="IN1085" s="0"/>
      <c r="IO1085" s="0"/>
      <c r="IP1085" s="0"/>
      <c r="IQ1085" s="0"/>
      <c r="IR1085" s="0"/>
      <c r="IS1085" s="0"/>
      <c r="IT1085" s="0"/>
      <c r="IU1085" s="0"/>
      <c r="IV1085" s="0"/>
    </row>
    <row r="1086" customFormat="false" ht="15" hidden="false" customHeight="true" outlineLevel="0" collapsed="false">
      <c r="A1086" s="443" t="s">
        <v>805</v>
      </c>
      <c r="B1086" s="0"/>
      <c r="C1086" s="0"/>
      <c r="D1086" s="0"/>
      <c r="E1086" s="0"/>
      <c r="F1086" s="0"/>
      <c r="G1086" s="0"/>
      <c r="H1086" s="0"/>
      <c r="I1086" s="0"/>
      <c r="J1086" s="11"/>
      <c r="K1086" s="0"/>
      <c r="L1086" s="0"/>
      <c r="M1086" s="0"/>
      <c r="N1086" s="0"/>
      <c r="O1086" s="0"/>
      <c r="P1086" s="1289"/>
      <c r="Q1086" s="0"/>
      <c r="R1086" s="0"/>
      <c r="S1086" s="0"/>
      <c r="T1086" s="0"/>
      <c r="U1086" s="0"/>
      <c r="V1086" s="0"/>
      <c r="W1086" s="0"/>
      <c r="X1086" s="0"/>
      <c r="Y1086" s="0"/>
      <c r="Z1086" s="0"/>
      <c r="AA1086" s="0"/>
      <c r="AB1086" s="0"/>
      <c r="AC1086" s="0"/>
      <c r="AD1086" s="0"/>
      <c r="AE1086" s="0"/>
      <c r="AF1086" s="0"/>
      <c r="AG1086" s="0"/>
      <c r="AH1086" s="0"/>
      <c r="AI1086" s="0"/>
      <c r="AJ1086" s="0"/>
      <c r="AK1086" s="0"/>
      <c r="AL1086" s="0"/>
      <c r="AM1086" s="0"/>
      <c r="AN1086" s="0"/>
      <c r="AO1086" s="0"/>
      <c r="AP1086" s="0"/>
      <c r="AQ1086" s="0"/>
      <c r="AR1086" s="0"/>
      <c r="AS1086" s="0"/>
      <c r="AT1086" s="0"/>
      <c r="AU1086" s="0"/>
      <c r="AV1086" s="0"/>
      <c r="AW1086" s="0"/>
      <c r="AX1086" s="0"/>
      <c r="AY1086" s="0"/>
      <c r="AZ1086" s="0"/>
      <c r="BA1086" s="0"/>
      <c r="BB1086" s="0"/>
      <c r="BC1086" s="0"/>
      <c r="BD1086" s="0"/>
      <c r="BE1086" s="0"/>
      <c r="BF1086" s="0"/>
      <c r="BG1086" s="0"/>
      <c r="BH1086" s="0"/>
      <c r="BI1086" s="0"/>
      <c r="BJ1086" s="0"/>
      <c r="BK1086" s="0"/>
      <c r="BL1086" s="0"/>
      <c r="BM1086" s="0"/>
      <c r="BN1086" s="0"/>
      <c r="BO1086" s="0"/>
      <c r="BP1086" s="0"/>
      <c r="BQ1086" s="0"/>
      <c r="BR1086" s="0"/>
      <c r="BS1086" s="0"/>
      <c r="BT1086" s="0"/>
      <c r="BU1086" s="0"/>
      <c r="BV1086" s="0"/>
      <c r="BW1086" s="0"/>
      <c r="BX1086" s="0"/>
      <c r="BY1086" s="0"/>
      <c r="BZ1086" s="0"/>
      <c r="CA1086" s="0"/>
      <c r="CB1086" s="0"/>
      <c r="CC1086" s="0"/>
      <c r="CD1086" s="0"/>
      <c r="CE1086" s="0"/>
      <c r="CF1086" s="0"/>
      <c r="CG1086" s="0"/>
      <c r="CH1086" s="0"/>
      <c r="CI1086" s="0"/>
      <c r="CJ1086" s="0"/>
      <c r="CK1086" s="0"/>
      <c r="CL1086" s="0"/>
      <c r="CM1086" s="0"/>
      <c r="CN1086" s="0"/>
      <c r="CO1086" s="0"/>
      <c r="CP1086" s="0"/>
      <c r="CQ1086" s="0"/>
      <c r="CR1086" s="0"/>
      <c r="CS1086" s="0"/>
      <c r="CT1086" s="0"/>
      <c r="CU1086" s="0"/>
      <c r="CV1086" s="0"/>
      <c r="CW1086" s="0"/>
      <c r="CX1086" s="0"/>
      <c r="CY1086" s="0"/>
      <c r="CZ1086" s="0"/>
      <c r="DA1086" s="0"/>
      <c r="DB1086" s="0"/>
      <c r="DC1086" s="0"/>
      <c r="DD1086" s="0"/>
      <c r="DE1086" s="0"/>
      <c r="DF1086" s="0"/>
      <c r="DG1086" s="0"/>
      <c r="DH1086" s="0"/>
      <c r="DI1086" s="0"/>
      <c r="DJ1086" s="0"/>
      <c r="DK1086" s="0"/>
      <c r="DL1086" s="0"/>
      <c r="DM1086" s="0"/>
      <c r="DN1086" s="0"/>
      <c r="DO1086" s="0"/>
      <c r="DP1086" s="0"/>
      <c r="DQ1086" s="0"/>
      <c r="DR1086" s="0"/>
      <c r="DS1086" s="0"/>
      <c r="DT1086" s="0"/>
      <c r="DU1086" s="0"/>
      <c r="DV1086" s="0"/>
      <c r="DW1086" s="0"/>
      <c r="DX1086" s="0"/>
      <c r="DY1086" s="0"/>
      <c r="DZ1086" s="0"/>
      <c r="EA1086" s="0"/>
      <c r="EB1086" s="0"/>
      <c r="EC1086" s="0"/>
      <c r="ED1086" s="0"/>
      <c r="EE1086" s="0"/>
      <c r="EF1086" s="0"/>
      <c r="EG1086" s="0"/>
      <c r="EH1086" s="0"/>
      <c r="EI1086" s="0"/>
      <c r="EJ1086" s="0"/>
      <c r="EK1086" s="0"/>
      <c r="EL1086" s="0"/>
      <c r="EM1086" s="0"/>
      <c r="EN1086" s="0"/>
      <c r="EO1086" s="0"/>
      <c r="EP1086" s="0"/>
      <c r="EQ1086" s="0"/>
      <c r="ER1086" s="0"/>
      <c r="ES1086" s="0"/>
      <c r="ET1086" s="0"/>
      <c r="EU1086" s="0"/>
      <c r="EV1086" s="0"/>
      <c r="EW1086" s="0"/>
      <c r="EX1086" s="0"/>
      <c r="EY1086" s="0"/>
      <c r="EZ1086" s="0"/>
      <c r="FA1086" s="0"/>
      <c r="FB1086" s="0"/>
      <c r="FC1086" s="0"/>
      <c r="FD1086" s="0"/>
      <c r="FE1086" s="0"/>
      <c r="FF1086" s="0"/>
      <c r="FG1086" s="0"/>
      <c r="FH1086" s="0"/>
      <c r="FI1086" s="0"/>
      <c r="FJ1086" s="0"/>
      <c r="FK1086" s="0"/>
      <c r="FL1086" s="0"/>
      <c r="FM1086" s="0"/>
      <c r="FN1086" s="0"/>
      <c r="FO1086" s="0"/>
      <c r="FP1086" s="0"/>
      <c r="FQ1086" s="0"/>
      <c r="FR1086" s="0"/>
      <c r="FS1086" s="0"/>
      <c r="FT1086" s="0"/>
      <c r="FU1086" s="0"/>
      <c r="FV1086" s="0"/>
      <c r="FW1086" s="0"/>
      <c r="FX1086" s="0"/>
      <c r="FY1086" s="0"/>
      <c r="FZ1086" s="0"/>
      <c r="GA1086" s="0"/>
      <c r="GB1086" s="0"/>
      <c r="GC1086" s="0"/>
      <c r="GD1086" s="0"/>
      <c r="GE1086" s="0"/>
      <c r="GF1086" s="0"/>
      <c r="GG1086" s="0"/>
      <c r="GH1086" s="0"/>
      <c r="GI1086" s="0"/>
      <c r="GJ1086" s="0"/>
      <c r="GK1086" s="0"/>
      <c r="GL1086" s="0"/>
      <c r="GM1086" s="0"/>
      <c r="GN1086" s="0"/>
      <c r="GO1086" s="0"/>
      <c r="GP1086" s="0"/>
      <c r="GQ1086" s="0"/>
      <c r="GR1086" s="0"/>
      <c r="GS1086" s="0"/>
      <c r="GT1086" s="0"/>
      <c r="GU1086" s="0"/>
      <c r="GV1086" s="0"/>
      <c r="GW1086" s="0"/>
      <c r="GX1086" s="0"/>
      <c r="GY1086" s="0"/>
      <c r="GZ1086" s="0"/>
      <c r="HA1086" s="0"/>
      <c r="HB1086" s="0"/>
      <c r="HC1086" s="0"/>
      <c r="HD1086" s="0"/>
      <c r="HE1086" s="0"/>
      <c r="HF1086" s="0"/>
      <c r="HG1086" s="0"/>
      <c r="HH1086" s="0"/>
      <c r="HI1086" s="0"/>
      <c r="HJ1086" s="0"/>
      <c r="HK1086" s="0"/>
      <c r="HL1086" s="0"/>
      <c r="HM1086" s="0"/>
      <c r="HN1086" s="0"/>
      <c r="HO1086" s="0"/>
      <c r="HP1086" s="0"/>
      <c r="HQ1086" s="0"/>
      <c r="HR1086" s="0"/>
      <c r="HS1086" s="0"/>
      <c r="HT1086" s="0"/>
      <c r="HU1086" s="0"/>
      <c r="HV1086" s="0"/>
      <c r="HW1086" s="0"/>
      <c r="HX1086" s="0"/>
      <c r="HY1086" s="0"/>
      <c r="HZ1086" s="0"/>
      <c r="IA1086" s="0"/>
      <c r="IB1086" s="0"/>
      <c r="IC1086" s="0"/>
      <c r="ID1086" s="0"/>
      <c r="IE1086" s="0"/>
      <c r="IF1086" s="0"/>
      <c r="IG1086" s="0"/>
      <c r="IH1086" s="0"/>
      <c r="II1086" s="0"/>
      <c r="IJ1086" s="0"/>
      <c r="IK1086" s="0"/>
      <c r="IL1086" s="0"/>
      <c r="IM1086" s="0"/>
      <c r="IN1086" s="0"/>
      <c r="IO1086" s="0"/>
      <c r="IP1086" s="0"/>
      <c r="IQ1086" s="0"/>
      <c r="IR1086" s="0"/>
      <c r="IS1086" s="0"/>
      <c r="IT1086" s="0"/>
      <c r="IU1086" s="0"/>
      <c r="IV1086" s="0"/>
    </row>
    <row r="1087" customFormat="false" ht="15" hidden="false" customHeight="true" outlineLevel="0" collapsed="false">
      <c r="A1087" s="0"/>
      <c r="B1087" s="0"/>
      <c r="C1087" s="0"/>
      <c r="D1087" s="0"/>
      <c r="E1087" s="0"/>
      <c r="F1087" s="0"/>
      <c r="G1087" s="0"/>
      <c r="H1087" s="0"/>
      <c r="I1087" s="0"/>
      <c r="J1087" s="11"/>
      <c r="K1087" s="0"/>
      <c r="L1087" s="0"/>
      <c r="M1087" s="0"/>
      <c r="N1087" s="0"/>
      <c r="O1087" s="0"/>
      <c r="P1087" s="1289"/>
      <c r="Q1087" s="0"/>
      <c r="R1087" s="0"/>
      <c r="S1087" s="0"/>
      <c r="T1087" s="0"/>
      <c r="U1087" s="0"/>
      <c r="V1087" s="0"/>
      <c r="W1087" s="0"/>
      <c r="X1087" s="0"/>
      <c r="Y1087" s="0"/>
      <c r="Z1087" s="0"/>
      <c r="AA1087" s="0"/>
      <c r="AB1087" s="0"/>
      <c r="AC1087" s="0"/>
      <c r="AD1087" s="0"/>
      <c r="AE1087" s="0"/>
      <c r="AF1087" s="0"/>
      <c r="AG1087" s="0"/>
      <c r="AH1087" s="0"/>
      <c r="AI1087" s="0"/>
      <c r="AJ1087" s="0"/>
      <c r="AK1087" s="0"/>
      <c r="AL1087" s="0"/>
      <c r="AM1087" s="0"/>
      <c r="AN1087" s="0"/>
      <c r="AO1087" s="0"/>
      <c r="AP1087" s="0"/>
      <c r="AQ1087" s="0"/>
      <c r="AR1087" s="0"/>
      <c r="AS1087" s="0"/>
      <c r="AT1087" s="0"/>
      <c r="AU1087" s="0"/>
      <c r="AV1087" s="0"/>
      <c r="AW1087" s="0"/>
      <c r="AX1087" s="0"/>
      <c r="AY1087" s="0"/>
      <c r="AZ1087" s="0"/>
      <c r="BA1087" s="0"/>
      <c r="BB1087" s="0"/>
      <c r="BC1087" s="0"/>
      <c r="BD1087" s="0"/>
      <c r="BE1087" s="0"/>
      <c r="BF1087" s="0"/>
      <c r="BG1087" s="0"/>
      <c r="BH1087" s="0"/>
      <c r="BI1087" s="0"/>
      <c r="BJ1087" s="0"/>
      <c r="BK1087" s="0"/>
      <c r="BL1087" s="0"/>
      <c r="BM1087" s="0"/>
      <c r="BN1087" s="0"/>
      <c r="BO1087" s="0"/>
      <c r="BP1087" s="0"/>
      <c r="BQ1087" s="0"/>
      <c r="BR1087" s="0"/>
      <c r="BS1087" s="0"/>
      <c r="BT1087" s="0"/>
      <c r="BU1087" s="0"/>
      <c r="BV1087" s="0"/>
      <c r="BW1087" s="0"/>
      <c r="BX1087" s="0"/>
      <c r="BY1087" s="0"/>
      <c r="BZ1087" s="0"/>
      <c r="CA1087" s="0"/>
      <c r="CB1087" s="0"/>
      <c r="CC1087" s="0"/>
      <c r="CD1087" s="0"/>
      <c r="CE1087" s="0"/>
      <c r="CF1087" s="0"/>
      <c r="CG1087" s="0"/>
      <c r="CH1087" s="0"/>
      <c r="CI1087" s="0"/>
      <c r="CJ1087" s="0"/>
      <c r="CK1087" s="0"/>
      <c r="CL1087" s="0"/>
      <c r="CM1087" s="0"/>
      <c r="CN1087" s="0"/>
      <c r="CO1087" s="0"/>
      <c r="CP1087" s="0"/>
      <c r="CQ1087" s="0"/>
      <c r="CR1087" s="0"/>
      <c r="CS1087" s="0"/>
      <c r="CT1087" s="0"/>
      <c r="CU1087" s="0"/>
      <c r="CV1087" s="0"/>
      <c r="CW1087" s="0"/>
      <c r="CX1087" s="0"/>
      <c r="CY1087" s="0"/>
      <c r="CZ1087" s="0"/>
      <c r="DA1087" s="0"/>
      <c r="DB1087" s="0"/>
      <c r="DC1087" s="0"/>
      <c r="DD1087" s="0"/>
      <c r="DE1087" s="0"/>
      <c r="DF1087" s="0"/>
      <c r="DG1087" s="0"/>
      <c r="DH1087" s="0"/>
      <c r="DI1087" s="0"/>
      <c r="DJ1087" s="0"/>
      <c r="DK1087" s="0"/>
      <c r="DL1087" s="0"/>
      <c r="DM1087" s="0"/>
      <c r="DN1087" s="0"/>
      <c r="DO1087" s="0"/>
      <c r="DP1087" s="0"/>
      <c r="DQ1087" s="0"/>
      <c r="DR1087" s="0"/>
      <c r="DS1087" s="0"/>
      <c r="DT1087" s="0"/>
      <c r="DU1087" s="0"/>
      <c r="DV1087" s="0"/>
      <c r="DW1087" s="0"/>
      <c r="DX1087" s="0"/>
      <c r="DY1087" s="0"/>
      <c r="DZ1087" s="0"/>
      <c r="EA1087" s="0"/>
      <c r="EB1087" s="0"/>
      <c r="EC1087" s="0"/>
      <c r="ED1087" s="0"/>
      <c r="EE1087" s="0"/>
      <c r="EF1087" s="0"/>
      <c r="EG1087" s="0"/>
      <c r="EH1087" s="0"/>
      <c r="EI1087" s="0"/>
      <c r="EJ1087" s="0"/>
      <c r="EK1087" s="0"/>
      <c r="EL1087" s="0"/>
      <c r="EM1087" s="0"/>
      <c r="EN1087" s="0"/>
      <c r="EO1087" s="0"/>
      <c r="EP1087" s="0"/>
      <c r="EQ1087" s="0"/>
      <c r="ER1087" s="0"/>
      <c r="ES1087" s="0"/>
      <c r="ET1087" s="0"/>
      <c r="EU1087" s="0"/>
      <c r="EV1087" s="0"/>
      <c r="EW1087" s="0"/>
      <c r="EX1087" s="0"/>
      <c r="EY1087" s="0"/>
      <c r="EZ1087" s="0"/>
      <c r="FA1087" s="0"/>
      <c r="FB1087" s="0"/>
      <c r="FC1087" s="0"/>
      <c r="FD1087" s="0"/>
      <c r="FE1087" s="0"/>
      <c r="FF1087" s="0"/>
      <c r="FG1087" s="0"/>
      <c r="FH1087" s="0"/>
      <c r="FI1087" s="0"/>
      <c r="FJ1087" s="0"/>
      <c r="FK1087" s="0"/>
      <c r="FL1087" s="0"/>
      <c r="FM1087" s="0"/>
      <c r="FN1087" s="0"/>
      <c r="FO1087" s="0"/>
      <c r="FP1087" s="0"/>
      <c r="FQ1087" s="0"/>
      <c r="FR1087" s="0"/>
      <c r="FS1087" s="0"/>
      <c r="FT1087" s="0"/>
      <c r="FU1087" s="0"/>
      <c r="FV1087" s="0"/>
      <c r="FW1087" s="0"/>
      <c r="FX1087" s="0"/>
      <c r="FY1087" s="0"/>
      <c r="FZ1087" s="0"/>
      <c r="GA1087" s="0"/>
      <c r="GB1087" s="0"/>
      <c r="GC1087" s="0"/>
      <c r="GD1087" s="0"/>
      <c r="GE1087" s="0"/>
      <c r="GF1087" s="0"/>
      <c r="GG1087" s="0"/>
      <c r="GH1087" s="0"/>
      <c r="GI1087" s="0"/>
      <c r="GJ1087" s="0"/>
      <c r="GK1087" s="0"/>
      <c r="GL1087" s="0"/>
      <c r="GM1087" s="0"/>
      <c r="GN1087" s="0"/>
      <c r="GO1087" s="0"/>
      <c r="GP1087" s="0"/>
      <c r="GQ1087" s="0"/>
      <c r="GR1087" s="0"/>
      <c r="GS1087" s="0"/>
      <c r="GT1087" s="0"/>
      <c r="GU1087" s="0"/>
      <c r="GV1087" s="0"/>
      <c r="GW1087" s="0"/>
      <c r="GX1087" s="0"/>
      <c r="GY1087" s="0"/>
      <c r="GZ1087" s="0"/>
      <c r="HA1087" s="0"/>
      <c r="HB1087" s="0"/>
      <c r="HC1087" s="0"/>
      <c r="HD1087" s="0"/>
      <c r="HE1087" s="0"/>
      <c r="HF1087" s="0"/>
      <c r="HG1087" s="0"/>
      <c r="HH1087" s="0"/>
      <c r="HI1087" s="0"/>
      <c r="HJ1087" s="0"/>
      <c r="HK1087" s="0"/>
      <c r="HL1087" s="0"/>
      <c r="HM1087" s="0"/>
      <c r="HN1087" s="0"/>
      <c r="HO1087" s="0"/>
      <c r="HP1087" s="0"/>
      <c r="HQ1087" s="0"/>
      <c r="HR1087" s="0"/>
      <c r="HS1087" s="0"/>
      <c r="HT1087" s="0"/>
      <c r="HU1087" s="0"/>
      <c r="HV1087" s="0"/>
      <c r="HW1087" s="0"/>
      <c r="HX1087" s="0"/>
      <c r="HY1087" s="0"/>
      <c r="HZ1087" s="0"/>
      <c r="IA1087" s="0"/>
      <c r="IB1087" s="0"/>
      <c r="IC1087" s="0"/>
      <c r="ID1087" s="0"/>
      <c r="IE1087" s="0"/>
      <c r="IF1087" s="0"/>
      <c r="IG1087" s="0"/>
      <c r="IH1087" s="0"/>
      <c r="II1087" s="0"/>
      <c r="IJ1087" s="0"/>
      <c r="IK1087" s="0"/>
      <c r="IL1087" s="0"/>
      <c r="IM1087" s="0"/>
      <c r="IN1087" s="0"/>
      <c r="IO1087" s="0"/>
      <c r="IP1087" s="0"/>
      <c r="IQ1087" s="0"/>
      <c r="IR1087" s="0"/>
      <c r="IS1087" s="0"/>
      <c r="IT1087" s="0"/>
      <c r="IU1087" s="0"/>
      <c r="IV1087" s="0"/>
    </row>
    <row r="1088" customFormat="false" ht="15" hidden="false" customHeight="true" outlineLevel="0" collapsed="false">
      <c r="J1088" s="11"/>
    </row>
    <row r="1089" customFormat="false" ht="16.5" hidden="false" customHeight="true" outlineLevel="0" collapsed="false">
      <c r="A1089" s="869" t="s">
        <v>1715</v>
      </c>
      <c r="B1089" s="869"/>
      <c r="C1089" s="869"/>
      <c r="D1089" s="869"/>
      <c r="E1089" s="869"/>
      <c r="F1089" s="869"/>
      <c r="G1089" s="869"/>
      <c r="H1089" s="53"/>
      <c r="I1089" s="53"/>
      <c r="J1089" s="53"/>
      <c r="K1089" s="870"/>
      <c r="L1089" s="871" t="s">
        <v>1707</v>
      </c>
      <c r="M1089" s="55"/>
      <c r="N1089" s="0"/>
      <c r="O1089" s="0"/>
      <c r="P1089" s="0"/>
      <c r="Q1089" s="55"/>
      <c r="R1089" s="55"/>
      <c r="S1089" s="0"/>
      <c r="T1089" s="0"/>
      <c r="U1089" s="0"/>
      <c r="V1089" s="0"/>
      <c r="W1089" s="0"/>
      <c r="X1089" s="0"/>
      <c r="Y1089" s="0"/>
      <c r="Z1089" s="0"/>
      <c r="AA1089" s="0"/>
      <c r="AB1089" s="0"/>
      <c r="AC1089" s="0"/>
      <c r="AD1089" s="0"/>
      <c r="AE1089" s="0"/>
      <c r="AF1089" s="0"/>
      <c r="AG1089" s="0"/>
      <c r="AH1089" s="0"/>
      <c r="AI1089" s="0"/>
      <c r="AJ1089" s="0"/>
      <c r="AK1089" s="0"/>
      <c r="AL1089" s="0"/>
      <c r="AM1089" s="0"/>
      <c r="AN1089" s="0"/>
      <c r="AO1089" s="0"/>
      <c r="AP1089" s="0"/>
      <c r="AQ1089" s="0"/>
      <c r="AR1089" s="0"/>
      <c r="AS1089" s="0"/>
      <c r="AT1089" s="0"/>
      <c r="AU1089" s="0"/>
      <c r="AV1089" s="0"/>
      <c r="AW1089" s="0"/>
      <c r="AX1089" s="0"/>
      <c r="AY1089" s="0"/>
      <c r="AZ1089" s="0"/>
      <c r="BA1089" s="0"/>
      <c r="BB1089" s="0"/>
      <c r="BC1089" s="0"/>
      <c r="BD1089" s="0"/>
      <c r="BE1089" s="0"/>
      <c r="BF1089" s="0"/>
      <c r="BG1089" s="0"/>
      <c r="BH1089" s="0"/>
      <c r="BI1089" s="0"/>
      <c r="BJ1089" s="0"/>
      <c r="BK1089" s="0"/>
      <c r="BL1089" s="0"/>
      <c r="BM1089" s="0"/>
      <c r="BN1089" s="0"/>
      <c r="BO1089" s="0"/>
      <c r="BP1089" s="0"/>
      <c r="BQ1089" s="0"/>
      <c r="BR1089" s="0"/>
      <c r="BS1089" s="0"/>
      <c r="BT1089" s="0"/>
      <c r="BU1089" s="0"/>
      <c r="BV1089" s="0"/>
      <c r="BW1089" s="0"/>
      <c r="BX1089" s="0"/>
      <c r="BY1089" s="0"/>
      <c r="BZ1089" s="0"/>
      <c r="CA1089" s="0"/>
      <c r="CB1089" s="0"/>
      <c r="CC1089" s="0"/>
      <c r="CD1089" s="0"/>
      <c r="CE1089" s="0"/>
      <c r="CF1089" s="0"/>
      <c r="CG1089" s="0"/>
      <c r="CH1089" s="0"/>
      <c r="CI1089" s="0"/>
      <c r="CJ1089" s="0"/>
      <c r="CK1089" s="0"/>
      <c r="CL1089" s="0"/>
      <c r="CM1089" s="0"/>
      <c r="CN1089" s="0"/>
      <c r="CO1089" s="0"/>
      <c r="CP1089" s="0"/>
      <c r="CQ1089" s="0"/>
      <c r="CR1089" s="0"/>
      <c r="CS1089" s="0"/>
      <c r="CT1089" s="0"/>
      <c r="CU1089" s="0"/>
      <c r="CV1089" s="0"/>
      <c r="CW1089" s="0"/>
      <c r="CX1089" s="0"/>
      <c r="CY1089" s="0"/>
      <c r="CZ1089" s="0"/>
      <c r="DA1089" s="0"/>
      <c r="DB1089" s="0"/>
      <c r="DC1089" s="0"/>
      <c r="DD1089" s="0"/>
      <c r="DE1089" s="0"/>
      <c r="DF1089" s="0"/>
      <c r="DG1089" s="0"/>
      <c r="DH1089" s="0"/>
      <c r="DI1089" s="0"/>
      <c r="DJ1089" s="0"/>
      <c r="DK1089" s="0"/>
      <c r="DL1089" s="0"/>
      <c r="DM1089" s="0"/>
      <c r="DN1089" s="0"/>
      <c r="DO1089" s="0"/>
      <c r="DP1089" s="0"/>
      <c r="DQ1089" s="0"/>
      <c r="DR1089" s="0"/>
      <c r="DS1089" s="0"/>
      <c r="DT1089" s="0"/>
      <c r="DU1089" s="0"/>
      <c r="DV1089" s="0"/>
      <c r="DW1089" s="0"/>
      <c r="DX1089" s="0"/>
      <c r="DY1089" s="0"/>
      <c r="DZ1089" s="0"/>
      <c r="EA1089" s="0"/>
      <c r="EB1089" s="0"/>
      <c r="EC1089" s="0"/>
      <c r="ED1089" s="0"/>
      <c r="EE1089" s="0"/>
      <c r="EF1089" s="0"/>
      <c r="EG1089" s="0"/>
      <c r="EH1089" s="0"/>
      <c r="EI1089" s="0"/>
      <c r="EJ1089" s="0"/>
      <c r="EK1089" s="0"/>
      <c r="EL1089" s="0"/>
      <c r="EM1089" s="0"/>
      <c r="EN1089" s="0"/>
      <c r="EO1089" s="0"/>
      <c r="EP1089" s="0"/>
      <c r="EQ1089" s="0"/>
      <c r="ER1089" s="0"/>
      <c r="ES1089" s="0"/>
      <c r="ET1089" s="0"/>
      <c r="EU1089" s="0"/>
      <c r="EV1089" s="0"/>
      <c r="EW1089" s="0"/>
      <c r="EX1089" s="0"/>
      <c r="EY1089" s="0"/>
      <c r="EZ1089" s="0"/>
      <c r="FA1089" s="0"/>
      <c r="FB1089" s="0"/>
      <c r="FC1089" s="0"/>
      <c r="FD1089" s="0"/>
      <c r="FE1089" s="0"/>
      <c r="FF1089" s="0"/>
      <c r="FG1089" s="0"/>
      <c r="FH1089" s="0"/>
      <c r="FI1089" s="0"/>
      <c r="FJ1089" s="0"/>
      <c r="FK1089" s="0"/>
      <c r="FL1089" s="0"/>
      <c r="FM1089" s="0"/>
      <c r="FN1089" s="0"/>
      <c r="FO1089" s="0"/>
      <c r="FP1089" s="0"/>
      <c r="FQ1089" s="0"/>
      <c r="FR1089" s="0"/>
      <c r="FS1089" s="0"/>
      <c r="FT1089" s="0"/>
      <c r="FU1089" s="0"/>
      <c r="FV1089" s="0"/>
      <c r="FW1089" s="0"/>
      <c r="FX1089" s="0"/>
      <c r="FY1089" s="0"/>
      <c r="FZ1089" s="0"/>
      <c r="GA1089" s="0"/>
      <c r="GB1089" s="0"/>
      <c r="GC1089" s="0"/>
      <c r="GD1089" s="0"/>
      <c r="GE1089" s="0"/>
      <c r="GF1089" s="0"/>
      <c r="GG1089" s="0"/>
      <c r="GH1089" s="0"/>
      <c r="GI1089" s="0"/>
      <c r="GJ1089" s="0"/>
      <c r="GK1089" s="0"/>
      <c r="GL1089" s="0"/>
      <c r="GM1089" s="0"/>
      <c r="GN1089" s="0"/>
      <c r="GO1089" s="0"/>
      <c r="GP1089" s="0"/>
      <c r="GQ1089" s="0"/>
      <c r="GR1089" s="0"/>
      <c r="GS1089" s="0"/>
      <c r="GT1089" s="0"/>
      <c r="GU1089" s="0"/>
      <c r="GV1089" s="0"/>
      <c r="GW1089" s="0"/>
      <c r="GX1089" s="0"/>
      <c r="GY1089" s="0"/>
      <c r="GZ1089" s="0"/>
      <c r="HA1089" s="0"/>
      <c r="HB1089" s="0"/>
      <c r="HC1089" s="0"/>
      <c r="HD1089" s="0"/>
      <c r="HE1089" s="0"/>
      <c r="HF1089" s="0"/>
      <c r="HG1089" s="0"/>
      <c r="HH1089" s="0"/>
      <c r="HI1089" s="0"/>
      <c r="HJ1089" s="0"/>
      <c r="HK1089" s="0"/>
      <c r="HL1089" s="0"/>
      <c r="HM1089" s="0"/>
      <c r="HN1089" s="0"/>
      <c r="HO1089" s="0"/>
      <c r="HP1089" s="0"/>
      <c r="HQ1089" s="0"/>
      <c r="HR1089" s="0"/>
      <c r="HS1089" s="0"/>
      <c r="HT1089" s="0"/>
      <c r="HU1089" s="0"/>
      <c r="HV1089" s="0"/>
      <c r="HW1089" s="0"/>
      <c r="HX1089" s="0"/>
      <c r="HY1089" s="0"/>
      <c r="HZ1089" s="0"/>
      <c r="IA1089" s="0"/>
      <c r="IB1089" s="0"/>
      <c r="IC1089" s="0"/>
      <c r="ID1089" s="0"/>
      <c r="IE1089" s="0"/>
      <c r="IF1089" s="0"/>
      <c r="IG1089" s="0"/>
      <c r="IH1089" s="0"/>
      <c r="II1089" s="0"/>
      <c r="IJ1089" s="0"/>
      <c r="IK1089" s="0"/>
      <c r="IL1089" s="0"/>
      <c r="IM1089" s="0"/>
      <c r="IN1089" s="0"/>
      <c r="IO1089" s="0"/>
      <c r="IP1089" s="0"/>
      <c r="IQ1089" s="0"/>
      <c r="IR1089" s="0"/>
      <c r="IS1089" s="0"/>
      <c r="IT1089" s="0"/>
      <c r="IU1089" s="0"/>
      <c r="IV1089" s="0"/>
    </row>
    <row r="1090" customFormat="false" ht="16.5" hidden="false" customHeight="true" outlineLevel="0" collapsed="false">
      <c r="A1090" s="1005"/>
      <c r="B1090" s="1005"/>
      <c r="C1090" s="1005"/>
      <c r="D1090" s="1005"/>
      <c r="E1090" s="1005"/>
      <c r="F1090" s="1005"/>
      <c r="G1090" s="1005"/>
      <c r="H1090" s="0"/>
      <c r="I1090" s="537"/>
      <c r="J1090" s="1308"/>
      <c r="K1090" s="903"/>
      <c r="L1090" s="877"/>
      <c r="M1090" s="55"/>
      <c r="N1090" s="0"/>
      <c r="O1090" s="0"/>
      <c r="P1090" s="0"/>
      <c r="Q1090" s="55"/>
      <c r="R1090" s="55"/>
      <c r="S1090" s="0"/>
      <c r="T1090" s="0"/>
      <c r="U1090" s="0"/>
      <c r="V1090" s="0"/>
      <c r="W1090" s="0"/>
      <c r="X1090" s="0"/>
      <c r="Y1090" s="0"/>
      <c r="Z1090" s="0"/>
      <c r="AA1090" s="0"/>
      <c r="AB1090" s="0"/>
      <c r="AC1090" s="0"/>
      <c r="AD1090" s="0"/>
      <c r="AE1090" s="0"/>
      <c r="AF1090" s="0"/>
      <c r="AG1090" s="0"/>
      <c r="AH1090" s="0"/>
      <c r="AI1090" s="0"/>
      <c r="AJ1090" s="0"/>
      <c r="AK1090" s="0"/>
      <c r="AL1090" s="0"/>
      <c r="AM1090" s="0"/>
      <c r="AN1090" s="0"/>
      <c r="AO1090" s="0"/>
      <c r="AP1090" s="0"/>
      <c r="AQ1090" s="0"/>
      <c r="AR1090" s="0"/>
      <c r="AS1090" s="0"/>
      <c r="AT1090" s="0"/>
      <c r="AU1090" s="0"/>
      <c r="AV1090" s="0"/>
      <c r="AW1090" s="0"/>
      <c r="AX1090" s="0"/>
      <c r="AY1090" s="0"/>
      <c r="AZ1090" s="0"/>
      <c r="BA1090" s="0"/>
      <c r="BB1090" s="0"/>
      <c r="BC1090" s="0"/>
      <c r="BD1090" s="0"/>
      <c r="BE1090" s="0"/>
      <c r="BF1090" s="0"/>
      <c r="BG1090" s="0"/>
      <c r="BH1090" s="0"/>
      <c r="BI1090" s="0"/>
      <c r="BJ1090" s="0"/>
      <c r="BK1090" s="0"/>
      <c r="BL1090" s="0"/>
      <c r="BM1090" s="0"/>
      <c r="BN1090" s="0"/>
      <c r="BO1090" s="0"/>
      <c r="BP1090" s="0"/>
      <c r="BQ1090" s="0"/>
      <c r="BR1090" s="0"/>
      <c r="BS1090" s="0"/>
      <c r="BT1090" s="0"/>
      <c r="BU1090" s="0"/>
      <c r="BV1090" s="0"/>
      <c r="BW1090" s="0"/>
      <c r="BX1090" s="0"/>
      <c r="BY1090" s="0"/>
      <c r="BZ1090" s="0"/>
      <c r="CA1090" s="0"/>
      <c r="CB1090" s="0"/>
      <c r="CC1090" s="0"/>
      <c r="CD1090" s="0"/>
      <c r="CE1090" s="0"/>
      <c r="CF1090" s="0"/>
      <c r="CG1090" s="0"/>
      <c r="CH1090" s="0"/>
      <c r="CI1090" s="0"/>
      <c r="CJ1090" s="0"/>
      <c r="CK1090" s="0"/>
      <c r="CL1090" s="0"/>
      <c r="CM1090" s="0"/>
      <c r="CN1090" s="0"/>
      <c r="CO1090" s="0"/>
      <c r="CP1090" s="0"/>
      <c r="CQ1090" s="0"/>
      <c r="CR1090" s="0"/>
      <c r="CS1090" s="0"/>
      <c r="CT1090" s="0"/>
      <c r="CU1090" s="0"/>
      <c r="CV1090" s="0"/>
      <c r="CW1090" s="0"/>
      <c r="CX1090" s="0"/>
      <c r="CY1090" s="0"/>
      <c r="CZ1090" s="0"/>
      <c r="DA1090" s="0"/>
      <c r="DB1090" s="0"/>
      <c r="DC1090" s="0"/>
      <c r="DD1090" s="0"/>
      <c r="DE1090" s="0"/>
      <c r="DF1090" s="0"/>
      <c r="DG1090" s="0"/>
      <c r="DH1090" s="0"/>
      <c r="DI1090" s="0"/>
      <c r="DJ1090" s="0"/>
      <c r="DK1090" s="0"/>
      <c r="DL1090" s="0"/>
      <c r="DM1090" s="0"/>
      <c r="DN1090" s="0"/>
      <c r="DO1090" s="0"/>
      <c r="DP1090" s="0"/>
      <c r="DQ1090" s="0"/>
      <c r="DR1090" s="0"/>
      <c r="DS1090" s="0"/>
      <c r="DT1090" s="0"/>
      <c r="DU1090" s="0"/>
      <c r="DV1090" s="0"/>
      <c r="DW1090" s="0"/>
      <c r="DX1090" s="0"/>
      <c r="DY1090" s="0"/>
      <c r="DZ1090" s="0"/>
      <c r="EA1090" s="0"/>
      <c r="EB1090" s="0"/>
      <c r="EC1090" s="0"/>
      <c r="ED1090" s="0"/>
      <c r="EE1090" s="0"/>
      <c r="EF1090" s="0"/>
      <c r="EG1090" s="0"/>
      <c r="EH1090" s="0"/>
      <c r="EI1090" s="0"/>
      <c r="EJ1090" s="0"/>
      <c r="EK1090" s="0"/>
      <c r="EL1090" s="0"/>
      <c r="EM1090" s="0"/>
      <c r="EN1090" s="0"/>
      <c r="EO1090" s="0"/>
      <c r="EP1090" s="0"/>
      <c r="EQ1090" s="0"/>
      <c r="ER1090" s="0"/>
      <c r="ES1090" s="0"/>
      <c r="ET1090" s="0"/>
      <c r="EU1090" s="0"/>
      <c r="EV1090" s="0"/>
      <c r="EW1090" s="0"/>
      <c r="EX1090" s="0"/>
      <c r="EY1090" s="0"/>
      <c r="EZ1090" s="0"/>
      <c r="FA1090" s="0"/>
      <c r="FB1090" s="0"/>
      <c r="FC1090" s="0"/>
      <c r="FD1090" s="0"/>
      <c r="FE1090" s="0"/>
      <c r="FF1090" s="0"/>
      <c r="FG1090" s="0"/>
      <c r="FH1090" s="0"/>
      <c r="FI1090" s="0"/>
      <c r="FJ1090" s="0"/>
      <c r="FK1090" s="0"/>
      <c r="FL1090" s="0"/>
      <c r="FM1090" s="0"/>
      <c r="FN1090" s="0"/>
      <c r="FO1090" s="0"/>
      <c r="FP1090" s="0"/>
      <c r="FQ1090" s="0"/>
      <c r="FR1090" s="0"/>
      <c r="FS1090" s="0"/>
      <c r="FT1090" s="0"/>
      <c r="FU1090" s="0"/>
      <c r="FV1090" s="0"/>
      <c r="FW1090" s="0"/>
      <c r="FX1090" s="0"/>
      <c r="FY1090" s="0"/>
      <c r="FZ1090" s="0"/>
      <c r="GA1090" s="0"/>
      <c r="GB1090" s="0"/>
      <c r="GC1090" s="0"/>
      <c r="GD1090" s="0"/>
      <c r="GE1090" s="0"/>
      <c r="GF1090" s="0"/>
      <c r="GG1090" s="0"/>
      <c r="GH1090" s="0"/>
      <c r="GI1090" s="0"/>
      <c r="GJ1090" s="0"/>
      <c r="GK1090" s="0"/>
      <c r="GL1090" s="0"/>
      <c r="GM1090" s="0"/>
      <c r="GN1090" s="0"/>
      <c r="GO1090" s="0"/>
      <c r="GP1090" s="0"/>
      <c r="GQ1090" s="0"/>
      <c r="GR1090" s="0"/>
      <c r="GS1090" s="0"/>
      <c r="GT1090" s="0"/>
      <c r="GU1090" s="0"/>
      <c r="GV1090" s="0"/>
      <c r="GW1090" s="0"/>
      <c r="GX1090" s="0"/>
      <c r="GY1090" s="0"/>
      <c r="GZ1090" s="0"/>
      <c r="HA1090" s="0"/>
      <c r="HB1090" s="0"/>
      <c r="HC1090" s="0"/>
      <c r="HD1090" s="0"/>
      <c r="HE1090" s="0"/>
      <c r="HF1090" s="0"/>
      <c r="HG1090" s="0"/>
      <c r="HH1090" s="0"/>
      <c r="HI1090" s="0"/>
      <c r="HJ1090" s="0"/>
      <c r="HK1090" s="0"/>
      <c r="HL1090" s="0"/>
      <c r="HM1090" s="0"/>
      <c r="HN1090" s="0"/>
      <c r="HO1090" s="0"/>
      <c r="HP1090" s="0"/>
      <c r="HQ1090" s="0"/>
      <c r="HR1090" s="0"/>
      <c r="HS1090" s="0"/>
      <c r="HT1090" s="0"/>
      <c r="HU1090" s="0"/>
      <c r="HV1090" s="0"/>
      <c r="HW1090" s="0"/>
      <c r="HX1090" s="0"/>
      <c r="HY1090" s="0"/>
      <c r="HZ1090" s="0"/>
      <c r="IA1090" s="0"/>
      <c r="IB1090" s="0"/>
      <c r="IC1090" s="0"/>
      <c r="ID1090" s="0"/>
      <c r="IE1090" s="0"/>
      <c r="IF1090" s="0"/>
      <c r="IG1090" s="0"/>
      <c r="IH1090" s="0"/>
      <c r="II1090" s="0"/>
      <c r="IJ1090" s="0"/>
      <c r="IK1090" s="0"/>
      <c r="IL1090" s="0"/>
      <c r="IM1090" s="0"/>
      <c r="IN1090" s="0"/>
      <c r="IO1090" s="0"/>
      <c r="IP1090" s="0"/>
      <c r="IQ1090" s="0"/>
      <c r="IR1090" s="0"/>
      <c r="IS1090" s="0"/>
      <c r="IT1090" s="0"/>
      <c r="IU1090" s="0"/>
      <c r="IV1090" s="0"/>
    </row>
    <row r="1091" customFormat="false" ht="15.75" hidden="false" customHeight="true" outlineLevel="0" collapsed="false">
      <c r="A1091" s="14" t="s">
        <v>809</v>
      </c>
      <c r="B1091" s="0"/>
      <c r="C1091" s="906" t="n">
        <v>5</v>
      </c>
      <c r="D1091" s="443" t="s">
        <v>810</v>
      </c>
      <c r="G1091" s="0"/>
      <c r="H1091" s="0"/>
      <c r="I1091" s="0"/>
      <c r="J1091" s="11"/>
      <c r="K1091" s="0"/>
      <c r="L1091" s="0"/>
      <c r="M1091" s="0"/>
      <c r="Q1091" s="55"/>
      <c r="R1091" s="55"/>
      <c r="T1091" s="0"/>
      <c r="U1091" s="0"/>
      <c r="V1091" s="0"/>
      <c r="W1091" s="0"/>
      <c r="X1091" s="0"/>
      <c r="Y1091" s="0"/>
      <c r="Z1091" s="0"/>
      <c r="AA1091" s="0"/>
      <c r="AB1091" s="0"/>
      <c r="AC1091" s="0"/>
      <c r="AD1091" s="0"/>
      <c r="AE1091" s="0"/>
      <c r="AF1091" s="0"/>
      <c r="AG1091" s="0"/>
      <c r="AH1091" s="0"/>
      <c r="AI1091" s="0"/>
      <c r="AJ1091" s="0"/>
      <c r="AK1091" s="0"/>
      <c r="AL1091" s="0"/>
      <c r="AM1091" s="0"/>
      <c r="AN1091" s="0"/>
      <c r="AO1091" s="0"/>
      <c r="AP1091" s="0"/>
      <c r="AQ1091" s="0"/>
      <c r="AR1091" s="0"/>
      <c r="AS1091" s="0"/>
      <c r="AT1091" s="0"/>
      <c r="AU1091" s="0"/>
      <c r="AV1091" s="0"/>
      <c r="AW1091" s="0"/>
      <c r="AX1091" s="0"/>
      <c r="AY1091" s="0"/>
      <c r="AZ1091" s="0"/>
      <c r="BA1091" s="0"/>
      <c r="BB1091" s="0"/>
      <c r="BC1091" s="0"/>
      <c r="BD1091" s="0"/>
      <c r="BE1091" s="0"/>
      <c r="BF1091" s="0"/>
      <c r="BG1091" s="0"/>
      <c r="BH1091" s="0"/>
      <c r="BI1091" s="0"/>
      <c r="BJ1091" s="0"/>
      <c r="BK1091" s="0"/>
      <c r="BL1091" s="0"/>
      <c r="BM1091" s="0"/>
      <c r="BN1091" s="0"/>
      <c r="BO1091" s="0"/>
      <c r="BP1091" s="0"/>
      <c r="BQ1091" s="0"/>
      <c r="BR1091" s="0"/>
      <c r="BS1091" s="0"/>
      <c r="BT1091" s="0"/>
      <c r="BU1091" s="0"/>
      <c r="BV1091" s="0"/>
      <c r="BW1091" s="0"/>
      <c r="BX1091" s="0"/>
      <c r="BY1091" s="0"/>
      <c r="BZ1091" s="0"/>
      <c r="CA1091" s="0"/>
      <c r="CB1091" s="0"/>
      <c r="CC1091" s="0"/>
      <c r="CD1091" s="0"/>
      <c r="CE1091" s="0"/>
      <c r="CF1091" s="0"/>
      <c r="CG1091" s="0"/>
      <c r="CH1091" s="0"/>
      <c r="CI1091" s="0"/>
      <c r="CJ1091" s="0"/>
      <c r="CK1091" s="0"/>
      <c r="CL1091" s="0"/>
      <c r="CM1091" s="0"/>
      <c r="CN1091" s="0"/>
      <c r="CO1091" s="0"/>
      <c r="CP1091" s="0"/>
      <c r="CQ1091" s="0"/>
      <c r="CR1091" s="0"/>
      <c r="CS1091" s="0"/>
      <c r="CT1091" s="0"/>
      <c r="CU1091" s="0"/>
      <c r="CV1091" s="0"/>
      <c r="CW1091" s="0"/>
      <c r="CX1091" s="0"/>
      <c r="CY1091" s="0"/>
      <c r="CZ1091" s="0"/>
      <c r="DA1091" s="0"/>
      <c r="DB1091" s="0"/>
      <c r="DC1091" s="0"/>
      <c r="DD1091" s="0"/>
      <c r="DE1091" s="0"/>
      <c r="DF1091" s="0"/>
      <c r="DG1091" s="0"/>
      <c r="DH1091" s="0"/>
      <c r="DI1091" s="0"/>
      <c r="DJ1091" s="0"/>
      <c r="DK1091" s="0"/>
      <c r="DL1091" s="0"/>
      <c r="DM1091" s="0"/>
      <c r="DN1091" s="0"/>
      <c r="DO1091" s="0"/>
      <c r="DP1091" s="0"/>
      <c r="DQ1091" s="0"/>
      <c r="DR1091" s="0"/>
      <c r="DS1091" s="0"/>
      <c r="DT1091" s="0"/>
      <c r="DU1091" s="0"/>
      <c r="DV1091" s="0"/>
      <c r="DW1091" s="0"/>
      <c r="DX1091" s="0"/>
      <c r="DY1091" s="0"/>
      <c r="DZ1091" s="0"/>
      <c r="EA1091" s="0"/>
      <c r="EB1091" s="0"/>
      <c r="EC1091" s="0"/>
      <c r="ED1091" s="0"/>
      <c r="EE1091" s="0"/>
      <c r="EF1091" s="0"/>
      <c r="EG1091" s="0"/>
      <c r="EH1091" s="0"/>
      <c r="EI1091" s="0"/>
      <c r="EJ1091" s="0"/>
      <c r="EK1091" s="0"/>
      <c r="EL1091" s="0"/>
      <c r="EM1091" s="0"/>
      <c r="EN1091" s="0"/>
      <c r="EO1091" s="0"/>
      <c r="EP1091" s="0"/>
      <c r="EQ1091" s="0"/>
      <c r="ER1091" s="0"/>
      <c r="ES1091" s="0"/>
      <c r="ET1091" s="0"/>
      <c r="EU1091" s="0"/>
      <c r="EV1091" s="0"/>
      <c r="EW1091" s="0"/>
      <c r="EX1091" s="0"/>
      <c r="EY1091" s="0"/>
      <c r="EZ1091" s="0"/>
      <c r="FA1091" s="0"/>
      <c r="FB1091" s="0"/>
      <c r="FC1091" s="0"/>
      <c r="FD1091" s="0"/>
      <c r="FE1091" s="0"/>
      <c r="FF1091" s="0"/>
      <c r="FG1091" s="0"/>
      <c r="FH1091" s="0"/>
      <c r="FI1091" s="0"/>
      <c r="FJ1091" s="0"/>
      <c r="FK1091" s="0"/>
      <c r="FL1091" s="0"/>
      <c r="FM1091" s="0"/>
      <c r="FN1091" s="0"/>
      <c r="FO1091" s="0"/>
      <c r="FP1091" s="0"/>
      <c r="FQ1091" s="0"/>
      <c r="FR1091" s="0"/>
      <c r="FS1091" s="0"/>
      <c r="FT1091" s="0"/>
      <c r="FU1091" s="0"/>
      <c r="FV1091" s="0"/>
      <c r="FW1091" s="0"/>
      <c r="FX1091" s="0"/>
      <c r="FY1091" s="0"/>
      <c r="FZ1091" s="0"/>
      <c r="GA1091" s="0"/>
      <c r="GB1091" s="0"/>
      <c r="GC1091" s="0"/>
      <c r="GD1091" s="0"/>
      <c r="GE1091" s="0"/>
      <c r="GF1091" s="0"/>
      <c r="GG1091" s="0"/>
      <c r="GH1091" s="0"/>
      <c r="GI1091" s="0"/>
      <c r="GJ1091" s="0"/>
      <c r="GK1091" s="0"/>
      <c r="GL1091" s="0"/>
      <c r="GM1091" s="0"/>
      <c r="GN1091" s="0"/>
      <c r="GO1091" s="0"/>
      <c r="GP1091" s="0"/>
      <c r="GQ1091" s="0"/>
      <c r="GR1091" s="0"/>
      <c r="GS1091" s="0"/>
      <c r="GT1091" s="0"/>
      <c r="GU1091" s="0"/>
      <c r="GV1091" s="0"/>
      <c r="GW1091" s="0"/>
      <c r="GX1091" s="0"/>
      <c r="GY1091" s="0"/>
      <c r="GZ1091" s="0"/>
      <c r="HA1091" s="0"/>
      <c r="HB1091" s="0"/>
      <c r="HC1091" s="0"/>
      <c r="HD1091" s="0"/>
      <c r="HE1091" s="0"/>
      <c r="HF1091" s="0"/>
      <c r="HG1091" s="0"/>
      <c r="HH1091" s="0"/>
      <c r="HI1091" s="0"/>
      <c r="HJ1091" s="0"/>
      <c r="HK1091" s="0"/>
      <c r="HL1091" s="0"/>
      <c r="HM1091" s="0"/>
      <c r="HN1091" s="0"/>
      <c r="HO1091" s="0"/>
      <c r="HP1091" s="0"/>
      <c r="HQ1091" s="0"/>
      <c r="HR1091" s="0"/>
      <c r="HS1091" s="0"/>
      <c r="HT1091" s="0"/>
      <c r="HU1091" s="0"/>
      <c r="HV1091" s="0"/>
      <c r="HW1091" s="0"/>
      <c r="HX1091" s="0"/>
      <c r="HY1091" s="0"/>
      <c r="HZ1091" s="0"/>
      <c r="IA1091" s="0"/>
      <c r="IB1091" s="0"/>
      <c r="IC1091" s="0"/>
      <c r="ID1091" s="0"/>
      <c r="IE1091" s="0"/>
      <c r="IF1091" s="0"/>
      <c r="IG1091" s="0"/>
      <c r="IH1091" s="0"/>
      <c r="II1091" s="0"/>
      <c r="IJ1091" s="0"/>
      <c r="IK1091" s="0"/>
      <c r="IL1091" s="0"/>
      <c r="IM1091" s="0"/>
      <c r="IN1091" s="0"/>
      <c r="IO1091" s="0"/>
      <c r="IP1091" s="0"/>
      <c r="IQ1091" s="0"/>
      <c r="IR1091" s="0"/>
      <c r="IS1091" s="0"/>
      <c r="IT1091" s="0"/>
      <c r="IU1091" s="0"/>
      <c r="IV1091" s="0"/>
    </row>
    <row r="1092" customFormat="false" ht="15" hidden="false" customHeight="true" outlineLevel="0" collapsed="false">
      <c r="A1092" s="14"/>
      <c r="B1092" s="0"/>
      <c r="C1092" s="0"/>
      <c r="D1092" s="969"/>
      <c r="E1092" s="0"/>
      <c r="F1092" s="0"/>
      <c r="G1092" s="0"/>
      <c r="H1092" s="0"/>
      <c r="I1092" s="0"/>
      <c r="J1092" s="11"/>
      <c r="K1092" s="0"/>
      <c r="L1092" s="0"/>
      <c r="M1092" s="0"/>
      <c r="N1092" s="0"/>
      <c r="O1092" s="0"/>
      <c r="P1092" s="0"/>
      <c r="Q1092" s="55"/>
      <c r="R1092" s="55"/>
      <c r="S1092" s="0"/>
      <c r="T1092" s="0"/>
      <c r="U1092" s="0"/>
      <c r="V1092" s="0"/>
      <c r="W1092" s="0"/>
      <c r="X1092" s="0"/>
      <c r="Y1092" s="0"/>
      <c r="Z1092" s="0"/>
      <c r="AA1092" s="0"/>
      <c r="AB1092" s="0"/>
      <c r="AC1092" s="0"/>
      <c r="AD1092" s="0"/>
      <c r="AE1092" s="0"/>
      <c r="AF1092" s="0"/>
      <c r="AG1092" s="0"/>
      <c r="AH1092" s="0"/>
      <c r="AI1092" s="0"/>
      <c r="AJ1092" s="0"/>
      <c r="AK1092" s="0"/>
      <c r="AL1092" s="0"/>
      <c r="AM1092" s="0"/>
      <c r="AN1092" s="0"/>
      <c r="AO1092" s="0"/>
      <c r="AP1092" s="0"/>
      <c r="AQ1092" s="0"/>
      <c r="AR1092" s="0"/>
      <c r="AS1092" s="0"/>
      <c r="AT1092" s="0"/>
      <c r="AU1092" s="0"/>
      <c r="AV1092" s="0"/>
      <c r="AW1092" s="0"/>
      <c r="AX1092" s="0"/>
      <c r="AY1092" s="0"/>
      <c r="AZ1092" s="0"/>
      <c r="BA1092" s="0"/>
      <c r="BB1092" s="0"/>
      <c r="BC1092" s="0"/>
      <c r="BD1092" s="0"/>
      <c r="BE1092" s="0"/>
      <c r="BF1092" s="0"/>
      <c r="BG1092" s="0"/>
      <c r="BH1092" s="0"/>
      <c r="BI1092" s="0"/>
      <c r="BJ1092" s="0"/>
      <c r="BK1092" s="0"/>
      <c r="BL1092" s="0"/>
      <c r="BM1092" s="0"/>
      <c r="BN1092" s="0"/>
      <c r="BO1092" s="0"/>
      <c r="BP1092" s="0"/>
      <c r="BQ1092" s="0"/>
      <c r="BR1092" s="0"/>
      <c r="BS1092" s="0"/>
      <c r="BT1092" s="0"/>
      <c r="BU1092" s="0"/>
      <c r="BV1092" s="0"/>
      <c r="BW1092" s="0"/>
      <c r="BX1092" s="0"/>
      <c r="BY1092" s="0"/>
      <c r="BZ1092" s="0"/>
      <c r="CA1092" s="0"/>
      <c r="CB1092" s="0"/>
      <c r="CC1092" s="0"/>
      <c r="CD1092" s="0"/>
      <c r="CE1092" s="0"/>
      <c r="CF1092" s="0"/>
      <c r="CG1092" s="0"/>
      <c r="CH1092" s="0"/>
      <c r="CI1092" s="0"/>
      <c r="CJ1092" s="0"/>
      <c r="CK1092" s="0"/>
      <c r="CL1092" s="0"/>
      <c r="CM1092" s="0"/>
      <c r="CN1092" s="0"/>
      <c r="CO1092" s="0"/>
      <c r="CP1092" s="0"/>
      <c r="CQ1092" s="0"/>
      <c r="CR1092" s="0"/>
      <c r="CS1092" s="0"/>
      <c r="CT1092" s="0"/>
      <c r="CU1092" s="0"/>
      <c r="CV1092" s="0"/>
      <c r="CW1092" s="0"/>
      <c r="CX1092" s="0"/>
      <c r="CY1092" s="0"/>
      <c r="CZ1092" s="0"/>
      <c r="DA1092" s="0"/>
      <c r="DB1092" s="0"/>
      <c r="DC1092" s="0"/>
      <c r="DD1092" s="0"/>
      <c r="DE1092" s="0"/>
      <c r="DF1092" s="0"/>
      <c r="DG1092" s="0"/>
      <c r="DH1092" s="0"/>
      <c r="DI1092" s="0"/>
      <c r="DJ1092" s="0"/>
      <c r="DK1092" s="0"/>
      <c r="DL1092" s="0"/>
      <c r="DM1092" s="0"/>
      <c r="DN1092" s="0"/>
      <c r="DO1092" s="0"/>
      <c r="DP1092" s="0"/>
      <c r="DQ1092" s="0"/>
      <c r="DR1092" s="0"/>
      <c r="DS1092" s="0"/>
      <c r="DT1092" s="0"/>
      <c r="DU1092" s="0"/>
      <c r="DV1092" s="0"/>
      <c r="DW1092" s="0"/>
      <c r="DX1092" s="0"/>
      <c r="DY1092" s="0"/>
      <c r="DZ1092" s="0"/>
      <c r="EA1092" s="0"/>
      <c r="EB1092" s="0"/>
      <c r="EC1092" s="0"/>
      <c r="ED1092" s="0"/>
      <c r="EE1092" s="0"/>
      <c r="EF1092" s="0"/>
      <c r="EG1092" s="0"/>
      <c r="EH1092" s="0"/>
      <c r="EI1092" s="0"/>
      <c r="EJ1092" s="0"/>
      <c r="EK1092" s="0"/>
      <c r="EL1092" s="0"/>
      <c r="EM1092" s="0"/>
      <c r="EN1092" s="0"/>
      <c r="EO1092" s="0"/>
      <c r="EP1092" s="0"/>
      <c r="EQ1092" s="0"/>
      <c r="ER1092" s="0"/>
      <c r="ES1092" s="0"/>
      <c r="ET1092" s="0"/>
      <c r="EU1092" s="0"/>
      <c r="EV1092" s="0"/>
      <c r="EW1092" s="0"/>
      <c r="EX1092" s="0"/>
      <c r="EY1092" s="0"/>
      <c r="EZ1092" s="0"/>
      <c r="FA1092" s="0"/>
      <c r="FB1092" s="0"/>
      <c r="FC1092" s="0"/>
      <c r="FD1092" s="0"/>
      <c r="FE1092" s="0"/>
      <c r="FF1092" s="0"/>
      <c r="FG1092" s="0"/>
      <c r="FH1092" s="0"/>
      <c r="FI1092" s="0"/>
      <c r="FJ1092" s="0"/>
      <c r="FK1092" s="0"/>
      <c r="FL1092" s="0"/>
      <c r="FM1092" s="0"/>
      <c r="FN1092" s="0"/>
      <c r="FO1092" s="0"/>
      <c r="FP1092" s="0"/>
      <c r="FQ1092" s="0"/>
      <c r="FR1092" s="0"/>
      <c r="FS1092" s="0"/>
      <c r="FT1092" s="0"/>
      <c r="FU1092" s="0"/>
      <c r="FV1092" s="0"/>
      <c r="FW1092" s="0"/>
      <c r="FX1092" s="0"/>
      <c r="FY1092" s="0"/>
      <c r="FZ1092" s="0"/>
      <c r="GA1092" s="0"/>
      <c r="GB1092" s="0"/>
      <c r="GC1092" s="0"/>
      <c r="GD1092" s="0"/>
      <c r="GE1092" s="0"/>
      <c r="GF1092" s="0"/>
      <c r="GG1092" s="0"/>
      <c r="GH1092" s="0"/>
      <c r="GI1092" s="0"/>
      <c r="GJ1092" s="0"/>
      <c r="GK1092" s="0"/>
      <c r="GL1092" s="0"/>
      <c r="GM1092" s="0"/>
      <c r="GN1092" s="0"/>
      <c r="GO1092" s="0"/>
      <c r="GP1092" s="0"/>
      <c r="GQ1092" s="0"/>
      <c r="GR1092" s="0"/>
      <c r="GS1092" s="0"/>
      <c r="GT1092" s="0"/>
      <c r="GU1092" s="0"/>
      <c r="GV1092" s="0"/>
      <c r="GW1092" s="0"/>
      <c r="GX1092" s="0"/>
      <c r="GY1092" s="0"/>
      <c r="GZ1092" s="0"/>
      <c r="HA1092" s="0"/>
      <c r="HB1092" s="0"/>
      <c r="HC1092" s="0"/>
      <c r="HD1092" s="0"/>
      <c r="HE1092" s="0"/>
      <c r="HF1092" s="0"/>
      <c r="HG1092" s="0"/>
      <c r="HH1092" s="0"/>
      <c r="HI1092" s="0"/>
      <c r="HJ1092" s="0"/>
      <c r="HK1092" s="0"/>
      <c r="HL1092" s="0"/>
      <c r="HM1092" s="0"/>
      <c r="HN1092" s="0"/>
      <c r="HO1092" s="0"/>
      <c r="HP1092" s="0"/>
      <c r="HQ1092" s="0"/>
      <c r="HR1092" s="0"/>
      <c r="HS1092" s="0"/>
      <c r="HT1092" s="0"/>
      <c r="HU1092" s="0"/>
      <c r="HV1092" s="0"/>
      <c r="HW1092" s="0"/>
      <c r="HX1092" s="0"/>
      <c r="HY1092" s="0"/>
      <c r="HZ1092" s="0"/>
      <c r="IA1092" s="0"/>
      <c r="IB1092" s="0"/>
      <c r="IC1092" s="0"/>
      <c r="ID1092" s="0"/>
      <c r="IE1092" s="0"/>
      <c r="IF1092" s="0"/>
      <c r="IG1092" s="0"/>
      <c r="IH1092" s="0"/>
      <c r="II1092" s="0"/>
      <c r="IJ1092" s="0"/>
      <c r="IK1092" s="0"/>
      <c r="IL1092" s="0"/>
      <c r="IM1092" s="0"/>
      <c r="IN1092" s="0"/>
      <c r="IO1092" s="0"/>
      <c r="IP1092" s="0"/>
      <c r="IQ1092" s="0"/>
      <c r="IR1092" s="0"/>
      <c r="IS1092" s="0"/>
      <c r="IT1092" s="0"/>
      <c r="IU1092" s="0"/>
      <c r="IV1092" s="0"/>
    </row>
    <row r="1093" customFormat="false" ht="15" hidden="false" customHeight="true" outlineLevel="0" collapsed="false">
      <c r="A1093" s="0"/>
      <c r="B1093" s="0"/>
      <c r="C1093" s="0"/>
      <c r="D1093" s="0"/>
      <c r="E1093" s="0"/>
      <c r="F1093" s="0"/>
      <c r="G1093" s="0"/>
      <c r="H1093" s="0"/>
      <c r="I1093" s="0"/>
      <c r="J1093" s="11"/>
      <c r="K1093" s="0"/>
      <c r="L1093" s="0"/>
      <c r="M1093" s="0"/>
      <c r="N1093" s="0"/>
      <c r="O1093" s="0"/>
      <c r="P1093" s="0"/>
      <c r="Q1093" s="55"/>
      <c r="R1093" s="55"/>
      <c r="S1093" s="0"/>
      <c r="T1093" s="0"/>
      <c r="U1093" s="0"/>
      <c r="V1093" s="0"/>
      <c r="W1093" s="0"/>
      <c r="X1093" s="0"/>
      <c r="Y1093" s="0"/>
      <c r="Z1093" s="0"/>
      <c r="AA1093" s="0"/>
      <c r="AB1093" s="0"/>
      <c r="AC1093" s="0"/>
      <c r="AD1093" s="0"/>
      <c r="AE1093" s="0"/>
      <c r="AF1093" s="0"/>
      <c r="AG1093" s="0"/>
      <c r="AH1093" s="0"/>
      <c r="AI1093" s="0"/>
      <c r="AJ1093" s="0"/>
      <c r="AK1093" s="0"/>
      <c r="AL1093" s="0"/>
      <c r="AM1093" s="0"/>
      <c r="AN1093" s="0"/>
      <c r="AO1093" s="0"/>
      <c r="AP1093" s="0"/>
      <c r="AQ1093" s="0"/>
      <c r="AR1093" s="0"/>
      <c r="AS1093" s="0"/>
      <c r="AT1093" s="0"/>
      <c r="AU1093" s="0"/>
      <c r="AV1093" s="0"/>
      <c r="AW1093" s="0"/>
      <c r="AX1093" s="0"/>
      <c r="AY1093" s="0"/>
      <c r="AZ1093" s="0"/>
      <c r="BA1093" s="0"/>
      <c r="BB1093" s="0"/>
      <c r="BC1093" s="0"/>
      <c r="BD1093" s="0"/>
      <c r="BE1093" s="0"/>
      <c r="BF1093" s="0"/>
      <c r="BG1093" s="0"/>
      <c r="BH1093" s="0"/>
      <c r="BI1093" s="0"/>
      <c r="BJ1093" s="0"/>
      <c r="BK1093" s="0"/>
      <c r="BL1093" s="0"/>
      <c r="BM1093" s="0"/>
      <c r="BN1093" s="0"/>
      <c r="BO1093" s="0"/>
      <c r="BP1093" s="0"/>
      <c r="BQ1093" s="0"/>
      <c r="BR1093" s="0"/>
      <c r="BS1093" s="0"/>
      <c r="BT1093" s="0"/>
      <c r="BU1093" s="0"/>
      <c r="BV1093" s="0"/>
      <c r="BW1093" s="0"/>
      <c r="BX1093" s="0"/>
      <c r="BY1093" s="0"/>
      <c r="BZ1093" s="0"/>
      <c r="CA1093" s="0"/>
      <c r="CB1093" s="0"/>
      <c r="CC1093" s="0"/>
      <c r="CD1093" s="0"/>
      <c r="CE1093" s="0"/>
      <c r="CF1093" s="0"/>
      <c r="CG1093" s="0"/>
      <c r="CH1093" s="0"/>
      <c r="CI1093" s="0"/>
      <c r="CJ1093" s="0"/>
      <c r="CK1093" s="0"/>
      <c r="CL1093" s="0"/>
      <c r="CM1093" s="0"/>
      <c r="CN1093" s="0"/>
      <c r="CO1093" s="0"/>
      <c r="CP1093" s="0"/>
      <c r="CQ1093" s="0"/>
      <c r="CR1093" s="0"/>
      <c r="CS1093" s="0"/>
      <c r="CT1093" s="0"/>
      <c r="CU1093" s="0"/>
      <c r="CV1093" s="0"/>
      <c r="CW1093" s="0"/>
      <c r="CX1093" s="0"/>
      <c r="CY1093" s="0"/>
      <c r="CZ1093" s="0"/>
      <c r="DA1093" s="0"/>
      <c r="DB1093" s="0"/>
      <c r="DC1093" s="0"/>
      <c r="DD1093" s="0"/>
      <c r="DE1093" s="0"/>
      <c r="DF1093" s="0"/>
      <c r="DG1093" s="0"/>
      <c r="DH1093" s="0"/>
      <c r="DI1093" s="0"/>
      <c r="DJ1093" s="0"/>
      <c r="DK1093" s="0"/>
      <c r="DL1093" s="0"/>
      <c r="DM1093" s="0"/>
      <c r="DN1093" s="0"/>
      <c r="DO1093" s="0"/>
      <c r="DP1093" s="0"/>
      <c r="DQ1093" s="0"/>
      <c r="DR1093" s="0"/>
      <c r="DS1093" s="0"/>
      <c r="DT1093" s="0"/>
      <c r="DU1093" s="0"/>
      <c r="DV1093" s="0"/>
      <c r="DW1093" s="0"/>
      <c r="DX1093" s="0"/>
      <c r="DY1093" s="0"/>
      <c r="DZ1093" s="0"/>
      <c r="EA1093" s="0"/>
      <c r="EB1093" s="0"/>
      <c r="EC1093" s="0"/>
      <c r="ED1093" s="0"/>
      <c r="EE1093" s="0"/>
      <c r="EF1093" s="0"/>
      <c r="EG1093" s="0"/>
      <c r="EH1093" s="0"/>
      <c r="EI1093" s="0"/>
      <c r="EJ1093" s="0"/>
      <c r="EK1093" s="0"/>
      <c r="EL1093" s="0"/>
      <c r="EM1093" s="0"/>
      <c r="EN1093" s="0"/>
      <c r="EO1093" s="0"/>
      <c r="EP1093" s="0"/>
      <c r="EQ1093" s="0"/>
      <c r="ER1093" s="0"/>
      <c r="ES1093" s="0"/>
      <c r="ET1093" s="0"/>
      <c r="EU1093" s="0"/>
      <c r="EV1093" s="0"/>
      <c r="EW1093" s="0"/>
      <c r="EX1093" s="0"/>
      <c r="EY1093" s="0"/>
      <c r="EZ1093" s="0"/>
      <c r="FA1093" s="0"/>
      <c r="FB1093" s="0"/>
      <c r="FC1093" s="0"/>
      <c r="FD1093" s="0"/>
      <c r="FE1093" s="0"/>
      <c r="FF1093" s="0"/>
      <c r="FG1093" s="0"/>
      <c r="FH1093" s="0"/>
      <c r="FI1093" s="0"/>
      <c r="FJ1093" s="0"/>
      <c r="FK1093" s="0"/>
      <c r="FL1093" s="0"/>
      <c r="FM1093" s="0"/>
      <c r="FN1093" s="0"/>
      <c r="FO1093" s="0"/>
      <c r="FP1093" s="0"/>
      <c r="FQ1093" s="0"/>
      <c r="FR1093" s="0"/>
      <c r="FS1093" s="0"/>
      <c r="FT1093" s="0"/>
      <c r="FU1093" s="0"/>
      <c r="FV1093" s="0"/>
      <c r="FW1093" s="0"/>
      <c r="FX1093" s="0"/>
      <c r="FY1093" s="0"/>
      <c r="FZ1093" s="0"/>
      <c r="GA1093" s="0"/>
      <c r="GB1093" s="0"/>
      <c r="GC1093" s="0"/>
      <c r="GD1093" s="0"/>
      <c r="GE1093" s="0"/>
      <c r="GF1093" s="0"/>
      <c r="GG1093" s="0"/>
      <c r="GH1093" s="0"/>
      <c r="GI1093" s="0"/>
      <c r="GJ1093" s="0"/>
      <c r="GK1093" s="0"/>
      <c r="GL1093" s="0"/>
      <c r="GM1093" s="0"/>
      <c r="GN1093" s="0"/>
      <c r="GO1093" s="0"/>
      <c r="GP1093" s="0"/>
      <c r="GQ1093" s="0"/>
      <c r="GR1093" s="0"/>
      <c r="GS1093" s="0"/>
      <c r="GT1093" s="0"/>
      <c r="GU1093" s="0"/>
      <c r="GV1093" s="0"/>
      <c r="GW1093" s="0"/>
      <c r="GX1093" s="0"/>
      <c r="GY1093" s="0"/>
      <c r="GZ1093" s="0"/>
      <c r="HA1093" s="0"/>
      <c r="HB1093" s="0"/>
      <c r="HC1093" s="0"/>
      <c r="HD1093" s="0"/>
      <c r="HE1093" s="0"/>
      <c r="HF1093" s="0"/>
      <c r="HG1093" s="0"/>
      <c r="HH1093" s="0"/>
      <c r="HI1093" s="0"/>
      <c r="HJ1093" s="0"/>
      <c r="HK1093" s="0"/>
      <c r="HL1093" s="0"/>
      <c r="HM1093" s="0"/>
      <c r="HN1093" s="0"/>
      <c r="HO1093" s="0"/>
      <c r="HP1093" s="0"/>
      <c r="HQ1093" s="0"/>
      <c r="HR1093" s="0"/>
      <c r="HS1093" s="0"/>
      <c r="HT1093" s="0"/>
      <c r="HU1093" s="0"/>
      <c r="HV1093" s="0"/>
      <c r="HW1093" s="0"/>
      <c r="HX1093" s="0"/>
      <c r="HY1093" s="0"/>
      <c r="HZ1093" s="0"/>
      <c r="IA1093" s="0"/>
      <c r="IB1093" s="0"/>
      <c r="IC1093" s="0"/>
      <c r="ID1093" s="0"/>
      <c r="IE1093" s="0"/>
      <c r="IF1093" s="0"/>
      <c r="IG1093" s="0"/>
      <c r="IH1093" s="0"/>
      <c r="II1093" s="0"/>
      <c r="IJ1093" s="0"/>
      <c r="IK1093" s="0"/>
      <c r="IL1093" s="0"/>
      <c r="IM1093" s="0"/>
      <c r="IN1093" s="0"/>
      <c r="IO1093" s="0"/>
      <c r="IP1093" s="0"/>
      <c r="IQ1093" s="0"/>
      <c r="IR1093" s="0"/>
      <c r="IS1093" s="0"/>
      <c r="IT1093" s="0"/>
      <c r="IU1093" s="0"/>
      <c r="IV1093" s="0"/>
    </row>
    <row r="1094" customFormat="false" ht="16.5" hidden="false" customHeight="true" outlineLevel="0" collapsed="false">
      <c r="A1094" s="869" t="s">
        <v>1716</v>
      </c>
      <c r="B1094" s="869"/>
      <c r="C1094" s="869"/>
      <c r="D1094" s="869"/>
      <c r="E1094" s="869"/>
      <c r="F1094" s="869"/>
      <c r="G1094" s="869"/>
      <c r="H1094" s="53"/>
      <c r="I1094" s="53"/>
      <c r="J1094" s="53"/>
      <c r="K1094" s="870"/>
      <c r="L1094" s="871" t="s">
        <v>1707</v>
      </c>
      <c r="M1094" s="0"/>
      <c r="N1094" s="1309"/>
      <c r="O1094" s="1309"/>
      <c r="P1094" s="1309"/>
      <c r="Q1094" s="1309"/>
      <c r="R1094" s="1309"/>
      <c r="S1094" s="1309"/>
      <c r="T1094" s="0"/>
      <c r="U1094" s="0"/>
      <c r="V1094" s="0"/>
      <c r="W1094" s="0"/>
      <c r="X1094" s="0"/>
      <c r="Y1094" s="0"/>
      <c r="Z1094" s="0"/>
      <c r="AA1094" s="0"/>
      <c r="AB1094" s="0"/>
      <c r="AC1094" s="0"/>
      <c r="AD1094" s="0"/>
      <c r="AE1094" s="0"/>
      <c r="AF1094" s="0"/>
      <c r="AG1094" s="0"/>
      <c r="AH1094" s="0"/>
      <c r="AI1094" s="0"/>
      <c r="AJ1094" s="0"/>
      <c r="AK1094" s="0"/>
      <c r="AL1094" s="0"/>
      <c r="AM1094" s="0"/>
      <c r="AN1094" s="0"/>
      <c r="AO1094" s="0"/>
      <c r="AP1094" s="0"/>
      <c r="AQ1094" s="0"/>
      <c r="AR1094" s="0"/>
      <c r="AS1094" s="0"/>
      <c r="AT1094" s="0"/>
      <c r="AU1094" s="0"/>
      <c r="AV1094" s="0"/>
      <c r="AW1094" s="0"/>
      <c r="AX1094" s="0"/>
      <c r="AY1094" s="0"/>
      <c r="AZ1094" s="0"/>
      <c r="BA1094" s="0"/>
      <c r="BB1094" s="0"/>
      <c r="BC1094" s="0"/>
      <c r="BD1094" s="0"/>
      <c r="BE1094" s="0"/>
      <c r="BF1094" s="0"/>
      <c r="BG1094" s="0"/>
      <c r="BH1094" s="0"/>
      <c r="BI1094" s="0"/>
      <c r="BJ1094" s="0"/>
      <c r="BK1094" s="0"/>
      <c r="BL1094" s="0"/>
      <c r="BM1094" s="0"/>
      <c r="BN1094" s="0"/>
      <c r="BO1094" s="0"/>
      <c r="BP1094" s="0"/>
      <c r="BQ1094" s="0"/>
      <c r="BR1094" s="0"/>
      <c r="BS1094" s="0"/>
      <c r="BT1094" s="0"/>
      <c r="BU1094" s="0"/>
      <c r="BV1094" s="0"/>
      <c r="BW1094" s="0"/>
      <c r="BX1094" s="0"/>
      <c r="BY1094" s="0"/>
      <c r="BZ1094" s="0"/>
      <c r="CA1094" s="0"/>
      <c r="CB1094" s="0"/>
      <c r="CC1094" s="0"/>
      <c r="CD1094" s="0"/>
      <c r="CE1094" s="0"/>
      <c r="CF1094" s="0"/>
      <c r="CG1094" s="0"/>
      <c r="CH1094" s="0"/>
      <c r="CI1094" s="0"/>
      <c r="CJ1094" s="0"/>
      <c r="CK1094" s="0"/>
      <c r="CL1094" s="0"/>
      <c r="CM1094" s="0"/>
      <c r="CN1094" s="0"/>
      <c r="CO1094" s="0"/>
      <c r="CP1094" s="0"/>
      <c r="CQ1094" s="0"/>
      <c r="CR1094" s="0"/>
      <c r="CS1094" s="0"/>
      <c r="CT1094" s="0"/>
      <c r="CU1094" s="0"/>
      <c r="CV1094" s="0"/>
      <c r="CW1094" s="0"/>
      <c r="CX1094" s="0"/>
      <c r="CY1094" s="0"/>
      <c r="CZ1094" s="0"/>
      <c r="DA1094" s="0"/>
      <c r="DB1094" s="0"/>
      <c r="DC1094" s="0"/>
      <c r="DD1094" s="0"/>
      <c r="DE1094" s="0"/>
      <c r="DF1094" s="0"/>
      <c r="DG1094" s="0"/>
      <c r="DH1094" s="0"/>
      <c r="DI1094" s="0"/>
      <c r="DJ1094" s="0"/>
      <c r="DK1094" s="0"/>
      <c r="DL1094" s="0"/>
      <c r="DM1094" s="0"/>
      <c r="DN1094" s="0"/>
      <c r="DO1094" s="0"/>
      <c r="DP1094" s="0"/>
      <c r="DQ1094" s="0"/>
      <c r="DR1094" s="0"/>
      <c r="DS1094" s="0"/>
      <c r="DT1094" s="0"/>
      <c r="DU1094" s="0"/>
      <c r="DV1094" s="0"/>
      <c r="DW1094" s="0"/>
      <c r="DX1094" s="0"/>
      <c r="DY1094" s="0"/>
      <c r="DZ1094" s="0"/>
      <c r="EA1094" s="0"/>
      <c r="EB1094" s="0"/>
      <c r="EC1094" s="0"/>
      <c r="ED1094" s="0"/>
      <c r="EE1094" s="0"/>
      <c r="EF1094" s="0"/>
      <c r="EG1094" s="0"/>
      <c r="EH1094" s="0"/>
      <c r="EI1094" s="0"/>
      <c r="EJ1094" s="0"/>
      <c r="EK1094" s="0"/>
      <c r="EL1094" s="0"/>
      <c r="EM1094" s="0"/>
      <c r="EN1094" s="0"/>
      <c r="EO1094" s="0"/>
      <c r="EP1094" s="0"/>
      <c r="EQ1094" s="0"/>
      <c r="ER1094" s="0"/>
      <c r="ES1094" s="0"/>
      <c r="ET1094" s="0"/>
      <c r="EU1094" s="0"/>
      <c r="EV1094" s="0"/>
      <c r="EW1094" s="0"/>
      <c r="EX1094" s="0"/>
      <c r="EY1094" s="0"/>
      <c r="EZ1094" s="0"/>
      <c r="FA1094" s="0"/>
      <c r="FB1094" s="0"/>
      <c r="FC1094" s="0"/>
      <c r="FD1094" s="0"/>
      <c r="FE1094" s="0"/>
      <c r="FF1094" s="0"/>
      <c r="FG1094" s="0"/>
      <c r="FH1094" s="0"/>
      <c r="FI1094" s="0"/>
      <c r="FJ1094" s="0"/>
      <c r="FK1094" s="0"/>
      <c r="FL1094" s="0"/>
      <c r="FM1094" s="0"/>
      <c r="FN1094" s="0"/>
      <c r="FO1094" s="0"/>
      <c r="FP1094" s="0"/>
      <c r="FQ1094" s="0"/>
      <c r="FR1094" s="0"/>
      <c r="FS1094" s="0"/>
      <c r="FT1094" s="0"/>
      <c r="FU1094" s="0"/>
      <c r="FV1094" s="0"/>
      <c r="FW1094" s="0"/>
      <c r="FX1094" s="0"/>
      <c r="FY1094" s="0"/>
      <c r="FZ1094" s="0"/>
      <c r="GA1094" s="0"/>
      <c r="GB1094" s="0"/>
      <c r="GC1094" s="0"/>
      <c r="GD1094" s="0"/>
      <c r="GE1094" s="0"/>
      <c r="GF1094" s="0"/>
      <c r="GG1094" s="0"/>
      <c r="GH1094" s="0"/>
      <c r="GI1094" s="0"/>
      <c r="GJ1094" s="0"/>
      <c r="GK1094" s="0"/>
      <c r="GL1094" s="0"/>
      <c r="GM1094" s="0"/>
      <c r="GN1094" s="0"/>
      <c r="GO1094" s="0"/>
      <c r="GP1094" s="0"/>
      <c r="GQ1094" s="0"/>
      <c r="GR1094" s="0"/>
      <c r="GS1094" s="0"/>
      <c r="GT1094" s="0"/>
      <c r="GU1094" s="0"/>
      <c r="GV1094" s="0"/>
      <c r="GW1094" s="0"/>
      <c r="GX1094" s="0"/>
      <c r="GY1094" s="0"/>
      <c r="GZ1094" s="0"/>
      <c r="HA1094" s="0"/>
      <c r="HB1094" s="0"/>
      <c r="HC1094" s="0"/>
      <c r="HD1094" s="0"/>
      <c r="HE1094" s="0"/>
      <c r="HF1094" s="0"/>
      <c r="HG1094" s="0"/>
      <c r="HH1094" s="0"/>
      <c r="HI1094" s="0"/>
      <c r="HJ1094" s="0"/>
      <c r="HK1094" s="0"/>
      <c r="HL1094" s="0"/>
      <c r="HM1094" s="0"/>
      <c r="HN1094" s="0"/>
      <c r="HO1094" s="0"/>
      <c r="HP1094" s="0"/>
      <c r="HQ1094" s="0"/>
      <c r="HR1094" s="0"/>
      <c r="HS1094" s="0"/>
      <c r="HT1094" s="0"/>
      <c r="HU1094" s="0"/>
      <c r="HV1094" s="0"/>
      <c r="HW1094" s="0"/>
      <c r="HX1094" s="0"/>
      <c r="HY1094" s="0"/>
      <c r="HZ1094" s="0"/>
      <c r="IA1094" s="0"/>
      <c r="IB1094" s="0"/>
      <c r="IC1094" s="0"/>
      <c r="ID1094" s="0"/>
      <c r="IE1094" s="0"/>
      <c r="IF1094" s="0"/>
      <c r="IG1094" s="0"/>
      <c r="IH1094" s="0"/>
      <c r="II1094" s="0"/>
      <c r="IJ1094" s="0"/>
      <c r="IK1094" s="0"/>
      <c r="IL1094" s="0"/>
      <c r="IM1094" s="0"/>
      <c r="IN1094" s="0"/>
      <c r="IO1094" s="0"/>
      <c r="IP1094" s="0"/>
      <c r="IQ1094" s="0"/>
      <c r="IR1094" s="0"/>
      <c r="IS1094" s="0"/>
      <c r="IT1094" s="0"/>
      <c r="IU1094" s="0"/>
      <c r="IV1094" s="0"/>
    </row>
    <row r="1095" customFormat="false" ht="16.5" hidden="false" customHeight="true" outlineLevel="0" collapsed="false">
      <c r="A1095" s="1005"/>
      <c r="B1095" s="1005"/>
      <c r="C1095" s="1005"/>
      <c r="D1095" s="1005"/>
      <c r="E1095" s="1005"/>
      <c r="F1095" s="1005"/>
      <c r="G1095" s="1005"/>
      <c r="H1095" s="0"/>
      <c r="I1095" s="0"/>
      <c r="J1095" s="11"/>
      <c r="K1095" s="903"/>
      <c r="L1095" s="877"/>
      <c r="M1095" s="0"/>
      <c r="N1095" s="1309"/>
      <c r="O1095" s="1309"/>
      <c r="P1095" s="1309"/>
      <c r="Q1095" s="1309"/>
      <c r="R1095" s="1309"/>
      <c r="S1095" s="1309"/>
      <c r="T1095" s="0"/>
      <c r="U1095" s="0"/>
      <c r="V1095" s="0"/>
      <c r="W1095" s="0"/>
      <c r="X1095" s="0"/>
      <c r="Y1095" s="0"/>
      <c r="Z1095" s="0"/>
      <c r="AA1095" s="0"/>
      <c r="AB1095" s="0"/>
      <c r="AC1095" s="0"/>
      <c r="AD1095" s="0"/>
      <c r="AE1095" s="0"/>
      <c r="AF1095" s="0"/>
      <c r="AG1095" s="0"/>
      <c r="AH1095" s="0"/>
      <c r="AI1095" s="0"/>
      <c r="AJ1095" s="0"/>
      <c r="AK1095" s="0"/>
      <c r="AL1095" s="0"/>
      <c r="AM1095" s="0"/>
      <c r="AN1095" s="0"/>
      <c r="AO1095" s="0"/>
      <c r="AP1095" s="0"/>
      <c r="AQ1095" s="0"/>
      <c r="AR1095" s="0"/>
      <c r="AS1095" s="0"/>
      <c r="AT1095" s="0"/>
      <c r="AU1095" s="0"/>
      <c r="AV1095" s="0"/>
      <c r="AW1095" s="0"/>
      <c r="AX1095" s="0"/>
      <c r="AY1095" s="0"/>
      <c r="AZ1095" s="0"/>
      <c r="BA1095" s="0"/>
      <c r="BB1095" s="0"/>
      <c r="BC1095" s="0"/>
      <c r="BD1095" s="0"/>
      <c r="BE1095" s="0"/>
      <c r="BF1095" s="0"/>
      <c r="BG1095" s="0"/>
      <c r="BH1095" s="0"/>
      <c r="BI1095" s="0"/>
      <c r="BJ1095" s="0"/>
      <c r="BK1095" s="0"/>
      <c r="BL1095" s="0"/>
      <c r="BM1095" s="0"/>
      <c r="BN1095" s="0"/>
      <c r="BO1095" s="0"/>
      <c r="BP1095" s="0"/>
      <c r="BQ1095" s="0"/>
      <c r="BR1095" s="0"/>
      <c r="BS1095" s="0"/>
      <c r="BT1095" s="0"/>
      <c r="BU1095" s="0"/>
      <c r="BV1095" s="0"/>
      <c r="BW1095" s="0"/>
      <c r="BX1095" s="0"/>
      <c r="BY1095" s="0"/>
      <c r="BZ1095" s="0"/>
      <c r="CA1095" s="0"/>
      <c r="CB1095" s="0"/>
      <c r="CC1095" s="0"/>
      <c r="CD1095" s="0"/>
      <c r="CE1095" s="0"/>
      <c r="CF1095" s="0"/>
      <c r="CG1095" s="0"/>
      <c r="CH1095" s="0"/>
      <c r="CI1095" s="0"/>
      <c r="CJ1095" s="0"/>
      <c r="CK1095" s="0"/>
      <c r="CL1095" s="0"/>
      <c r="CM1095" s="0"/>
      <c r="CN1095" s="0"/>
      <c r="CO1095" s="0"/>
      <c r="CP1095" s="0"/>
      <c r="CQ1095" s="0"/>
      <c r="CR1095" s="0"/>
      <c r="CS1095" s="0"/>
      <c r="CT1095" s="0"/>
      <c r="CU1095" s="0"/>
      <c r="CV1095" s="0"/>
      <c r="CW1095" s="0"/>
      <c r="CX1095" s="0"/>
      <c r="CY1095" s="0"/>
      <c r="CZ1095" s="0"/>
      <c r="DA1095" s="0"/>
      <c r="DB1095" s="0"/>
      <c r="DC1095" s="0"/>
      <c r="DD1095" s="0"/>
      <c r="DE1095" s="0"/>
      <c r="DF1095" s="0"/>
      <c r="DG1095" s="0"/>
      <c r="DH1095" s="0"/>
      <c r="DI1095" s="0"/>
      <c r="DJ1095" s="0"/>
      <c r="DK1095" s="0"/>
      <c r="DL1095" s="0"/>
      <c r="DM1095" s="0"/>
      <c r="DN1095" s="0"/>
      <c r="DO1095" s="0"/>
      <c r="DP1095" s="0"/>
      <c r="DQ1095" s="0"/>
      <c r="DR1095" s="0"/>
      <c r="DS1095" s="0"/>
      <c r="DT1095" s="0"/>
      <c r="DU1095" s="0"/>
      <c r="DV1095" s="0"/>
      <c r="DW1095" s="0"/>
      <c r="DX1095" s="0"/>
      <c r="DY1095" s="0"/>
      <c r="DZ1095" s="0"/>
      <c r="EA1095" s="0"/>
      <c r="EB1095" s="0"/>
      <c r="EC1095" s="0"/>
      <c r="ED1095" s="0"/>
      <c r="EE1095" s="0"/>
      <c r="EF1095" s="0"/>
      <c r="EG1095" s="0"/>
      <c r="EH1095" s="0"/>
      <c r="EI1095" s="0"/>
      <c r="EJ1095" s="0"/>
      <c r="EK1095" s="0"/>
      <c r="EL1095" s="0"/>
      <c r="EM1095" s="0"/>
      <c r="EN1095" s="0"/>
      <c r="EO1095" s="0"/>
      <c r="EP1095" s="0"/>
      <c r="EQ1095" s="0"/>
      <c r="ER1095" s="0"/>
      <c r="ES1095" s="0"/>
      <c r="ET1095" s="0"/>
      <c r="EU1095" s="0"/>
      <c r="EV1095" s="0"/>
      <c r="EW1095" s="0"/>
      <c r="EX1095" s="0"/>
      <c r="EY1095" s="0"/>
      <c r="EZ1095" s="0"/>
      <c r="FA1095" s="0"/>
      <c r="FB1095" s="0"/>
      <c r="FC1095" s="0"/>
      <c r="FD1095" s="0"/>
      <c r="FE1095" s="0"/>
      <c r="FF1095" s="0"/>
      <c r="FG1095" s="0"/>
      <c r="FH1095" s="0"/>
      <c r="FI1095" s="0"/>
      <c r="FJ1095" s="0"/>
      <c r="FK1095" s="0"/>
      <c r="FL1095" s="0"/>
      <c r="FM1095" s="0"/>
      <c r="FN1095" s="0"/>
      <c r="FO1095" s="0"/>
      <c r="FP1095" s="0"/>
      <c r="FQ1095" s="0"/>
      <c r="FR1095" s="0"/>
      <c r="FS1095" s="0"/>
      <c r="FT1095" s="0"/>
      <c r="FU1095" s="0"/>
      <c r="FV1095" s="0"/>
      <c r="FW1095" s="0"/>
      <c r="FX1095" s="0"/>
      <c r="FY1095" s="0"/>
      <c r="FZ1095" s="0"/>
      <c r="GA1095" s="0"/>
      <c r="GB1095" s="0"/>
      <c r="GC1095" s="0"/>
      <c r="GD1095" s="0"/>
      <c r="GE1095" s="0"/>
      <c r="GF1095" s="0"/>
      <c r="GG1095" s="0"/>
      <c r="GH1095" s="0"/>
      <c r="GI1095" s="0"/>
      <c r="GJ1095" s="0"/>
      <c r="GK1095" s="0"/>
      <c r="GL1095" s="0"/>
      <c r="GM1095" s="0"/>
      <c r="GN1095" s="0"/>
      <c r="GO1095" s="0"/>
      <c r="GP1095" s="0"/>
      <c r="GQ1095" s="0"/>
      <c r="GR1095" s="0"/>
      <c r="GS1095" s="0"/>
      <c r="GT1095" s="0"/>
      <c r="GU1095" s="0"/>
      <c r="GV1095" s="0"/>
      <c r="GW1095" s="0"/>
      <c r="GX1095" s="0"/>
      <c r="GY1095" s="0"/>
      <c r="GZ1095" s="0"/>
      <c r="HA1095" s="0"/>
      <c r="HB1095" s="0"/>
      <c r="HC1095" s="0"/>
      <c r="HD1095" s="0"/>
      <c r="HE1095" s="0"/>
      <c r="HF1095" s="0"/>
      <c r="HG1095" s="0"/>
      <c r="HH1095" s="0"/>
      <c r="HI1095" s="0"/>
      <c r="HJ1095" s="0"/>
      <c r="HK1095" s="0"/>
      <c r="HL1095" s="0"/>
      <c r="HM1095" s="0"/>
      <c r="HN1095" s="0"/>
      <c r="HO1095" s="0"/>
      <c r="HP1095" s="0"/>
      <c r="HQ1095" s="0"/>
      <c r="HR1095" s="0"/>
      <c r="HS1095" s="0"/>
      <c r="HT1095" s="0"/>
      <c r="HU1095" s="0"/>
      <c r="HV1095" s="0"/>
      <c r="HW1095" s="0"/>
      <c r="HX1095" s="0"/>
      <c r="HY1095" s="0"/>
      <c r="HZ1095" s="0"/>
      <c r="IA1095" s="0"/>
      <c r="IB1095" s="0"/>
      <c r="IC1095" s="0"/>
      <c r="ID1095" s="0"/>
      <c r="IE1095" s="0"/>
      <c r="IF1095" s="0"/>
      <c r="IG1095" s="0"/>
      <c r="IH1095" s="0"/>
      <c r="II1095" s="0"/>
      <c r="IJ1095" s="0"/>
      <c r="IK1095" s="0"/>
      <c r="IL1095" s="0"/>
      <c r="IM1095" s="0"/>
      <c r="IN1095" s="0"/>
      <c r="IO1095" s="0"/>
      <c r="IP1095" s="0"/>
      <c r="IQ1095" s="0"/>
      <c r="IR1095" s="0"/>
      <c r="IS1095" s="0"/>
      <c r="IT1095" s="0"/>
      <c r="IU1095" s="0"/>
      <c r="IV1095" s="0"/>
    </row>
    <row r="1096" customFormat="false" ht="15.75" hidden="false" customHeight="true" outlineLevel="0" collapsed="false">
      <c r="A1096" s="433" t="s">
        <v>1717</v>
      </c>
      <c r="B1096" s="433"/>
      <c r="C1096" s="433"/>
      <c r="D1096" s="433"/>
      <c r="E1096" s="902" t="n">
        <v>2</v>
      </c>
      <c r="F1096" s="443" t="s">
        <v>1718</v>
      </c>
      <c r="H1096" s="0"/>
      <c r="I1096" s="0"/>
      <c r="J1096" s="11"/>
      <c r="K1096" s="0"/>
      <c r="L1096" s="0"/>
      <c r="M1096" s="0"/>
      <c r="N1096" s="19"/>
      <c r="O1096" s="19"/>
      <c r="P1096" s="19"/>
      <c r="Q1096" s="19"/>
      <c r="R1096" s="19"/>
      <c r="S1096" s="19"/>
      <c r="T1096" s="0"/>
      <c r="U1096" s="0"/>
      <c r="V1096" s="0"/>
      <c r="W1096" s="0"/>
      <c r="X1096" s="0"/>
      <c r="Y1096" s="0"/>
      <c r="Z1096" s="0"/>
      <c r="AA1096" s="0"/>
      <c r="AB1096" s="0"/>
      <c r="AC1096" s="0"/>
      <c r="AD1096" s="0"/>
      <c r="AE1096" s="0"/>
      <c r="AF1096" s="0"/>
      <c r="AG1096" s="0"/>
      <c r="AH1096" s="0"/>
      <c r="AI1096" s="0"/>
      <c r="AJ1096" s="0"/>
      <c r="AK1096" s="0"/>
      <c r="AL1096" s="0"/>
      <c r="AM1096" s="0"/>
      <c r="AN1096" s="0"/>
      <c r="AO1096" s="0"/>
      <c r="AP1096" s="0"/>
      <c r="AQ1096" s="0"/>
      <c r="AR1096" s="0"/>
      <c r="AS1096" s="0"/>
      <c r="AT1096" s="0"/>
      <c r="AU1096" s="0"/>
      <c r="AV1096" s="0"/>
      <c r="AW1096" s="0"/>
      <c r="AX1096" s="0"/>
      <c r="AY1096" s="0"/>
      <c r="AZ1096" s="0"/>
      <c r="BA1096" s="0"/>
      <c r="BB1096" s="0"/>
      <c r="BC1096" s="0"/>
      <c r="BD1096" s="0"/>
      <c r="BE1096" s="0"/>
      <c r="BF1096" s="0"/>
      <c r="BG1096" s="0"/>
      <c r="BH1096" s="0"/>
      <c r="BI1096" s="0"/>
      <c r="BJ1096" s="0"/>
      <c r="BK1096" s="0"/>
      <c r="BL1096" s="0"/>
      <c r="BM1096" s="0"/>
      <c r="BN1096" s="0"/>
      <c r="BO1096" s="0"/>
      <c r="BP1096" s="0"/>
      <c r="BQ1096" s="0"/>
      <c r="BR1096" s="0"/>
      <c r="BS1096" s="0"/>
      <c r="BT1096" s="0"/>
      <c r="BU1096" s="0"/>
      <c r="BV1096" s="0"/>
      <c r="BW1096" s="0"/>
      <c r="BX1096" s="0"/>
      <c r="BY1096" s="0"/>
      <c r="BZ1096" s="0"/>
      <c r="CA1096" s="0"/>
      <c r="CB1096" s="0"/>
      <c r="CC1096" s="0"/>
      <c r="CD1096" s="0"/>
      <c r="CE1096" s="0"/>
      <c r="CF1096" s="0"/>
      <c r="CG1096" s="0"/>
      <c r="CH1096" s="0"/>
      <c r="CI1096" s="0"/>
      <c r="CJ1096" s="0"/>
      <c r="CK1096" s="0"/>
      <c r="CL1096" s="0"/>
      <c r="CM1096" s="0"/>
      <c r="CN1096" s="0"/>
      <c r="CO1096" s="0"/>
      <c r="CP1096" s="0"/>
      <c r="CQ1096" s="0"/>
      <c r="CR1096" s="0"/>
      <c r="CS1096" s="0"/>
      <c r="CT1096" s="0"/>
      <c r="CU1096" s="0"/>
      <c r="CV1096" s="0"/>
      <c r="CW1096" s="0"/>
      <c r="CX1096" s="0"/>
      <c r="CY1096" s="0"/>
      <c r="CZ1096" s="0"/>
      <c r="DA1096" s="0"/>
      <c r="DB1096" s="0"/>
      <c r="DC1096" s="0"/>
      <c r="DD1096" s="0"/>
      <c r="DE1096" s="0"/>
      <c r="DF1096" s="0"/>
      <c r="DG1096" s="0"/>
      <c r="DH1096" s="0"/>
      <c r="DI1096" s="0"/>
      <c r="DJ1096" s="0"/>
      <c r="DK1096" s="0"/>
      <c r="DL1096" s="0"/>
      <c r="DM1096" s="0"/>
      <c r="DN1096" s="0"/>
      <c r="DO1096" s="0"/>
      <c r="DP1096" s="0"/>
      <c r="DQ1096" s="0"/>
      <c r="DR1096" s="0"/>
      <c r="DS1096" s="0"/>
      <c r="DT1096" s="0"/>
      <c r="DU1096" s="0"/>
      <c r="DV1096" s="0"/>
      <c r="DW1096" s="0"/>
      <c r="DX1096" s="0"/>
      <c r="DY1096" s="0"/>
      <c r="DZ1096" s="0"/>
      <c r="EA1096" s="0"/>
      <c r="EB1096" s="0"/>
      <c r="EC1096" s="0"/>
      <c r="ED1096" s="0"/>
      <c r="EE1096" s="0"/>
      <c r="EF1096" s="0"/>
      <c r="EG1096" s="0"/>
      <c r="EH1096" s="0"/>
      <c r="EI1096" s="0"/>
      <c r="EJ1096" s="0"/>
      <c r="EK1096" s="0"/>
      <c r="EL1096" s="0"/>
      <c r="EM1096" s="0"/>
      <c r="EN1096" s="0"/>
      <c r="EO1096" s="0"/>
      <c r="EP1096" s="0"/>
      <c r="EQ1096" s="0"/>
      <c r="ER1096" s="0"/>
      <c r="ES1096" s="0"/>
      <c r="ET1096" s="0"/>
      <c r="EU1096" s="0"/>
      <c r="EV1096" s="0"/>
      <c r="EW1096" s="0"/>
      <c r="EX1096" s="0"/>
      <c r="EY1096" s="0"/>
      <c r="EZ1096" s="0"/>
      <c r="FA1096" s="0"/>
      <c r="FB1096" s="0"/>
      <c r="FC1096" s="0"/>
      <c r="FD1096" s="0"/>
      <c r="FE1096" s="0"/>
      <c r="FF1096" s="0"/>
      <c r="FG1096" s="0"/>
      <c r="FH1096" s="0"/>
      <c r="FI1096" s="0"/>
      <c r="FJ1096" s="0"/>
      <c r="FK1096" s="0"/>
      <c r="FL1096" s="0"/>
      <c r="FM1096" s="0"/>
      <c r="FN1096" s="0"/>
      <c r="FO1096" s="0"/>
      <c r="FP1096" s="0"/>
      <c r="FQ1096" s="0"/>
      <c r="FR1096" s="0"/>
      <c r="FS1096" s="0"/>
      <c r="FT1096" s="0"/>
      <c r="FU1096" s="0"/>
      <c r="FV1096" s="0"/>
      <c r="FW1096" s="0"/>
      <c r="FX1096" s="0"/>
      <c r="FY1096" s="0"/>
      <c r="FZ1096" s="0"/>
      <c r="GA1096" s="0"/>
      <c r="GB1096" s="0"/>
      <c r="GC1096" s="0"/>
      <c r="GD1096" s="0"/>
      <c r="GE1096" s="0"/>
      <c r="GF1096" s="0"/>
      <c r="GG1096" s="0"/>
      <c r="GH1096" s="0"/>
      <c r="GI1096" s="0"/>
      <c r="GJ1096" s="0"/>
      <c r="GK1096" s="0"/>
      <c r="GL1096" s="0"/>
      <c r="GM1096" s="0"/>
      <c r="GN1096" s="0"/>
      <c r="GO1096" s="0"/>
      <c r="GP1096" s="0"/>
      <c r="GQ1096" s="0"/>
      <c r="GR1096" s="0"/>
      <c r="GS1096" s="0"/>
      <c r="GT1096" s="0"/>
      <c r="GU1096" s="0"/>
      <c r="GV1096" s="0"/>
      <c r="GW1096" s="0"/>
      <c r="GX1096" s="0"/>
      <c r="GY1096" s="0"/>
      <c r="GZ1096" s="0"/>
      <c r="HA1096" s="0"/>
      <c r="HB1096" s="0"/>
      <c r="HC1096" s="0"/>
      <c r="HD1096" s="0"/>
      <c r="HE1096" s="0"/>
      <c r="HF1096" s="0"/>
      <c r="HG1096" s="0"/>
      <c r="HH1096" s="0"/>
      <c r="HI1096" s="0"/>
      <c r="HJ1096" s="0"/>
      <c r="HK1096" s="0"/>
      <c r="HL1096" s="0"/>
      <c r="HM1096" s="0"/>
      <c r="HN1096" s="0"/>
      <c r="HO1096" s="0"/>
      <c r="HP1096" s="0"/>
      <c r="HQ1096" s="0"/>
      <c r="HR1096" s="0"/>
      <c r="HS1096" s="0"/>
      <c r="HT1096" s="0"/>
      <c r="HU1096" s="0"/>
      <c r="HV1096" s="0"/>
      <c r="HW1096" s="0"/>
      <c r="HX1096" s="0"/>
      <c r="HY1096" s="0"/>
      <c r="HZ1096" s="0"/>
      <c r="IA1096" s="0"/>
      <c r="IB1096" s="0"/>
      <c r="IC1096" s="0"/>
      <c r="ID1096" s="0"/>
      <c r="IE1096" s="0"/>
      <c r="IF1096" s="0"/>
      <c r="IG1096" s="0"/>
      <c r="IH1096" s="0"/>
      <c r="II1096" s="0"/>
      <c r="IJ1096" s="0"/>
      <c r="IK1096" s="0"/>
      <c r="IL1096" s="0"/>
      <c r="IM1096" s="0"/>
      <c r="IN1096" s="0"/>
      <c r="IO1096" s="0"/>
      <c r="IP1096" s="0"/>
      <c r="IQ1096" s="0"/>
      <c r="IR1096" s="0"/>
      <c r="IS1096" s="0"/>
      <c r="IT1096" s="0"/>
      <c r="IU1096" s="0"/>
      <c r="IV1096" s="0"/>
    </row>
    <row r="1097" customFormat="false" ht="15.75" hidden="false" customHeight="true" outlineLevel="0" collapsed="false">
      <c r="A1097" s="433" t="s">
        <v>1719</v>
      </c>
      <c r="B1097" s="433"/>
      <c r="C1097" s="433"/>
      <c r="D1097" s="433"/>
      <c r="E1097" s="902" t="n">
        <v>1</v>
      </c>
      <c r="F1097" s="443" t="s">
        <v>1720</v>
      </c>
      <c r="H1097" s="0"/>
      <c r="I1097" s="0"/>
      <c r="J1097" s="11"/>
      <c r="K1097" s="0"/>
      <c r="L1097" s="0"/>
      <c r="M1097" s="0"/>
      <c r="N1097" s="1309"/>
      <c r="O1097" s="1309"/>
      <c r="P1097" s="1309"/>
      <c r="Q1097" s="1309"/>
      <c r="R1097" s="1309"/>
      <c r="S1097" s="1309"/>
      <c r="T1097" s="0"/>
      <c r="U1097" s="0"/>
      <c r="V1097" s="0"/>
      <c r="W1097" s="0"/>
      <c r="X1097" s="0"/>
      <c r="Y1097" s="0"/>
      <c r="Z1097" s="0"/>
      <c r="AA1097" s="0"/>
      <c r="AB1097" s="0"/>
      <c r="AC1097" s="0"/>
      <c r="AD1097" s="0"/>
      <c r="AE1097" s="0"/>
      <c r="AF1097" s="0"/>
      <c r="AG1097" s="0"/>
      <c r="AH1097" s="0"/>
      <c r="AI1097" s="0"/>
      <c r="AJ1097" s="0"/>
      <c r="AK1097" s="0"/>
      <c r="AL1097" s="0"/>
      <c r="AM1097" s="0"/>
      <c r="AN1097" s="0"/>
      <c r="AO1097" s="0"/>
      <c r="AP1097" s="0"/>
      <c r="AQ1097" s="0"/>
      <c r="AR1097" s="0"/>
      <c r="AS1097" s="0"/>
      <c r="AT1097" s="0"/>
      <c r="AU1097" s="0"/>
      <c r="AV1097" s="0"/>
      <c r="AW1097" s="0"/>
      <c r="AX1097" s="0"/>
      <c r="AY1097" s="0"/>
      <c r="AZ1097" s="0"/>
      <c r="BA1097" s="0"/>
      <c r="BB1097" s="0"/>
      <c r="BC1097" s="0"/>
      <c r="BD1097" s="0"/>
      <c r="BE1097" s="0"/>
      <c r="BF1097" s="0"/>
      <c r="BG1097" s="0"/>
      <c r="BH1097" s="0"/>
      <c r="BI1097" s="0"/>
      <c r="BJ1097" s="0"/>
      <c r="BK1097" s="0"/>
      <c r="BL1097" s="0"/>
      <c r="BM1097" s="0"/>
      <c r="BN1097" s="0"/>
      <c r="BO1097" s="0"/>
      <c r="BP1097" s="0"/>
      <c r="BQ1097" s="0"/>
      <c r="BR1097" s="0"/>
      <c r="BS1097" s="0"/>
      <c r="BT1097" s="0"/>
      <c r="BU1097" s="0"/>
      <c r="BV1097" s="0"/>
      <c r="BW1097" s="0"/>
      <c r="BX1097" s="0"/>
      <c r="BY1097" s="0"/>
      <c r="BZ1097" s="0"/>
      <c r="CA1097" s="0"/>
      <c r="CB1097" s="0"/>
      <c r="CC1097" s="0"/>
      <c r="CD1097" s="0"/>
      <c r="CE1097" s="0"/>
      <c r="CF1097" s="0"/>
      <c r="CG1097" s="0"/>
      <c r="CH1097" s="0"/>
      <c r="CI1097" s="0"/>
      <c r="CJ1097" s="0"/>
      <c r="CK1097" s="0"/>
      <c r="CL1097" s="0"/>
      <c r="CM1097" s="0"/>
      <c r="CN1097" s="0"/>
      <c r="CO1097" s="0"/>
      <c r="CP1097" s="0"/>
      <c r="CQ1097" s="0"/>
      <c r="CR1097" s="0"/>
      <c r="CS1097" s="0"/>
      <c r="CT1097" s="0"/>
      <c r="CU1097" s="0"/>
      <c r="CV1097" s="0"/>
      <c r="CW1097" s="0"/>
      <c r="CX1097" s="0"/>
      <c r="CY1097" s="0"/>
      <c r="CZ1097" s="0"/>
      <c r="DA1097" s="0"/>
      <c r="DB1097" s="0"/>
      <c r="DC1097" s="0"/>
      <c r="DD1097" s="0"/>
      <c r="DE1097" s="0"/>
      <c r="DF1097" s="0"/>
      <c r="DG1097" s="0"/>
      <c r="DH1097" s="0"/>
      <c r="DI1097" s="0"/>
      <c r="DJ1097" s="0"/>
      <c r="DK1097" s="0"/>
      <c r="DL1097" s="0"/>
      <c r="DM1097" s="0"/>
      <c r="DN1097" s="0"/>
      <c r="DO1097" s="0"/>
      <c r="DP1097" s="0"/>
      <c r="DQ1097" s="0"/>
      <c r="DR1097" s="0"/>
      <c r="DS1097" s="0"/>
      <c r="DT1097" s="0"/>
      <c r="DU1097" s="0"/>
      <c r="DV1097" s="0"/>
      <c r="DW1097" s="0"/>
      <c r="DX1097" s="0"/>
      <c r="DY1097" s="0"/>
      <c r="DZ1097" s="0"/>
      <c r="EA1097" s="0"/>
      <c r="EB1097" s="0"/>
      <c r="EC1097" s="0"/>
      <c r="ED1097" s="0"/>
      <c r="EE1097" s="0"/>
      <c r="EF1097" s="0"/>
      <c r="EG1097" s="0"/>
      <c r="EH1097" s="0"/>
      <c r="EI1097" s="0"/>
      <c r="EJ1097" s="0"/>
      <c r="EK1097" s="0"/>
      <c r="EL1097" s="0"/>
      <c r="EM1097" s="0"/>
      <c r="EN1097" s="0"/>
      <c r="EO1097" s="0"/>
      <c r="EP1097" s="0"/>
      <c r="EQ1097" s="0"/>
      <c r="ER1097" s="0"/>
      <c r="ES1097" s="0"/>
      <c r="ET1097" s="0"/>
      <c r="EU1097" s="0"/>
      <c r="EV1097" s="0"/>
      <c r="EW1097" s="0"/>
      <c r="EX1097" s="0"/>
      <c r="EY1097" s="0"/>
      <c r="EZ1097" s="0"/>
      <c r="FA1097" s="0"/>
      <c r="FB1097" s="0"/>
      <c r="FC1097" s="0"/>
      <c r="FD1097" s="0"/>
      <c r="FE1097" s="0"/>
      <c r="FF1097" s="0"/>
      <c r="FG1097" s="0"/>
      <c r="FH1097" s="0"/>
      <c r="FI1097" s="0"/>
      <c r="FJ1097" s="0"/>
      <c r="FK1097" s="0"/>
      <c r="FL1097" s="0"/>
      <c r="FM1097" s="0"/>
      <c r="FN1097" s="0"/>
      <c r="FO1097" s="0"/>
      <c r="FP1097" s="0"/>
      <c r="FQ1097" s="0"/>
      <c r="FR1097" s="0"/>
      <c r="FS1097" s="0"/>
      <c r="FT1097" s="0"/>
      <c r="FU1097" s="0"/>
      <c r="FV1097" s="0"/>
      <c r="FW1097" s="0"/>
      <c r="FX1097" s="0"/>
      <c r="FY1097" s="0"/>
      <c r="FZ1097" s="0"/>
      <c r="GA1097" s="0"/>
      <c r="GB1097" s="0"/>
      <c r="GC1097" s="0"/>
      <c r="GD1097" s="0"/>
      <c r="GE1097" s="0"/>
      <c r="GF1097" s="0"/>
      <c r="GG1097" s="0"/>
      <c r="GH1097" s="0"/>
      <c r="GI1097" s="0"/>
      <c r="GJ1097" s="0"/>
      <c r="GK1097" s="0"/>
      <c r="GL1097" s="0"/>
      <c r="GM1097" s="0"/>
      <c r="GN1097" s="0"/>
      <c r="GO1097" s="0"/>
      <c r="GP1097" s="0"/>
      <c r="GQ1097" s="0"/>
      <c r="GR1097" s="0"/>
      <c r="GS1097" s="0"/>
      <c r="GT1097" s="0"/>
      <c r="GU1097" s="0"/>
      <c r="GV1097" s="0"/>
      <c r="GW1097" s="0"/>
      <c r="GX1097" s="0"/>
      <c r="GY1097" s="0"/>
      <c r="GZ1097" s="0"/>
      <c r="HA1097" s="0"/>
      <c r="HB1097" s="0"/>
      <c r="HC1097" s="0"/>
      <c r="HD1097" s="0"/>
      <c r="HE1097" s="0"/>
      <c r="HF1097" s="0"/>
      <c r="HG1097" s="0"/>
      <c r="HH1097" s="0"/>
      <c r="HI1097" s="0"/>
      <c r="HJ1097" s="0"/>
      <c r="HK1097" s="0"/>
      <c r="HL1097" s="0"/>
      <c r="HM1097" s="0"/>
      <c r="HN1097" s="0"/>
      <c r="HO1097" s="0"/>
      <c r="HP1097" s="0"/>
      <c r="HQ1097" s="0"/>
      <c r="HR1097" s="0"/>
      <c r="HS1097" s="0"/>
      <c r="HT1097" s="0"/>
      <c r="HU1097" s="0"/>
      <c r="HV1097" s="0"/>
      <c r="HW1097" s="0"/>
      <c r="HX1097" s="0"/>
      <c r="HY1097" s="0"/>
      <c r="HZ1097" s="0"/>
      <c r="IA1097" s="0"/>
      <c r="IB1097" s="0"/>
      <c r="IC1097" s="0"/>
      <c r="ID1097" s="0"/>
      <c r="IE1097" s="0"/>
      <c r="IF1097" s="0"/>
      <c r="IG1097" s="0"/>
      <c r="IH1097" s="0"/>
      <c r="II1097" s="0"/>
      <c r="IJ1097" s="0"/>
      <c r="IK1097" s="0"/>
      <c r="IL1097" s="0"/>
      <c r="IM1097" s="0"/>
      <c r="IN1097" s="0"/>
      <c r="IO1097" s="0"/>
      <c r="IP1097" s="0"/>
      <c r="IQ1097" s="0"/>
      <c r="IR1097" s="0"/>
      <c r="IS1097" s="0"/>
      <c r="IT1097" s="0"/>
      <c r="IU1097" s="0"/>
      <c r="IV1097" s="0"/>
    </row>
    <row r="1098" customFormat="false" ht="15" hidden="false" customHeight="true" outlineLevel="0" collapsed="false">
      <c r="A1098" s="443" t="s">
        <v>814</v>
      </c>
      <c r="J1098" s="11"/>
      <c r="N1098" s="1309"/>
      <c r="O1098" s="1309"/>
      <c r="P1098" s="1309"/>
      <c r="Q1098" s="1309"/>
      <c r="R1098" s="1309"/>
      <c r="S1098" s="1309"/>
    </row>
    <row r="1099" customFormat="false" ht="15" hidden="false" customHeight="true" outlineLevel="0" collapsed="false">
      <c r="A1099" s="0"/>
      <c r="K1099" s="903"/>
      <c r="L1099" s="877"/>
      <c r="M1099" s="0"/>
      <c r="N1099" s="1309"/>
      <c r="O1099" s="1309"/>
      <c r="P1099" s="1309"/>
      <c r="Q1099" s="1309"/>
      <c r="R1099" s="1309"/>
      <c r="S1099" s="1309"/>
      <c r="T1099" s="0"/>
      <c r="U1099" s="0"/>
      <c r="V1099" s="0"/>
      <c r="W1099" s="0"/>
      <c r="X1099" s="0"/>
      <c r="Y1099" s="0"/>
      <c r="Z1099" s="0"/>
      <c r="AA1099" s="0"/>
      <c r="AB1099" s="0"/>
      <c r="AC1099" s="0"/>
      <c r="AD1099" s="0"/>
      <c r="AE1099" s="0"/>
      <c r="AF1099" s="0"/>
      <c r="AG1099" s="0"/>
      <c r="AH1099" s="0"/>
      <c r="AI1099" s="0"/>
      <c r="AJ1099" s="0"/>
      <c r="AK1099" s="0"/>
      <c r="AL1099" s="0"/>
      <c r="AM1099" s="0"/>
      <c r="AN1099" s="0"/>
      <c r="AO1099" s="0"/>
      <c r="AP1099" s="0"/>
      <c r="AQ1099" s="0"/>
      <c r="AR1099" s="0"/>
      <c r="AS1099" s="0"/>
      <c r="AT1099" s="0"/>
      <c r="AU1099" s="0"/>
      <c r="AV1099" s="0"/>
      <c r="AW1099" s="0"/>
      <c r="AX1099" s="0"/>
      <c r="AY1099" s="0"/>
      <c r="AZ1099" s="0"/>
      <c r="BA1099" s="0"/>
      <c r="BB1099" s="0"/>
      <c r="BC1099" s="0"/>
      <c r="BD1099" s="0"/>
      <c r="BE1099" s="0"/>
      <c r="BF1099" s="0"/>
      <c r="BG1099" s="0"/>
      <c r="BH1099" s="0"/>
      <c r="BI1099" s="0"/>
      <c r="BJ1099" s="0"/>
      <c r="BK1099" s="0"/>
      <c r="BL1099" s="0"/>
      <c r="BM1099" s="0"/>
      <c r="BN1099" s="0"/>
      <c r="BO1099" s="0"/>
      <c r="BP1099" s="0"/>
      <c r="BQ1099" s="0"/>
      <c r="BR1099" s="0"/>
      <c r="BS1099" s="0"/>
      <c r="BT1099" s="0"/>
      <c r="BU1099" s="0"/>
      <c r="BV1099" s="0"/>
      <c r="BW1099" s="0"/>
      <c r="BX1099" s="0"/>
      <c r="BY1099" s="0"/>
      <c r="BZ1099" s="0"/>
      <c r="CA1099" s="0"/>
      <c r="CB1099" s="0"/>
      <c r="CC1099" s="0"/>
      <c r="CD1099" s="0"/>
      <c r="CE1099" s="0"/>
      <c r="CF1099" s="0"/>
      <c r="CG1099" s="0"/>
      <c r="CH1099" s="0"/>
      <c r="CI1099" s="0"/>
      <c r="CJ1099" s="0"/>
      <c r="CK1099" s="0"/>
      <c r="CL1099" s="0"/>
      <c r="CM1099" s="0"/>
      <c r="CN1099" s="0"/>
      <c r="CO1099" s="0"/>
      <c r="CP1099" s="0"/>
      <c r="CQ1099" s="0"/>
      <c r="CR1099" s="0"/>
      <c r="CS1099" s="0"/>
      <c r="CT1099" s="0"/>
      <c r="CU1099" s="0"/>
      <c r="CV1099" s="0"/>
      <c r="CW1099" s="0"/>
      <c r="CX1099" s="0"/>
      <c r="CY1099" s="0"/>
      <c r="CZ1099" s="0"/>
      <c r="DA1099" s="0"/>
      <c r="DB1099" s="0"/>
      <c r="DC1099" s="0"/>
      <c r="DD1099" s="0"/>
      <c r="DE1099" s="0"/>
      <c r="DF1099" s="0"/>
      <c r="DG1099" s="0"/>
      <c r="DH1099" s="0"/>
      <c r="DI1099" s="0"/>
      <c r="DJ1099" s="0"/>
      <c r="DK1099" s="0"/>
      <c r="DL1099" s="0"/>
      <c r="DM1099" s="0"/>
      <c r="DN1099" s="0"/>
      <c r="DO1099" s="0"/>
      <c r="DP1099" s="0"/>
      <c r="DQ1099" s="0"/>
      <c r="DR1099" s="0"/>
      <c r="DS1099" s="0"/>
      <c r="DT1099" s="0"/>
      <c r="DU1099" s="0"/>
      <c r="DV1099" s="0"/>
      <c r="DW1099" s="0"/>
      <c r="DX1099" s="0"/>
      <c r="DY1099" s="0"/>
      <c r="DZ1099" s="0"/>
      <c r="EA1099" s="0"/>
      <c r="EB1099" s="0"/>
      <c r="EC1099" s="0"/>
      <c r="ED1099" s="0"/>
      <c r="EE1099" s="0"/>
      <c r="EF1099" s="0"/>
      <c r="EG1099" s="0"/>
      <c r="EH1099" s="0"/>
      <c r="EI1099" s="0"/>
      <c r="EJ1099" s="0"/>
      <c r="EK1099" s="0"/>
      <c r="EL1099" s="0"/>
      <c r="EM1099" s="0"/>
      <c r="EN1099" s="0"/>
      <c r="EO1099" s="0"/>
      <c r="EP1099" s="0"/>
      <c r="EQ1099" s="0"/>
      <c r="ER1099" s="0"/>
      <c r="ES1099" s="0"/>
      <c r="ET1099" s="0"/>
      <c r="EU1099" s="0"/>
      <c r="EV1099" s="0"/>
      <c r="EW1099" s="0"/>
      <c r="EX1099" s="0"/>
      <c r="EY1099" s="0"/>
      <c r="EZ1099" s="0"/>
      <c r="FA1099" s="0"/>
      <c r="FB1099" s="0"/>
      <c r="FC1099" s="0"/>
      <c r="FD1099" s="0"/>
      <c r="FE1099" s="0"/>
      <c r="FF1099" s="0"/>
      <c r="FG1099" s="0"/>
      <c r="FH1099" s="0"/>
      <c r="FI1099" s="0"/>
      <c r="FJ1099" s="0"/>
      <c r="FK1099" s="0"/>
      <c r="FL1099" s="0"/>
      <c r="FM1099" s="0"/>
      <c r="FN1099" s="0"/>
      <c r="FO1099" s="0"/>
      <c r="FP1099" s="0"/>
      <c r="FQ1099" s="0"/>
      <c r="FR1099" s="0"/>
      <c r="FS1099" s="0"/>
      <c r="FT1099" s="0"/>
      <c r="FU1099" s="0"/>
      <c r="FV1099" s="0"/>
      <c r="FW1099" s="0"/>
      <c r="FX1099" s="0"/>
      <c r="FY1099" s="0"/>
      <c r="FZ1099" s="0"/>
      <c r="GA1099" s="0"/>
      <c r="GB1099" s="0"/>
      <c r="GC1099" s="0"/>
      <c r="GD1099" s="0"/>
      <c r="GE1099" s="0"/>
      <c r="GF1099" s="0"/>
      <c r="GG1099" s="0"/>
      <c r="GH1099" s="0"/>
      <c r="GI1099" s="0"/>
      <c r="GJ1099" s="0"/>
      <c r="GK1099" s="0"/>
      <c r="GL1099" s="0"/>
      <c r="GM1099" s="0"/>
      <c r="GN1099" s="0"/>
      <c r="GO1099" s="0"/>
      <c r="GP1099" s="0"/>
      <c r="GQ1099" s="0"/>
      <c r="GR1099" s="0"/>
      <c r="GS1099" s="0"/>
      <c r="GT1099" s="0"/>
      <c r="GU1099" s="0"/>
      <c r="GV1099" s="0"/>
      <c r="GW1099" s="0"/>
      <c r="GX1099" s="0"/>
      <c r="GY1099" s="0"/>
      <c r="GZ1099" s="0"/>
      <c r="HA1099" s="0"/>
      <c r="HB1099" s="0"/>
      <c r="HC1099" s="0"/>
      <c r="HD1099" s="0"/>
      <c r="HE1099" s="0"/>
      <c r="HF1099" s="0"/>
      <c r="HG1099" s="0"/>
      <c r="HH1099" s="0"/>
      <c r="HI1099" s="0"/>
      <c r="HJ1099" s="0"/>
      <c r="HK1099" s="0"/>
      <c r="HL1099" s="0"/>
      <c r="HM1099" s="0"/>
      <c r="HN1099" s="0"/>
      <c r="HO1099" s="0"/>
      <c r="HP1099" s="0"/>
      <c r="HQ1099" s="0"/>
      <c r="HR1099" s="0"/>
      <c r="HS1099" s="0"/>
      <c r="HT1099" s="0"/>
      <c r="HU1099" s="0"/>
      <c r="HV1099" s="0"/>
      <c r="HW1099" s="0"/>
      <c r="HX1099" s="0"/>
      <c r="HY1099" s="0"/>
      <c r="HZ1099" s="0"/>
      <c r="IA1099" s="0"/>
      <c r="IB1099" s="0"/>
      <c r="IC1099" s="0"/>
      <c r="ID1099" s="0"/>
      <c r="IE1099" s="0"/>
      <c r="IF1099" s="0"/>
      <c r="IG1099" s="0"/>
      <c r="IH1099" s="0"/>
      <c r="II1099" s="0"/>
      <c r="IJ1099" s="0"/>
      <c r="IK1099" s="0"/>
      <c r="IL1099" s="0"/>
      <c r="IM1099" s="0"/>
      <c r="IN1099" s="0"/>
      <c r="IO1099" s="0"/>
      <c r="IP1099" s="0"/>
      <c r="IQ1099" s="0"/>
      <c r="IR1099" s="0"/>
      <c r="IS1099" s="0"/>
      <c r="IT1099" s="0"/>
      <c r="IU1099" s="0"/>
      <c r="IV1099" s="0"/>
    </row>
    <row r="1100" customFormat="false" ht="15" hidden="false" customHeight="true" outlineLevel="0" collapsed="false">
      <c r="A1100" s="0"/>
      <c r="K1100" s="903"/>
      <c r="L1100" s="877"/>
      <c r="M1100" s="0"/>
      <c r="N1100" s="1309"/>
      <c r="O1100" s="1309"/>
      <c r="P1100" s="1309"/>
      <c r="Q1100" s="1309"/>
      <c r="R1100" s="1309"/>
      <c r="S1100" s="1309"/>
      <c r="T1100" s="0"/>
      <c r="U1100" s="0"/>
      <c r="V1100" s="0"/>
      <c r="W1100" s="0"/>
      <c r="X1100" s="0"/>
      <c r="Y1100" s="0"/>
      <c r="Z1100" s="0"/>
      <c r="AA1100" s="0"/>
      <c r="AB1100" s="0"/>
      <c r="AC1100" s="0"/>
      <c r="AD1100" s="0"/>
      <c r="AE1100" s="0"/>
      <c r="AF1100" s="0"/>
      <c r="AG1100" s="0"/>
      <c r="AH1100" s="0"/>
      <c r="AI1100" s="0"/>
      <c r="AJ1100" s="0"/>
      <c r="AK1100" s="0"/>
      <c r="AL1100" s="0"/>
      <c r="AM1100" s="0"/>
      <c r="AN1100" s="0"/>
      <c r="AO1100" s="0"/>
      <c r="AP1100" s="0"/>
      <c r="AQ1100" s="0"/>
      <c r="AR1100" s="0"/>
      <c r="AS1100" s="0"/>
      <c r="AT1100" s="0"/>
      <c r="AU1100" s="0"/>
      <c r="AV1100" s="0"/>
      <c r="AW1100" s="0"/>
      <c r="AX1100" s="0"/>
      <c r="AY1100" s="0"/>
      <c r="AZ1100" s="0"/>
      <c r="BA1100" s="0"/>
      <c r="BB1100" s="0"/>
      <c r="BC1100" s="0"/>
      <c r="BD1100" s="0"/>
      <c r="BE1100" s="0"/>
      <c r="BF1100" s="0"/>
      <c r="BG1100" s="0"/>
      <c r="BH1100" s="0"/>
      <c r="BI1100" s="0"/>
      <c r="BJ1100" s="0"/>
      <c r="BK1100" s="0"/>
      <c r="BL1100" s="0"/>
      <c r="BM1100" s="0"/>
      <c r="BN1100" s="0"/>
      <c r="BO1100" s="0"/>
      <c r="BP1100" s="0"/>
      <c r="BQ1100" s="0"/>
      <c r="BR1100" s="0"/>
      <c r="BS1100" s="0"/>
      <c r="BT1100" s="0"/>
      <c r="BU1100" s="0"/>
      <c r="BV1100" s="0"/>
      <c r="BW1100" s="0"/>
      <c r="BX1100" s="0"/>
      <c r="BY1100" s="0"/>
      <c r="BZ1100" s="0"/>
      <c r="CA1100" s="0"/>
      <c r="CB1100" s="0"/>
      <c r="CC1100" s="0"/>
      <c r="CD1100" s="0"/>
      <c r="CE1100" s="0"/>
      <c r="CF1100" s="0"/>
      <c r="CG1100" s="0"/>
      <c r="CH1100" s="0"/>
      <c r="CI1100" s="0"/>
      <c r="CJ1100" s="0"/>
      <c r="CK1100" s="0"/>
      <c r="CL1100" s="0"/>
      <c r="CM1100" s="0"/>
      <c r="CN1100" s="0"/>
      <c r="CO1100" s="0"/>
      <c r="CP1100" s="0"/>
      <c r="CQ1100" s="0"/>
      <c r="CR1100" s="0"/>
      <c r="CS1100" s="0"/>
      <c r="CT1100" s="0"/>
      <c r="CU1100" s="0"/>
      <c r="CV1100" s="0"/>
      <c r="CW1100" s="0"/>
      <c r="CX1100" s="0"/>
      <c r="CY1100" s="0"/>
      <c r="CZ1100" s="0"/>
      <c r="DA1100" s="0"/>
      <c r="DB1100" s="0"/>
      <c r="DC1100" s="0"/>
      <c r="DD1100" s="0"/>
      <c r="DE1100" s="0"/>
      <c r="DF1100" s="0"/>
      <c r="DG1100" s="0"/>
      <c r="DH1100" s="0"/>
      <c r="DI1100" s="0"/>
      <c r="DJ1100" s="0"/>
      <c r="DK1100" s="0"/>
      <c r="DL1100" s="0"/>
      <c r="DM1100" s="0"/>
      <c r="DN1100" s="0"/>
      <c r="DO1100" s="0"/>
      <c r="DP1100" s="0"/>
      <c r="DQ1100" s="0"/>
      <c r="DR1100" s="0"/>
      <c r="DS1100" s="0"/>
      <c r="DT1100" s="0"/>
      <c r="DU1100" s="0"/>
      <c r="DV1100" s="0"/>
      <c r="DW1100" s="0"/>
      <c r="DX1100" s="0"/>
      <c r="DY1100" s="0"/>
      <c r="DZ1100" s="0"/>
      <c r="EA1100" s="0"/>
      <c r="EB1100" s="0"/>
      <c r="EC1100" s="0"/>
      <c r="ED1100" s="0"/>
      <c r="EE1100" s="0"/>
      <c r="EF1100" s="0"/>
      <c r="EG1100" s="0"/>
      <c r="EH1100" s="0"/>
      <c r="EI1100" s="0"/>
      <c r="EJ1100" s="0"/>
      <c r="EK1100" s="0"/>
      <c r="EL1100" s="0"/>
      <c r="EM1100" s="0"/>
      <c r="EN1100" s="0"/>
      <c r="EO1100" s="0"/>
      <c r="EP1100" s="0"/>
      <c r="EQ1100" s="0"/>
      <c r="ER1100" s="0"/>
      <c r="ES1100" s="0"/>
      <c r="ET1100" s="0"/>
      <c r="EU1100" s="0"/>
      <c r="EV1100" s="0"/>
      <c r="EW1100" s="0"/>
      <c r="EX1100" s="0"/>
      <c r="EY1100" s="0"/>
      <c r="EZ1100" s="0"/>
      <c r="FA1100" s="0"/>
      <c r="FB1100" s="0"/>
      <c r="FC1100" s="0"/>
      <c r="FD1100" s="0"/>
      <c r="FE1100" s="0"/>
      <c r="FF1100" s="0"/>
      <c r="FG1100" s="0"/>
      <c r="FH1100" s="0"/>
      <c r="FI1100" s="0"/>
      <c r="FJ1100" s="0"/>
      <c r="FK1100" s="0"/>
      <c r="FL1100" s="0"/>
      <c r="FM1100" s="0"/>
      <c r="FN1100" s="0"/>
      <c r="FO1100" s="0"/>
      <c r="FP1100" s="0"/>
      <c r="FQ1100" s="0"/>
      <c r="FR1100" s="0"/>
      <c r="FS1100" s="0"/>
      <c r="FT1100" s="0"/>
      <c r="FU1100" s="0"/>
      <c r="FV1100" s="0"/>
      <c r="FW1100" s="0"/>
      <c r="FX1100" s="0"/>
      <c r="FY1100" s="0"/>
      <c r="FZ1100" s="0"/>
      <c r="GA1100" s="0"/>
      <c r="GB1100" s="0"/>
      <c r="GC1100" s="0"/>
      <c r="GD1100" s="0"/>
      <c r="GE1100" s="0"/>
      <c r="GF1100" s="0"/>
      <c r="GG1100" s="0"/>
      <c r="GH1100" s="0"/>
      <c r="GI1100" s="0"/>
      <c r="GJ1100" s="0"/>
      <c r="GK1100" s="0"/>
      <c r="GL1100" s="0"/>
      <c r="GM1100" s="0"/>
      <c r="GN1100" s="0"/>
      <c r="GO1100" s="0"/>
      <c r="GP1100" s="0"/>
      <c r="GQ1100" s="0"/>
      <c r="GR1100" s="0"/>
      <c r="GS1100" s="0"/>
      <c r="GT1100" s="0"/>
      <c r="GU1100" s="0"/>
      <c r="GV1100" s="0"/>
      <c r="GW1100" s="0"/>
      <c r="GX1100" s="0"/>
      <c r="GY1100" s="0"/>
      <c r="GZ1100" s="0"/>
      <c r="HA1100" s="0"/>
      <c r="HB1100" s="0"/>
      <c r="HC1100" s="0"/>
      <c r="HD1100" s="0"/>
      <c r="HE1100" s="0"/>
      <c r="HF1100" s="0"/>
      <c r="HG1100" s="0"/>
      <c r="HH1100" s="0"/>
      <c r="HI1100" s="0"/>
      <c r="HJ1100" s="0"/>
      <c r="HK1100" s="0"/>
      <c r="HL1100" s="0"/>
      <c r="HM1100" s="0"/>
      <c r="HN1100" s="0"/>
      <c r="HO1100" s="0"/>
      <c r="HP1100" s="0"/>
      <c r="HQ1100" s="0"/>
      <c r="HR1100" s="0"/>
      <c r="HS1100" s="0"/>
      <c r="HT1100" s="0"/>
      <c r="HU1100" s="0"/>
      <c r="HV1100" s="0"/>
      <c r="HW1100" s="0"/>
      <c r="HX1100" s="0"/>
      <c r="HY1100" s="0"/>
      <c r="HZ1100" s="0"/>
      <c r="IA1100" s="0"/>
      <c r="IB1100" s="0"/>
      <c r="IC1100" s="0"/>
      <c r="ID1100" s="0"/>
      <c r="IE1100" s="0"/>
      <c r="IF1100" s="0"/>
      <c r="IG1100" s="0"/>
      <c r="IH1100" s="0"/>
      <c r="II1100" s="0"/>
      <c r="IJ1100" s="0"/>
      <c r="IK1100" s="0"/>
      <c r="IL1100" s="0"/>
      <c r="IM1100" s="0"/>
      <c r="IN1100" s="0"/>
      <c r="IO1100" s="0"/>
      <c r="IP1100" s="0"/>
      <c r="IQ1100" s="0"/>
      <c r="IR1100" s="0"/>
      <c r="IS1100" s="0"/>
      <c r="IT1100" s="0"/>
      <c r="IU1100" s="0"/>
      <c r="IV1100" s="0"/>
    </row>
    <row r="1101" customFormat="false" ht="16.5" hidden="false" customHeight="true" outlineLevel="0" collapsed="false">
      <c r="A1101" s="869" t="s">
        <v>1721</v>
      </c>
      <c r="B1101" s="869"/>
      <c r="C1101" s="869"/>
      <c r="D1101" s="869"/>
      <c r="E1101" s="869"/>
      <c r="F1101" s="869"/>
      <c r="G1101" s="869"/>
      <c r="H1101" s="53"/>
      <c r="I1101" s="53"/>
      <c r="J1101" s="53"/>
      <c r="K1101" s="870"/>
      <c r="L1101" s="871" t="s">
        <v>1722</v>
      </c>
      <c r="M1101" s="0"/>
      <c r="AG1101" s="0"/>
      <c r="AH1101" s="0"/>
      <c r="AI1101" s="0"/>
      <c r="AJ1101" s="0"/>
      <c r="AK1101" s="0"/>
      <c r="AL1101" s="0"/>
      <c r="AM1101" s="0"/>
      <c r="AN1101" s="0"/>
      <c r="AO1101" s="0"/>
      <c r="AP1101" s="0"/>
      <c r="AQ1101" s="0"/>
      <c r="AR1101" s="0"/>
      <c r="AS1101" s="0"/>
      <c r="AT1101" s="0"/>
      <c r="AU1101" s="0"/>
      <c r="AV1101" s="0"/>
      <c r="AW1101" s="0"/>
      <c r="AX1101" s="0"/>
      <c r="AY1101" s="0"/>
      <c r="AZ1101" s="0"/>
      <c r="BA1101" s="0"/>
      <c r="BB1101" s="0"/>
      <c r="BC1101" s="0"/>
      <c r="BD1101" s="0"/>
      <c r="BE1101" s="0"/>
      <c r="BF1101" s="0"/>
      <c r="BG1101" s="0"/>
      <c r="BH1101" s="0"/>
      <c r="BI1101" s="0"/>
      <c r="BJ1101" s="0"/>
      <c r="BK1101" s="0"/>
      <c r="BL1101" s="0"/>
      <c r="BM1101" s="0"/>
      <c r="BN1101" s="0"/>
      <c r="BO1101" s="0"/>
      <c r="BP1101" s="0"/>
      <c r="BQ1101" s="0"/>
      <c r="BR1101" s="0"/>
      <c r="BS1101" s="0"/>
      <c r="BT1101" s="0"/>
      <c r="BU1101" s="0"/>
      <c r="BV1101" s="0"/>
      <c r="BW1101" s="0"/>
      <c r="BX1101" s="0"/>
      <c r="BY1101" s="0"/>
      <c r="BZ1101" s="0"/>
      <c r="CA1101" s="0"/>
      <c r="CB1101" s="0"/>
      <c r="CC1101" s="0"/>
      <c r="CD1101" s="0"/>
      <c r="CE1101" s="0"/>
      <c r="CF1101" s="0"/>
      <c r="CG1101" s="0"/>
      <c r="CH1101" s="0"/>
      <c r="CI1101" s="0"/>
      <c r="CJ1101" s="0"/>
      <c r="CK1101" s="0"/>
      <c r="CL1101" s="0"/>
      <c r="CM1101" s="0"/>
      <c r="CN1101" s="0"/>
      <c r="CO1101" s="0"/>
      <c r="CP1101" s="0"/>
      <c r="CQ1101" s="0"/>
      <c r="CR1101" s="0"/>
      <c r="CS1101" s="0"/>
      <c r="CT1101" s="0"/>
      <c r="CU1101" s="0"/>
      <c r="CV1101" s="0"/>
      <c r="CW1101" s="0"/>
      <c r="CX1101" s="0"/>
      <c r="CY1101" s="0"/>
      <c r="CZ1101" s="0"/>
      <c r="DA1101" s="0"/>
      <c r="DB1101" s="0"/>
      <c r="DC1101" s="0"/>
      <c r="DD1101" s="0"/>
      <c r="DE1101" s="0"/>
      <c r="DF1101" s="0"/>
      <c r="DG1101" s="0"/>
      <c r="DH1101" s="0"/>
      <c r="DI1101" s="0"/>
      <c r="DJ1101" s="0"/>
      <c r="DK1101" s="0"/>
      <c r="DL1101" s="0"/>
      <c r="DM1101" s="0"/>
      <c r="DN1101" s="0"/>
      <c r="DO1101" s="0"/>
      <c r="DP1101" s="0"/>
      <c r="DQ1101" s="0"/>
      <c r="DR1101" s="0"/>
      <c r="DS1101" s="0"/>
      <c r="DT1101" s="0"/>
      <c r="DU1101" s="0"/>
      <c r="DV1101" s="0"/>
      <c r="DW1101" s="0"/>
      <c r="DX1101" s="0"/>
      <c r="DY1101" s="0"/>
      <c r="DZ1101" s="0"/>
      <c r="EA1101" s="0"/>
      <c r="EB1101" s="0"/>
      <c r="EC1101" s="0"/>
      <c r="ED1101" s="0"/>
      <c r="EE1101" s="0"/>
      <c r="EF1101" s="0"/>
      <c r="EG1101" s="0"/>
      <c r="EH1101" s="0"/>
      <c r="EI1101" s="0"/>
      <c r="EJ1101" s="0"/>
      <c r="EK1101" s="0"/>
      <c r="EL1101" s="0"/>
      <c r="EM1101" s="0"/>
      <c r="EN1101" s="0"/>
      <c r="EO1101" s="0"/>
      <c r="EP1101" s="0"/>
      <c r="EQ1101" s="0"/>
      <c r="ER1101" s="0"/>
      <c r="ES1101" s="0"/>
      <c r="ET1101" s="0"/>
      <c r="EU1101" s="0"/>
      <c r="EV1101" s="0"/>
      <c r="EW1101" s="0"/>
      <c r="EX1101" s="0"/>
      <c r="EY1101" s="0"/>
      <c r="EZ1101" s="0"/>
      <c r="FA1101" s="0"/>
      <c r="FB1101" s="0"/>
      <c r="FC1101" s="0"/>
      <c r="FD1101" s="0"/>
      <c r="FE1101" s="0"/>
      <c r="FF1101" s="0"/>
      <c r="FG1101" s="0"/>
      <c r="FH1101" s="0"/>
      <c r="FI1101" s="0"/>
      <c r="FJ1101" s="0"/>
      <c r="FK1101" s="0"/>
      <c r="FL1101" s="0"/>
      <c r="FM1101" s="0"/>
      <c r="FN1101" s="0"/>
      <c r="FO1101" s="0"/>
      <c r="FP1101" s="0"/>
      <c r="FQ1101" s="0"/>
      <c r="FR1101" s="0"/>
      <c r="FS1101" s="0"/>
      <c r="FT1101" s="0"/>
      <c r="FU1101" s="0"/>
      <c r="FV1101" s="0"/>
      <c r="FW1101" s="0"/>
      <c r="FX1101" s="0"/>
      <c r="FY1101" s="0"/>
      <c r="FZ1101" s="0"/>
      <c r="GA1101" s="0"/>
      <c r="GB1101" s="0"/>
      <c r="GC1101" s="0"/>
      <c r="GD1101" s="0"/>
      <c r="GE1101" s="0"/>
      <c r="GF1101" s="0"/>
      <c r="GG1101" s="0"/>
      <c r="GH1101" s="0"/>
      <c r="GI1101" s="0"/>
      <c r="GJ1101" s="0"/>
      <c r="GK1101" s="0"/>
      <c r="GL1101" s="0"/>
      <c r="GM1101" s="0"/>
      <c r="GN1101" s="0"/>
      <c r="GO1101" s="0"/>
      <c r="GP1101" s="0"/>
      <c r="GQ1101" s="0"/>
      <c r="GR1101" s="0"/>
      <c r="GS1101" s="0"/>
      <c r="GT1101" s="0"/>
      <c r="GU1101" s="0"/>
      <c r="GV1101" s="0"/>
      <c r="GW1101" s="0"/>
      <c r="GX1101" s="0"/>
      <c r="GY1101" s="0"/>
      <c r="GZ1101" s="0"/>
      <c r="HA1101" s="0"/>
      <c r="HB1101" s="0"/>
      <c r="HC1101" s="0"/>
      <c r="HD1101" s="0"/>
      <c r="HE1101" s="0"/>
      <c r="HF1101" s="0"/>
      <c r="HG1101" s="0"/>
      <c r="HH1101" s="0"/>
      <c r="HI1101" s="0"/>
      <c r="HJ1101" s="0"/>
      <c r="HK1101" s="0"/>
      <c r="HL1101" s="0"/>
      <c r="HM1101" s="0"/>
      <c r="HN1101" s="0"/>
      <c r="HO1101" s="0"/>
      <c r="HP1101" s="0"/>
      <c r="HQ1101" s="0"/>
      <c r="HR1101" s="0"/>
      <c r="HS1101" s="0"/>
      <c r="HT1101" s="0"/>
      <c r="HU1101" s="0"/>
      <c r="HV1101" s="0"/>
      <c r="HW1101" s="0"/>
      <c r="HX1101" s="0"/>
      <c r="HY1101" s="0"/>
      <c r="HZ1101" s="0"/>
      <c r="IA1101" s="0"/>
      <c r="IB1101" s="0"/>
      <c r="IC1101" s="0"/>
      <c r="ID1101" s="0"/>
      <c r="IE1101" s="0"/>
      <c r="IF1101" s="0"/>
      <c r="IG1101" s="0"/>
      <c r="IH1101" s="0"/>
      <c r="II1101" s="0"/>
      <c r="IJ1101" s="0"/>
      <c r="IK1101" s="0"/>
      <c r="IL1101" s="0"/>
      <c r="IM1101" s="0"/>
      <c r="IN1101" s="0"/>
      <c r="IO1101" s="0"/>
      <c r="IP1101" s="0"/>
      <c r="IQ1101" s="0"/>
      <c r="IR1101" s="0"/>
      <c r="IS1101" s="0"/>
      <c r="IT1101" s="0"/>
      <c r="IU1101" s="0"/>
      <c r="IV1101" s="0"/>
    </row>
    <row r="1102" customFormat="false" ht="16.5" hidden="false" customHeight="true" outlineLevel="0" collapsed="false">
      <c r="A1102" s="1005"/>
      <c r="B1102" s="1005"/>
      <c r="C1102" s="1005"/>
      <c r="D1102" s="1005"/>
      <c r="E1102" s="1005"/>
      <c r="F1102" s="1005"/>
      <c r="G1102" s="1005"/>
      <c r="H1102" s="0"/>
      <c r="I1102" s="0"/>
      <c r="J1102" s="0"/>
      <c r="K1102" s="1317"/>
      <c r="L1102" s="654"/>
      <c r="M1102" s="0"/>
      <c r="AG1102" s="0"/>
      <c r="AH1102" s="0"/>
      <c r="AI1102" s="0"/>
      <c r="AJ1102" s="0"/>
      <c r="AK1102" s="0"/>
      <c r="AL1102" s="0"/>
      <c r="AM1102" s="0"/>
      <c r="AN1102" s="0"/>
      <c r="AO1102" s="0"/>
      <c r="AP1102" s="0"/>
      <c r="AQ1102" s="0"/>
      <c r="AR1102" s="0"/>
      <c r="AS1102" s="0"/>
      <c r="AT1102" s="0"/>
      <c r="AU1102" s="0"/>
      <c r="AV1102" s="0"/>
      <c r="AW1102" s="0"/>
      <c r="AX1102" s="0"/>
      <c r="AY1102" s="0"/>
      <c r="AZ1102" s="0"/>
      <c r="BA1102" s="0"/>
      <c r="BB1102" s="0"/>
      <c r="BC1102" s="0"/>
      <c r="BD1102" s="0"/>
      <c r="BE1102" s="0"/>
      <c r="BF1102" s="0"/>
      <c r="BG1102" s="0"/>
      <c r="BH1102" s="0"/>
      <c r="BI1102" s="0"/>
      <c r="BJ1102" s="0"/>
      <c r="BK1102" s="0"/>
      <c r="BL1102" s="0"/>
      <c r="BM1102" s="0"/>
      <c r="BN1102" s="0"/>
      <c r="BO1102" s="0"/>
      <c r="BP1102" s="0"/>
      <c r="BQ1102" s="0"/>
      <c r="BR1102" s="0"/>
      <c r="BS1102" s="0"/>
      <c r="BT1102" s="0"/>
      <c r="BU1102" s="0"/>
      <c r="BV1102" s="0"/>
      <c r="BW1102" s="0"/>
      <c r="BX1102" s="0"/>
      <c r="BY1102" s="0"/>
      <c r="BZ1102" s="0"/>
      <c r="CA1102" s="0"/>
      <c r="CB1102" s="0"/>
      <c r="CC1102" s="0"/>
      <c r="CD1102" s="0"/>
      <c r="CE1102" s="0"/>
      <c r="CF1102" s="0"/>
      <c r="CG1102" s="0"/>
      <c r="CH1102" s="0"/>
      <c r="CI1102" s="0"/>
      <c r="CJ1102" s="0"/>
      <c r="CK1102" s="0"/>
      <c r="CL1102" s="0"/>
      <c r="CM1102" s="0"/>
      <c r="CN1102" s="0"/>
      <c r="CO1102" s="0"/>
      <c r="CP1102" s="0"/>
      <c r="CQ1102" s="0"/>
      <c r="CR1102" s="0"/>
      <c r="CS1102" s="0"/>
      <c r="CT1102" s="0"/>
      <c r="CU1102" s="0"/>
      <c r="CV1102" s="0"/>
      <c r="CW1102" s="0"/>
      <c r="CX1102" s="0"/>
      <c r="CY1102" s="0"/>
      <c r="CZ1102" s="0"/>
      <c r="DA1102" s="0"/>
      <c r="DB1102" s="0"/>
      <c r="DC1102" s="0"/>
      <c r="DD1102" s="0"/>
      <c r="DE1102" s="0"/>
      <c r="DF1102" s="0"/>
      <c r="DG1102" s="0"/>
      <c r="DH1102" s="0"/>
      <c r="DI1102" s="0"/>
      <c r="DJ1102" s="0"/>
      <c r="DK1102" s="0"/>
      <c r="DL1102" s="0"/>
      <c r="DM1102" s="0"/>
      <c r="DN1102" s="0"/>
      <c r="DO1102" s="0"/>
      <c r="DP1102" s="0"/>
      <c r="DQ1102" s="0"/>
      <c r="DR1102" s="0"/>
      <c r="DS1102" s="0"/>
      <c r="DT1102" s="0"/>
      <c r="DU1102" s="0"/>
      <c r="DV1102" s="0"/>
      <c r="DW1102" s="0"/>
      <c r="DX1102" s="0"/>
      <c r="DY1102" s="0"/>
      <c r="DZ1102" s="0"/>
      <c r="EA1102" s="0"/>
      <c r="EB1102" s="0"/>
      <c r="EC1102" s="0"/>
      <c r="ED1102" s="0"/>
      <c r="EE1102" s="0"/>
      <c r="EF1102" s="0"/>
      <c r="EG1102" s="0"/>
      <c r="EH1102" s="0"/>
      <c r="EI1102" s="0"/>
      <c r="EJ1102" s="0"/>
      <c r="EK1102" s="0"/>
      <c r="EL1102" s="0"/>
      <c r="EM1102" s="0"/>
      <c r="EN1102" s="0"/>
      <c r="EO1102" s="0"/>
      <c r="EP1102" s="0"/>
      <c r="EQ1102" s="0"/>
      <c r="ER1102" s="0"/>
      <c r="ES1102" s="0"/>
      <c r="ET1102" s="0"/>
      <c r="EU1102" s="0"/>
      <c r="EV1102" s="0"/>
      <c r="EW1102" s="0"/>
      <c r="EX1102" s="0"/>
      <c r="EY1102" s="0"/>
      <c r="EZ1102" s="0"/>
      <c r="FA1102" s="0"/>
      <c r="FB1102" s="0"/>
      <c r="FC1102" s="0"/>
      <c r="FD1102" s="0"/>
      <c r="FE1102" s="0"/>
      <c r="FF1102" s="0"/>
      <c r="FG1102" s="0"/>
      <c r="FH1102" s="0"/>
      <c r="FI1102" s="0"/>
      <c r="FJ1102" s="0"/>
      <c r="FK1102" s="0"/>
      <c r="FL1102" s="0"/>
      <c r="FM1102" s="0"/>
      <c r="FN1102" s="0"/>
      <c r="FO1102" s="0"/>
      <c r="FP1102" s="0"/>
      <c r="FQ1102" s="0"/>
      <c r="FR1102" s="0"/>
      <c r="FS1102" s="0"/>
      <c r="FT1102" s="0"/>
      <c r="FU1102" s="0"/>
      <c r="FV1102" s="0"/>
      <c r="FW1102" s="0"/>
      <c r="FX1102" s="0"/>
      <c r="FY1102" s="0"/>
      <c r="FZ1102" s="0"/>
      <c r="GA1102" s="0"/>
      <c r="GB1102" s="0"/>
      <c r="GC1102" s="0"/>
      <c r="GD1102" s="0"/>
      <c r="GE1102" s="0"/>
      <c r="GF1102" s="0"/>
      <c r="GG1102" s="0"/>
      <c r="GH1102" s="0"/>
      <c r="GI1102" s="0"/>
      <c r="GJ1102" s="0"/>
      <c r="GK1102" s="0"/>
      <c r="GL1102" s="0"/>
      <c r="GM1102" s="0"/>
      <c r="GN1102" s="0"/>
      <c r="GO1102" s="0"/>
      <c r="GP1102" s="0"/>
      <c r="GQ1102" s="0"/>
      <c r="GR1102" s="0"/>
      <c r="GS1102" s="0"/>
      <c r="GT1102" s="0"/>
      <c r="GU1102" s="0"/>
      <c r="GV1102" s="0"/>
      <c r="GW1102" s="0"/>
      <c r="GX1102" s="0"/>
      <c r="GY1102" s="0"/>
      <c r="GZ1102" s="0"/>
      <c r="HA1102" s="0"/>
      <c r="HB1102" s="0"/>
      <c r="HC1102" s="0"/>
      <c r="HD1102" s="0"/>
      <c r="HE1102" s="0"/>
      <c r="HF1102" s="0"/>
      <c r="HG1102" s="0"/>
      <c r="HH1102" s="0"/>
      <c r="HI1102" s="0"/>
      <c r="HJ1102" s="0"/>
      <c r="HK1102" s="0"/>
      <c r="HL1102" s="0"/>
      <c r="HM1102" s="0"/>
      <c r="HN1102" s="0"/>
      <c r="HO1102" s="0"/>
      <c r="HP1102" s="0"/>
      <c r="HQ1102" s="0"/>
      <c r="HR1102" s="0"/>
      <c r="HS1102" s="0"/>
      <c r="HT1102" s="0"/>
      <c r="HU1102" s="0"/>
      <c r="HV1102" s="0"/>
      <c r="HW1102" s="0"/>
      <c r="HX1102" s="0"/>
      <c r="HY1102" s="0"/>
      <c r="HZ1102" s="0"/>
      <c r="IA1102" s="0"/>
      <c r="IB1102" s="0"/>
      <c r="IC1102" s="0"/>
      <c r="ID1102" s="0"/>
      <c r="IE1102" s="0"/>
      <c r="IF1102" s="0"/>
      <c r="IG1102" s="0"/>
      <c r="IH1102" s="0"/>
      <c r="II1102" s="0"/>
      <c r="IJ1102" s="0"/>
      <c r="IK1102" s="0"/>
      <c r="IL1102" s="0"/>
      <c r="IM1102" s="0"/>
      <c r="IN1102" s="0"/>
      <c r="IO1102" s="0"/>
      <c r="IP1102" s="0"/>
      <c r="IQ1102" s="0"/>
      <c r="IR1102" s="0"/>
      <c r="IS1102" s="0"/>
      <c r="IT1102" s="0"/>
      <c r="IU1102" s="0"/>
      <c r="IV1102" s="0"/>
    </row>
    <row r="1103" customFormat="false" ht="16.5" hidden="false" customHeight="true" outlineLevel="0" collapsed="false">
      <c r="A1103" s="433" t="s">
        <v>1596</v>
      </c>
      <c r="B1103" s="954" t="str">
        <f aca="false">B19</f>
        <v>1 - monogastrique</v>
      </c>
      <c r="C1103" s="1005"/>
      <c r="D1103" s="1005"/>
      <c r="E1103" s="1005"/>
      <c r="F1103" s="1005"/>
      <c r="G1103" s="1005"/>
      <c r="H1103" s="0"/>
      <c r="I1103" s="0"/>
      <c r="J1103" s="0"/>
      <c r="K1103" s="1317"/>
      <c r="L1103" s="654"/>
      <c r="M1103" s="0"/>
      <c r="AG1103" s="0"/>
      <c r="AH1103" s="0"/>
      <c r="AI1103" s="0"/>
      <c r="AJ1103" s="0"/>
      <c r="AK1103" s="0"/>
      <c r="AL1103" s="0"/>
      <c r="AM1103" s="0"/>
      <c r="AN1103" s="0"/>
      <c r="AO1103" s="0"/>
      <c r="AP1103" s="0"/>
      <c r="AQ1103" s="0"/>
      <c r="AR1103" s="0"/>
      <c r="AS1103" s="0"/>
      <c r="AT1103" s="0"/>
      <c r="AU1103" s="0"/>
      <c r="AV1103" s="0"/>
      <c r="AW1103" s="0"/>
      <c r="AX1103" s="0"/>
      <c r="AY1103" s="0"/>
      <c r="AZ1103" s="0"/>
      <c r="BA1103" s="0"/>
      <c r="BB1103" s="0"/>
      <c r="BC1103" s="0"/>
      <c r="BD1103" s="0"/>
      <c r="BE1103" s="0"/>
      <c r="BF1103" s="0"/>
      <c r="BG1103" s="0"/>
      <c r="BH1103" s="0"/>
      <c r="BI1103" s="0"/>
      <c r="BJ1103" s="0"/>
      <c r="BK1103" s="0"/>
      <c r="BL1103" s="0"/>
      <c r="BM1103" s="0"/>
      <c r="BN1103" s="0"/>
      <c r="BO1103" s="0"/>
      <c r="BP1103" s="0"/>
      <c r="BQ1103" s="0"/>
      <c r="BR1103" s="0"/>
      <c r="BS1103" s="0"/>
      <c r="BT1103" s="0"/>
      <c r="BU1103" s="0"/>
      <c r="BV1103" s="0"/>
      <c r="BW1103" s="0"/>
      <c r="BX1103" s="0"/>
      <c r="BY1103" s="0"/>
      <c r="BZ1103" s="0"/>
      <c r="CA1103" s="0"/>
      <c r="CB1103" s="0"/>
      <c r="CC1103" s="0"/>
      <c r="CD1103" s="0"/>
      <c r="CE1103" s="0"/>
      <c r="CF1103" s="0"/>
      <c r="CG1103" s="0"/>
      <c r="CH1103" s="0"/>
      <c r="CI1103" s="0"/>
      <c r="CJ1103" s="0"/>
      <c r="CK1103" s="0"/>
      <c r="CL1103" s="0"/>
      <c r="CM1103" s="0"/>
      <c r="CN1103" s="0"/>
      <c r="CO1103" s="0"/>
      <c r="CP1103" s="0"/>
      <c r="CQ1103" s="0"/>
      <c r="CR1103" s="0"/>
      <c r="CS1103" s="0"/>
      <c r="CT1103" s="0"/>
      <c r="CU1103" s="0"/>
      <c r="CV1103" s="0"/>
      <c r="CW1103" s="0"/>
      <c r="CX1103" s="0"/>
      <c r="CY1103" s="0"/>
      <c r="CZ1103" s="0"/>
      <c r="DA1103" s="0"/>
      <c r="DB1103" s="0"/>
      <c r="DC1103" s="0"/>
      <c r="DD1103" s="0"/>
      <c r="DE1103" s="0"/>
      <c r="DF1103" s="0"/>
      <c r="DG1103" s="0"/>
      <c r="DH1103" s="0"/>
      <c r="DI1103" s="0"/>
      <c r="DJ1103" s="0"/>
      <c r="DK1103" s="0"/>
      <c r="DL1103" s="0"/>
      <c r="DM1103" s="0"/>
      <c r="DN1103" s="0"/>
      <c r="DO1103" s="0"/>
      <c r="DP1103" s="0"/>
      <c r="DQ1103" s="0"/>
      <c r="DR1103" s="0"/>
      <c r="DS1103" s="0"/>
      <c r="DT1103" s="0"/>
      <c r="DU1103" s="0"/>
      <c r="DV1103" s="0"/>
      <c r="DW1103" s="0"/>
      <c r="DX1103" s="0"/>
      <c r="DY1103" s="0"/>
      <c r="DZ1103" s="0"/>
      <c r="EA1103" s="0"/>
      <c r="EB1103" s="0"/>
      <c r="EC1103" s="0"/>
      <c r="ED1103" s="0"/>
      <c r="EE1103" s="0"/>
      <c r="EF1103" s="0"/>
      <c r="EG1103" s="0"/>
      <c r="EH1103" s="0"/>
      <c r="EI1103" s="0"/>
      <c r="EJ1103" s="0"/>
      <c r="EK1103" s="0"/>
      <c r="EL1103" s="0"/>
      <c r="EM1103" s="0"/>
      <c r="EN1103" s="0"/>
      <c r="EO1103" s="0"/>
      <c r="EP1103" s="0"/>
      <c r="EQ1103" s="0"/>
      <c r="ER1103" s="0"/>
      <c r="ES1103" s="0"/>
      <c r="ET1103" s="0"/>
      <c r="EU1103" s="0"/>
      <c r="EV1103" s="0"/>
      <c r="EW1103" s="0"/>
      <c r="EX1103" s="0"/>
      <c r="EY1103" s="0"/>
      <c r="EZ1103" s="0"/>
      <c r="FA1103" s="0"/>
      <c r="FB1103" s="0"/>
      <c r="FC1103" s="0"/>
      <c r="FD1103" s="0"/>
      <c r="FE1103" s="0"/>
      <c r="FF1103" s="0"/>
      <c r="FG1103" s="0"/>
      <c r="FH1103" s="0"/>
      <c r="FI1103" s="0"/>
      <c r="FJ1103" s="0"/>
      <c r="FK1103" s="0"/>
      <c r="FL1103" s="0"/>
      <c r="FM1103" s="0"/>
      <c r="FN1103" s="0"/>
      <c r="FO1103" s="0"/>
      <c r="FP1103" s="0"/>
      <c r="FQ1103" s="0"/>
      <c r="FR1103" s="0"/>
      <c r="FS1103" s="0"/>
      <c r="FT1103" s="0"/>
      <c r="FU1103" s="0"/>
      <c r="FV1103" s="0"/>
      <c r="FW1103" s="0"/>
      <c r="FX1103" s="0"/>
      <c r="FY1103" s="0"/>
      <c r="FZ1103" s="0"/>
      <c r="GA1103" s="0"/>
      <c r="GB1103" s="0"/>
      <c r="GC1103" s="0"/>
      <c r="GD1103" s="0"/>
      <c r="GE1103" s="0"/>
      <c r="GF1103" s="0"/>
      <c r="GG1103" s="0"/>
      <c r="GH1103" s="0"/>
      <c r="GI1103" s="0"/>
      <c r="GJ1103" s="0"/>
      <c r="GK1103" s="0"/>
      <c r="GL1103" s="0"/>
      <c r="GM1103" s="0"/>
      <c r="GN1103" s="0"/>
      <c r="GO1103" s="0"/>
      <c r="GP1103" s="0"/>
      <c r="GQ1103" s="0"/>
      <c r="GR1103" s="0"/>
      <c r="GS1103" s="0"/>
      <c r="GT1103" s="0"/>
      <c r="GU1103" s="0"/>
      <c r="GV1103" s="0"/>
      <c r="GW1103" s="0"/>
      <c r="GX1103" s="0"/>
      <c r="GY1103" s="0"/>
      <c r="GZ1103" s="0"/>
      <c r="HA1103" s="0"/>
      <c r="HB1103" s="0"/>
      <c r="HC1103" s="0"/>
      <c r="HD1103" s="0"/>
      <c r="HE1103" s="0"/>
      <c r="HF1103" s="0"/>
      <c r="HG1103" s="0"/>
      <c r="HH1103" s="0"/>
      <c r="HI1103" s="0"/>
      <c r="HJ1103" s="0"/>
      <c r="HK1103" s="0"/>
      <c r="HL1103" s="0"/>
      <c r="HM1103" s="0"/>
      <c r="HN1103" s="0"/>
      <c r="HO1103" s="0"/>
      <c r="HP1103" s="0"/>
      <c r="HQ1103" s="0"/>
      <c r="HR1103" s="0"/>
      <c r="HS1103" s="0"/>
      <c r="HT1103" s="0"/>
      <c r="HU1103" s="0"/>
      <c r="HV1103" s="0"/>
      <c r="HW1103" s="0"/>
      <c r="HX1103" s="0"/>
      <c r="HY1103" s="0"/>
      <c r="HZ1103" s="0"/>
      <c r="IA1103" s="0"/>
      <c r="IB1103" s="0"/>
      <c r="IC1103" s="0"/>
      <c r="ID1103" s="0"/>
      <c r="IE1103" s="0"/>
      <c r="IF1103" s="0"/>
      <c r="IG1103" s="0"/>
      <c r="IH1103" s="0"/>
      <c r="II1103" s="0"/>
      <c r="IJ1103" s="0"/>
      <c r="IK1103" s="0"/>
      <c r="IL1103" s="0"/>
      <c r="IM1103" s="0"/>
      <c r="IN1103" s="0"/>
      <c r="IO1103" s="0"/>
      <c r="IP1103" s="0"/>
      <c r="IQ1103" s="0"/>
      <c r="IR1103" s="0"/>
      <c r="IS1103" s="0"/>
      <c r="IT1103" s="0"/>
      <c r="IU1103" s="0"/>
      <c r="IV1103" s="0"/>
    </row>
    <row r="1104" customFormat="false" ht="16.5" hidden="false" customHeight="true" outlineLevel="0" collapsed="false">
      <c r="A1104" s="1005"/>
      <c r="B1104" s="1005"/>
      <c r="C1104" s="1005"/>
      <c r="D1104" s="1005"/>
      <c r="E1104" s="1005"/>
      <c r="F1104" s="1005"/>
      <c r="G1104" s="1005"/>
      <c r="H1104" s="0"/>
      <c r="I1104" s="0"/>
      <c r="J1104" s="0"/>
      <c r="K1104" s="1317"/>
      <c r="L1104" s="654"/>
      <c r="M1104" s="0"/>
      <c r="AG1104" s="0"/>
      <c r="AH1104" s="0"/>
      <c r="AI1104" s="0"/>
      <c r="AJ1104" s="0"/>
      <c r="AK1104" s="0"/>
      <c r="AL1104" s="0"/>
      <c r="AM1104" s="0"/>
      <c r="AN1104" s="0"/>
      <c r="AO1104" s="0"/>
      <c r="AP1104" s="0"/>
      <c r="AQ1104" s="0"/>
      <c r="AR1104" s="0"/>
      <c r="AS1104" s="0"/>
      <c r="AT1104" s="0"/>
      <c r="AU1104" s="0"/>
      <c r="AV1104" s="0"/>
      <c r="AW1104" s="0"/>
      <c r="AX1104" s="0"/>
      <c r="AY1104" s="0"/>
      <c r="AZ1104" s="0"/>
      <c r="BA1104" s="0"/>
      <c r="BB1104" s="0"/>
      <c r="BC1104" s="0"/>
      <c r="BD1104" s="0"/>
      <c r="BE1104" s="0"/>
      <c r="BF1104" s="0"/>
      <c r="BG1104" s="0"/>
      <c r="BH1104" s="0"/>
      <c r="BI1104" s="0"/>
      <c r="BJ1104" s="0"/>
      <c r="BK1104" s="0"/>
      <c r="BL1104" s="0"/>
      <c r="BM1104" s="0"/>
      <c r="BN1104" s="0"/>
      <c r="BO1104" s="0"/>
      <c r="BP1104" s="0"/>
      <c r="BQ1104" s="0"/>
      <c r="BR1104" s="0"/>
      <c r="BS1104" s="0"/>
      <c r="BT1104" s="0"/>
      <c r="BU1104" s="0"/>
      <c r="BV1104" s="0"/>
      <c r="BW1104" s="0"/>
      <c r="BX1104" s="0"/>
      <c r="BY1104" s="0"/>
      <c r="BZ1104" s="0"/>
      <c r="CA1104" s="0"/>
      <c r="CB1104" s="0"/>
      <c r="CC1104" s="0"/>
      <c r="CD1104" s="0"/>
      <c r="CE1104" s="0"/>
      <c r="CF1104" s="0"/>
      <c r="CG1104" s="0"/>
      <c r="CH1104" s="0"/>
      <c r="CI1104" s="0"/>
      <c r="CJ1104" s="0"/>
      <c r="CK1104" s="0"/>
      <c r="CL1104" s="0"/>
      <c r="CM1104" s="0"/>
      <c r="CN1104" s="0"/>
      <c r="CO1104" s="0"/>
      <c r="CP1104" s="0"/>
      <c r="CQ1104" s="0"/>
      <c r="CR1104" s="0"/>
      <c r="CS1104" s="0"/>
      <c r="CT1104" s="0"/>
      <c r="CU1104" s="0"/>
      <c r="CV1104" s="0"/>
      <c r="CW1104" s="0"/>
      <c r="CX1104" s="0"/>
      <c r="CY1104" s="0"/>
      <c r="CZ1104" s="0"/>
      <c r="DA1104" s="0"/>
      <c r="DB1104" s="0"/>
      <c r="DC1104" s="0"/>
      <c r="DD1104" s="0"/>
      <c r="DE1104" s="0"/>
      <c r="DF1104" s="0"/>
      <c r="DG1104" s="0"/>
      <c r="DH1104" s="0"/>
      <c r="DI1104" s="0"/>
      <c r="DJ1104" s="0"/>
      <c r="DK1104" s="0"/>
      <c r="DL1104" s="0"/>
      <c r="DM1104" s="0"/>
      <c r="DN1104" s="0"/>
      <c r="DO1104" s="0"/>
      <c r="DP1104" s="0"/>
      <c r="DQ1104" s="0"/>
      <c r="DR1104" s="0"/>
      <c r="DS1104" s="0"/>
      <c r="DT1104" s="0"/>
      <c r="DU1104" s="0"/>
      <c r="DV1104" s="0"/>
      <c r="DW1104" s="0"/>
      <c r="DX1104" s="0"/>
      <c r="DY1104" s="0"/>
      <c r="DZ1104" s="0"/>
      <c r="EA1104" s="0"/>
      <c r="EB1104" s="0"/>
      <c r="EC1104" s="0"/>
      <c r="ED1104" s="0"/>
      <c r="EE1104" s="0"/>
      <c r="EF1104" s="0"/>
      <c r="EG1104" s="0"/>
      <c r="EH1104" s="0"/>
      <c r="EI1104" s="0"/>
      <c r="EJ1104" s="0"/>
      <c r="EK1104" s="0"/>
      <c r="EL1104" s="0"/>
      <c r="EM1104" s="0"/>
      <c r="EN1104" s="0"/>
      <c r="EO1104" s="0"/>
      <c r="EP1104" s="0"/>
      <c r="EQ1104" s="0"/>
      <c r="ER1104" s="0"/>
      <c r="ES1104" s="0"/>
      <c r="ET1104" s="0"/>
      <c r="EU1104" s="0"/>
      <c r="EV1104" s="0"/>
      <c r="EW1104" s="0"/>
      <c r="EX1104" s="0"/>
      <c r="EY1104" s="0"/>
      <c r="EZ1104" s="0"/>
      <c r="FA1104" s="0"/>
      <c r="FB1104" s="0"/>
      <c r="FC1104" s="0"/>
      <c r="FD1104" s="0"/>
      <c r="FE1104" s="0"/>
      <c r="FF1104" s="0"/>
      <c r="FG1104" s="0"/>
      <c r="FH1104" s="0"/>
      <c r="FI1104" s="0"/>
      <c r="FJ1104" s="0"/>
      <c r="FK1104" s="0"/>
      <c r="FL1104" s="0"/>
      <c r="FM1104" s="0"/>
      <c r="FN1104" s="0"/>
      <c r="FO1104" s="0"/>
      <c r="FP1104" s="0"/>
      <c r="FQ1104" s="0"/>
      <c r="FR1104" s="0"/>
      <c r="FS1104" s="0"/>
      <c r="FT1104" s="0"/>
      <c r="FU1104" s="0"/>
      <c r="FV1104" s="0"/>
      <c r="FW1104" s="0"/>
      <c r="FX1104" s="0"/>
      <c r="FY1104" s="0"/>
      <c r="FZ1104" s="0"/>
      <c r="GA1104" s="0"/>
      <c r="GB1104" s="0"/>
      <c r="GC1104" s="0"/>
      <c r="GD1104" s="0"/>
      <c r="GE1104" s="0"/>
      <c r="GF1104" s="0"/>
      <c r="GG1104" s="0"/>
      <c r="GH1104" s="0"/>
      <c r="GI1104" s="0"/>
      <c r="GJ1104" s="0"/>
      <c r="GK1104" s="0"/>
      <c r="GL1104" s="0"/>
      <c r="GM1104" s="0"/>
      <c r="GN1104" s="0"/>
      <c r="GO1104" s="0"/>
      <c r="GP1104" s="0"/>
      <c r="GQ1104" s="0"/>
      <c r="GR1104" s="0"/>
      <c r="GS1104" s="0"/>
      <c r="GT1104" s="0"/>
      <c r="GU1104" s="0"/>
      <c r="GV1104" s="0"/>
      <c r="GW1104" s="0"/>
      <c r="GX1104" s="0"/>
      <c r="GY1104" s="0"/>
      <c r="GZ1104" s="0"/>
      <c r="HA1104" s="0"/>
      <c r="HB1104" s="0"/>
      <c r="HC1104" s="0"/>
      <c r="HD1104" s="0"/>
      <c r="HE1104" s="0"/>
      <c r="HF1104" s="0"/>
      <c r="HG1104" s="0"/>
      <c r="HH1104" s="0"/>
      <c r="HI1104" s="0"/>
      <c r="HJ1104" s="0"/>
      <c r="HK1104" s="0"/>
      <c r="HL1104" s="0"/>
      <c r="HM1104" s="0"/>
      <c r="HN1104" s="0"/>
      <c r="HO1104" s="0"/>
      <c r="HP1104" s="0"/>
      <c r="HQ1104" s="0"/>
      <c r="HR1104" s="0"/>
      <c r="HS1104" s="0"/>
      <c r="HT1104" s="0"/>
      <c r="HU1104" s="0"/>
      <c r="HV1104" s="0"/>
      <c r="HW1104" s="0"/>
      <c r="HX1104" s="0"/>
      <c r="HY1104" s="0"/>
      <c r="HZ1104" s="0"/>
      <c r="IA1104" s="0"/>
      <c r="IB1104" s="0"/>
      <c r="IC1104" s="0"/>
      <c r="ID1104" s="0"/>
      <c r="IE1104" s="0"/>
      <c r="IF1104" s="0"/>
      <c r="IG1104" s="0"/>
      <c r="IH1104" s="0"/>
      <c r="II1104" s="0"/>
      <c r="IJ1104" s="0"/>
      <c r="IK1104" s="0"/>
      <c r="IL1104" s="0"/>
      <c r="IM1104" s="0"/>
      <c r="IN1104" s="0"/>
      <c r="IO1104" s="0"/>
      <c r="IP1104" s="0"/>
      <c r="IQ1104" s="0"/>
      <c r="IR1104" s="0"/>
      <c r="IS1104" s="0"/>
      <c r="IT1104" s="0"/>
      <c r="IU1104" s="0"/>
      <c r="IV1104" s="0"/>
    </row>
    <row r="1105" customFormat="false" ht="16.5" hidden="false" customHeight="true" outlineLevel="0" collapsed="false">
      <c r="A1105" s="1318" t="s">
        <v>1723</v>
      </c>
      <c r="B1105" s="1318"/>
      <c r="C1105" s="1318"/>
      <c r="D1105" s="1318"/>
      <c r="E1105" s="1318"/>
      <c r="F1105" s="1318"/>
      <c r="G1105" s="1318"/>
      <c r="H1105" s="1318"/>
      <c r="I1105" s="1318"/>
      <c r="J1105" s="0"/>
      <c r="K1105" s="1317"/>
      <c r="L1105" s="654" t="s">
        <v>1475</v>
      </c>
      <c r="M1105" s="0"/>
      <c r="AG1105" s="0"/>
      <c r="AH1105" s="0"/>
      <c r="AI1105" s="0"/>
      <c r="AJ1105" s="0"/>
      <c r="AK1105" s="0"/>
      <c r="AL1105" s="0"/>
      <c r="AM1105" s="0"/>
      <c r="AN1105" s="0"/>
      <c r="AO1105" s="0"/>
      <c r="AP1105" s="0"/>
      <c r="AQ1105" s="0"/>
      <c r="AR1105" s="0"/>
      <c r="AS1105" s="0"/>
      <c r="AT1105" s="0"/>
      <c r="AU1105" s="0"/>
      <c r="AV1105" s="0"/>
      <c r="AW1105" s="0"/>
      <c r="AX1105" s="0"/>
      <c r="AY1105" s="0"/>
      <c r="AZ1105" s="0"/>
      <c r="BA1105" s="0"/>
      <c r="BB1105" s="0"/>
      <c r="BC1105" s="0"/>
      <c r="BD1105" s="0"/>
      <c r="BE1105" s="0"/>
      <c r="BF1105" s="0"/>
      <c r="BG1105" s="0"/>
      <c r="BH1105" s="0"/>
      <c r="BI1105" s="0"/>
      <c r="BJ1105" s="0"/>
      <c r="BK1105" s="0"/>
      <c r="BL1105" s="0"/>
      <c r="BM1105" s="0"/>
      <c r="BN1105" s="0"/>
      <c r="BO1105" s="0"/>
      <c r="BP1105" s="0"/>
      <c r="BQ1105" s="0"/>
      <c r="BR1105" s="0"/>
      <c r="BS1105" s="0"/>
      <c r="BT1105" s="0"/>
      <c r="BU1105" s="0"/>
      <c r="BV1105" s="0"/>
      <c r="BW1105" s="0"/>
      <c r="BX1105" s="0"/>
      <c r="BY1105" s="0"/>
      <c r="BZ1105" s="0"/>
      <c r="CA1105" s="0"/>
      <c r="CB1105" s="0"/>
      <c r="CC1105" s="0"/>
      <c r="CD1105" s="0"/>
      <c r="CE1105" s="0"/>
      <c r="CF1105" s="0"/>
      <c r="CG1105" s="0"/>
      <c r="CH1105" s="0"/>
      <c r="CI1105" s="0"/>
      <c r="CJ1105" s="0"/>
      <c r="CK1105" s="0"/>
      <c r="CL1105" s="0"/>
      <c r="CM1105" s="0"/>
      <c r="CN1105" s="0"/>
      <c r="CO1105" s="0"/>
      <c r="CP1105" s="0"/>
      <c r="CQ1105" s="0"/>
      <c r="CR1105" s="0"/>
      <c r="CS1105" s="0"/>
      <c r="CT1105" s="0"/>
      <c r="CU1105" s="0"/>
      <c r="CV1105" s="0"/>
      <c r="CW1105" s="0"/>
      <c r="CX1105" s="0"/>
      <c r="CY1105" s="0"/>
      <c r="CZ1105" s="0"/>
      <c r="DA1105" s="0"/>
      <c r="DB1105" s="0"/>
      <c r="DC1105" s="0"/>
      <c r="DD1105" s="0"/>
      <c r="DE1105" s="0"/>
      <c r="DF1105" s="0"/>
      <c r="DG1105" s="0"/>
      <c r="DH1105" s="0"/>
      <c r="DI1105" s="0"/>
      <c r="DJ1105" s="0"/>
      <c r="DK1105" s="0"/>
      <c r="DL1105" s="0"/>
      <c r="DM1105" s="0"/>
      <c r="DN1105" s="0"/>
      <c r="DO1105" s="0"/>
      <c r="DP1105" s="0"/>
      <c r="DQ1105" s="0"/>
      <c r="DR1105" s="0"/>
      <c r="DS1105" s="0"/>
      <c r="DT1105" s="0"/>
      <c r="DU1105" s="0"/>
      <c r="DV1105" s="0"/>
      <c r="DW1105" s="0"/>
      <c r="DX1105" s="0"/>
      <c r="DY1105" s="0"/>
      <c r="DZ1105" s="0"/>
      <c r="EA1105" s="0"/>
      <c r="EB1105" s="0"/>
      <c r="EC1105" s="0"/>
      <c r="ED1105" s="0"/>
      <c r="EE1105" s="0"/>
      <c r="EF1105" s="0"/>
      <c r="EG1105" s="0"/>
      <c r="EH1105" s="0"/>
      <c r="EI1105" s="0"/>
      <c r="EJ1105" s="0"/>
      <c r="EK1105" s="0"/>
      <c r="EL1105" s="0"/>
      <c r="EM1105" s="0"/>
      <c r="EN1105" s="0"/>
      <c r="EO1105" s="0"/>
      <c r="EP1105" s="0"/>
      <c r="EQ1105" s="0"/>
      <c r="ER1105" s="0"/>
      <c r="ES1105" s="0"/>
      <c r="ET1105" s="0"/>
      <c r="EU1105" s="0"/>
      <c r="EV1105" s="0"/>
      <c r="EW1105" s="0"/>
      <c r="EX1105" s="0"/>
      <c r="EY1105" s="0"/>
      <c r="EZ1105" s="0"/>
      <c r="FA1105" s="0"/>
      <c r="FB1105" s="0"/>
      <c r="FC1105" s="0"/>
      <c r="FD1105" s="0"/>
      <c r="FE1105" s="0"/>
      <c r="FF1105" s="0"/>
      <c r="FG1105" s="0"/>
      <c r="FH1105" s="0"/>
      <c r="FI1105" s="0"/>
      <c r="FJ1105" s="0"/>
      <c r="FK1105" s="0"/>
      <c r="FL1105" s="0"/>
      <c r="FM1105" s="0"/>
      <c r="FN1105" s="0"/>
      <c r="FO1105" s="0"/>
      <c r="FP1105" s="0"/>
      <c r="FQ1105" s="0"/>
      <c r="FR1105" s="0"/>
      <c r="FS1105" s="0"/>
      <c r="FT1105" s="0"/>
      <c r="FU1105" s="0"/>
      <c r="FV1105" s="0"/>
      <c r="FW1105" s="0"/>
      <c r="FX1105" s="0"/>
      <c r="FY1105" s="0"/>
      <c r="FZ1105" s="0"/>
      <c r="GA1105" s="0"/>
      <c r="GB1105" s="0"/>
      <c r="GC1105" s="0"/>
      <c r="GD1105" s="0"/>
      <c r="GE1105" s="0"/>
      <c r="GF1105" s="0"/>
      <c r="GG1105" s="0"/>
      <c r="GH1105" s="0"/>
      <c r="GI1105" s="0"/>
      <c r="GJ1105" s="0"/>
      <c r="GK1105" s="0"/>
      <c r="GL1105" s="0"/>
      <c r="GM1105" s="0"/>
      <c r="GN1105" s="0"/>
      <c r="GO1105" s="0"/>
      <c r="GP1105" s="0"/>
      <c r="GQ1105" s="0"/>
      <c r="GR1105" s="0"/>
      <c r="GS1105" s="0"/>
      <c r="GT1105" s="0"/>
      <c r="GU1105" s="0"/>
      <c r="GV1105" s="0"/>
      <c r="GW1105" s="0"/>
      <c r="GX1105" s="0"/>
      <c r="GY1105" s="0"/>
      <c r="GZ1105" s="0"/>
      <c r="HA1105" s="0"/>
      <c r="HB1105" s="0"/>
      <c r="HC1105" s="0"/>
      <c r="HD1105" s="0"/>
      <c r="HE1105" s="0"/>
      <c r="HF1105" s="0"/>
      <c r="HG1105" s="0"/>
      <c r="HH1105" s="0"/>
      <c r="HI1105" s="0"/>
      <c r="HJ1105" s="0"/>
      <c r="HK1105" s="0"/>
      <c r="HL1105" s="0"/>
      <c r="HM1105" s="0"/>
      <c r="HN1105" s="0"/>
      <c r="HO1105" s="0"/>
      <c r="HP1105" s="0"/>
      <c r="HQ1105" s="0"/>
      <c r="HR1105" s="0"/>
      <c r="HS1105" s="0"/>
      <c r="HT1105" s="0"/>
      <c r="HU1105" s="0"/>
      <c r="HV1105" s="0"/>
      <c r="HW1105" s="0"/>
      <c r="HX1105" s="0"/>
      <c r="HY1105" s="0"/>
      <c r="HZ1105" s="0"/>
      <c r="IA1105" s="0"/>
      <c r="IB1105" s="0"/>
      <c r="IC1105" s="0"/>
      <c r="ID1105" s="0"/>
      <c r="IE1105" s="0"/>
      <c r="IF1105" s="0"/>
      <c r="IG1105" s="0"/>
      <c r="IH1105" s="0"/>
      <c r="II1105" s="0"/>
      <c r="IJ1105" s="0"/>
      <c r="IK1105" s="0"/>
      <c r="IL1105" s="0"/>
      <c r="IM1105" s="0"/>
      <c r="IN1105" s="0"/>
      <c r="IO1105" s="0"/>
      <c r="IP1105" s="0"/>
      <c r="IQ1105" s="0"/>
      <c r="IR1105" s="0"/>
      <c r="IS1105" s="0"/>
      <c r="IT1105" s="0"/>
      <c r="IU1105" s="0"/>
      <c r="IV1105" s="0"/>
    </row>
    <row r="1106" customFormat="false" ht="16.5" hidden="false" customHeight="true" outlineLevel="0" collapsed="false">
      <c r="A1106" s="1319"/>
      <c r="B1106" s="1319"/>
      <c r="C1106" s="1319"/>
      <c r="D1106" s="1319"/>
      <c r="E1106" s="1319"/>
      <c r="F1106" s="1319"/>
      <c r="G1106" s="1319"/>
      <c r="H1106" s="1319"/>
      <c r="I1106" s="1319"/>
      <c r="J1106" s="0"/>
      <c r="K1106" s="1317"/>
      <c r="L1106" s="654"/>
      <c r="M1106" s="0"/>
      <c r="AG1106" s="0"/>
      <c r="AH1106" s="0"/>
      <c r="AI1106" s="0"/>
      <c r="AJ1106" s="0"/>
      <c r="AK1106" s="0"/>
      <c r="AL1106" s="0"/>
      <c r="AM1106" s="0"/>
      <c r="AN1106" s="0"/>
      <c r="AO1106" s="0"/>
      <c r="AP1106" s="0"/>
      <c r="AQ1106" s="0"/>
      <c r="AR1106" s="0"/>
      <c r="AS1106" s="0"/>
      <c r="AT1106" s="0"/>
      <c r="AU1106" s="0"/>
      <c r="AV1106" s="0"/>
      <c r="AW1106" s="0"/>
      <c r="AX1106" s="0"/>
      <c r="AY1106" s="0"/>
      <c r="AZ1106" s="0"/>
      <c r="BA1106" s="0"/>
      <c r="BB1106" s="0"/>
      <c r="BC1106" s="0"/>
      <c r="BD1106" s="0"/>
      <c r="BE1106" s="0"/>
      <c r="BF1106" s="0"/>
      <c r="BG1106" s="0"/>
      <c r="BH1106" s="0"/>
      <c r="BI1106" s="0"/>
      <c r="BJ1106" s="0"/>
      <c r="BK1106" s="0"/>
      <c r="BL1106" s="0"/>
      <c r="BM1106" s="0"/>
      <c r="BN1106" s="0"/>
      <c r="BO1106" s="0"/>
      <c r="BP1106" s="0"/>
      <c r="BQ1106" s="0"/>
      <c r="BR1106" s="0"/>
      <c r="BS1106" s="0"/>
      <c r="BT1106" s="0"/>
      <c r="BU1106" s="0"/>
      <c r="BV1106" s="0"/>
      <c r="BW1106" s="0"/>
      <c r="BX1106" s="0"/>
      <c r="BY1106" s="0"/>
      <c r="BZ1106" s="0"/>
      <c r="CA1106" s="0"/>
      <c r="CB1106" s="0"/>
      <c r="CC1106" s="0"/>
      <c r="CD1106" s="0"/>
      <c r="CE1106" s="0"/>
      <c r="CF1106" s="0"/>
      <c r="CG1106" s="0"/>
      <c r="CH1106" s="0"/>
      <c r="CI1106" s="0"/>
      <c r="CJ1106" s="0"/>
      <c r="CK1106" s="0"/>
      <c r="CL1106" s="0"/>
      <c r="CM1106" s="0"/>
      <c r="CN1106" s="0"/>
      <c r="CO1106" s="0"/>
      <c r="CP1106" s="0"/>
      <c r="CQ1106" s="0"/>
      <c r="CR1106" s="0"/>
      <c r="CS1106" s="0"/>
      <c r="CT1106" s="0"/>
      <c r="CU1106" s="0"/>
      <c r="CV1106" s="0"/>
      <c r="CW1106" s="0"/>
      <c r="CX1106" s="0"/>
      <c r="CY1106" s="0"/>
      <c r="CZ1106" s="0"/>
      <c r="DA1106" s="0"/>
      <c r="DB1106" s="0"/>
      <c r="DC1106" s="0"/>
      <c r="DD1106" s="0"/>
      <c r="DE1106" s="0"/>
      <c r="DF1106" s="0"/>
      <c r="DG1106" s="0"/>
      <c r="DH1106" s="0"/>
      <c r="DI1106" s="0"/>
      <c r="DJ1106" s="0"/>
      <c r="DK1106" s="0"/>
      <c r="DL1106" s="0"/>
      <c r="DM1106" s="0"/>
      <c r="DN1106" s="0"/>
      <c r="DO1106" s="0"/>
      <c r="DP1106" s="0"/>
      <c r="DQ1106" s="0"/>
      <c r="DR1106" s="0"/>
      <c r="DS1106" s="0"/>
      <c r="DT1106" s="0"/>
      <c r="DU1106" s="0"/>
      <c r="DV1106" s="0"/>
      <c r="DW1106" s="0"/>
      <c r="DX1106" s="0"/>
      <c r="DY1106" s="0"/>
      <c r="DZ1106" s="0"/>
      <c r="EA1106" s="0"/>
      <c r="EB1106" s="0"/>
      <c r="EC1106" s="0"/>
      <c r="ED1106" s="0"/>
      <c r="EE1106" s="0"/>
      <c r="EF1106" s="0"/>
      <c r="EG1106" s="0"/>
      <c r="EH1106" s="0"/>
      <c r="EI1106" s="0"/>
      <c r="EJ1106" s="0"/>
      <c r="EK1106" s="0"/>
      <c r="EL1106" s="0"/>
      <c r="EM1106" s="0"/>
      <c r="EN1106" s="0"/>
      <c r="EO1106" s="0"/>
      <c r="EP1106" s="0"/>
      <c r="EQ1106" s="0"/>
      <c r="ER1106" s="0"/>
      <c r="ES1106" s="0"/>
      <c r="ET1106" s="0"/>
      <c r="EU1106" s="0"/>
      <c r="EV1106" s="0"/>
      <c r="EW1106" s="0"/>
      <c r="EX1106" s="0"/>
      <c r="EY1106" s="0"/>
      <c r="EZ1106" s="0"/>
      <c r="FA1106" s="0"/>
      <c r="FB1106" s="0"/>
      <c r="FC1106" s="0"/>
      <c r="FD1106" s="0"/>
      <c r="FE1106" s="0"/>
      <c r="FF1106" s="0"/>
      <c r="FG1106" s="0"/>
      <c r="FH1106" s="0"/>
      <c r="FI1106" s="0"/>
      <c r="FJ1106" s="0"/>
      <c r="FK1106" s="0"/>
      <c r="FL1106" s="0"/>
      <c r="FM1106" s="0"/>
      <c r="FN1106" s="0"/>
      <c r="FO1106" s="0"/>
      <c r="FP1106" s="0"/>
      <c r="FQ1106" s="0"/>
      <c r="FR1106" s="0"/>
      <c r="FS1106" s="0"/>
      <c r="FT1106" s="0"/>
      <c r="FU1106" s="0"/>
      <c r="FV1106" s="0"/>
      <c r="FW1106" s="0"/>
      <c r="FX1106" s="0"/>
      <c r="FY1106" s="0"/>
      <c r="FZ1106" s="0"/>
      <c r="GA1106" s="0"/>
      <c r="GB1106" s="0"/>
      <c r="GC1106" s="0"/>
      <c r="GD1106" s="0"/>
      <c r="GE1106" s="0"/>
      <c r="GF1106" s="0"/>
      <c r="GG1106" s="0"/>
      <c r="GH1106" s="0"/>
      <c r="GI1106" s="0"/>
      <c r="GJ1106" s="0"/>
      <c r="GK1106" s="0"/>
      <c r="GL1106" s="0"/>
      <c r="GM1106" s="0"/>
      <c r="GN1106" s="0"/>
      <c r="GO1106" s="0"/>
      <c r="GP1106" s="0"/>
      <c r="GQ1106" s="0"/>
      <c r="GR1106" s="0"/>
      <c r="GS1106" s="0"/>
      <c r="GT1106" s="0"/>
      <c r="GU1106" s="0"/>
      <c r="GV1106" s="0"/>
      <c r="GW1106" s="0"/>
      <c r="GX1106" s="0"/>
      <c r="GY1106" s="0"/>
      <c r="GZ1106" s="0"/>
      <c r="HA1106" s="0"/>
      <c r="HB1106" s="0"/>
      <c r="HC1106" s="0"/>
      <c r="HD1106" s="0"/>
      <c r="HE1106" s="0"/>
      <c r="HF1106" s="0"/>
      <c r="HG1106" s="0"/>
      <c r="HH1106" s="0"/>
      <c r="HI1106" s="0"/>
      <c r="HJ1106" s="0"/>
      <c r="HK1106" s="0"/>
      <c r="HL1106" s="0"/>
      <c r="HM1106" s="0"/>
      <c r="HN1106" s="0"/>
      <c r="HO1106" s="0"/>
      <c r="HP1106" s="0"/>
      <c r="HQ1106" s="0"/>
      <c r="HR1106" s="0"/>
      <c r="HS1106" s="0"/>
      <c r="HT1106" s="0"/>
      <c r="HU1106" s="0"/>
      <c r="HV1106" s="0"/>
      <c r="HW1106" s="0"/>
      <c r="HX1106" s="0"/>
      <c r="HY1106" s="0"/>
      <c r="HZ1106" s="0"/>
      <c r="IA1106" s="0"/>
      <c r="IB1106" s="0"/>
      <c r="IC1106" s="0"/>
      <c r="ID1106" s="0"/>
      <c r="IE1106" s="0"/>
      <c r="IF1106" s="0"/>
      <c r="IG1106" s="0"/>
      <c r="IH1106" s="0"/>
      <c r="II1106" s="0"/>
      <c r="IJ1106" s="0"/>
      <c r="IK1106" s="0"/>
      <c r="IL1106" s="0"/>
      <c r="IM1106" s="0"/>
      <c r="IN1106" s="0"/>
      <c r="IO1106" s="0"/>
      <c r="IP1106" s="0"/>
      <c r="IQ1106" s="0"/>
      <c r="IR1106" s="0"/>
      <c r="IS1106" s="0"/>
      <c r="IT1106" s="0"/>
      <c r="IU1106" s="0"/>
      <c r="IV1106" s="0"/>
    </row>
    <row r="1107" customFormat="false" ht="16.5" hidden="false" customHeight="true" outlineLevel="0" collapsed="false">
      <c r="A1107" s="18" t="s">
        <v>274</v>
      </c>
      <c r="B1107" s="307"/>
      <c r="C1107" s="307"/>
      <c r="D1107" s="1119" t="n">
        <f aca="false">SUM(E1108:E1112)</f>
        <v>4</v>
      </c>
      <c r="E1107" s="19"/>
      <c r="F1107" s="18" t="s">
        <v>279</v>
      </c>
      <c r="G1107" s="19"/>
      <c r="H1107" s="19"/>
      <c r="I1107" s="1174" t="n">
        <f aca="false">SUM(J1108:J1116)</f>
        <v>3</v>
      </c>
      <c r="K1107" s="1317"/>
      <c r="L1107" s="654"/>
      <c r="M1107" s="0"/>
      <c r="AG1107" s="0"/>
      <c r="AH1107" s="0"/>
      <c r="AI1107" s="0"/>
      <c r="AJ1107" s="0"/>
      <c r="AK1107" s="0"/>
      <c r="AL1107" s="0"/>
      <c r="AM1107" s="0"/>
      <c r="AN1107" s="0"/>
      <c r="AO1107" s="0"/>
      <c r="AP1107" s="0"/>
      <c r="AQ1107" s="0"/>
      <c r="AR1107" s="0"/>
      <c r="AS1107" s="0"/>
      <c r="AT1107" s="0"/>
      <c r="AU1107" s="0"/>
      <c r="AV1107" s="0"/>
      <c r="AW1107" s="0"/>
      <c r="AX1107" s="0"/>
      <c r="AY1107" s="0"/>
      <c r="AZ1107" s="0"/>
      <c r="BA1107" s="0"/>
      <c r="BB1107" s="0"/>
      <c r="BC1107" s="0"/>
      <c r="BD1107" s="0"/>
      <c r="BE1107" s="0"/>
      <c r="BF1107" s="0"/>
      <c r="BG1107" s="0"/>
      <c r="BH1107" s="0"/>
      <c r="BI1107" s="0"/>
      <c r="BJ1107" s="0"/>
      <c r="BK1107" s="0"/>
      <c r="BL1107" s="0"/>
      <c r="BM1107" s="0"/>
      <c r="BN1107" s="0"/>
      <c r="BO1107" s="0"/>
      <c r="BP1107" s="0"/>
      <c r="BQ1107" s="0"/>
      <c r="BR1107" s="0"/>
      <c r="BS1107" s="0"/>
      <c r="BT1107" s="0"/>
      <c r="BU1107" s="0"/>
      <c r="BV1107" s="0"/>
      <c r="BW1107" s="0"/>
      <c r="BX1107" s="0"/>
      <c r="BY1107" s="0"/>
      <c r="BZ1107" s="0"/>
      <c r="CA1107" s="0"/>
      <c r="CB1107" s="0"/>
      <c r="CC1107" s="0"/>
      <c r="CD1107" s="0"/>
      <c r="CE1107" s="0"/>
      <c r="CF1107" s="0"/>
      <c r="CG1107" s="0"/>
      <c r="CH1107" s="0"/>
      <c r="CI1107" s="0"/>
      <c r="CJ1107" s="0"/>
      <c r="CK1107" s="0"/>
      <c r="CL1107" s="0"/>
      <c r="CM1107" s="0"/>
      <c r="CN1107" s="0"/>
      <c r="CO1107" s="0"/>
      <c r="CP1107" s="0"/>
      <c r="CQ1107" s="0"/>
      <c r="CR1107" s="0"/>
      <c r="CS1107" s="0"/>
      <c r="CT1107" s="0"/>
      <c r="CU1107" s="0"/>
      <c r="CV1107" s="0"/>
      <c r="CW1107" s="0"/>
      <c r="CX1107" s="0"/>
      <c r="CY1107" s="0"/>
      <c r="CZ1107" s="0"/>
      <c r="DA1107" s="0"/>
      <c r="DB1107" s="0"/>
      <c r="DC1107" s="0"/>
      <c r="DD1107" s="0"/>
      <c r="DE1107" s="0"/>
      <c r="DF1107" s="0"/>
      <c r="DG1107" s="0"/>
      <c r="DH1107" s="0"/>
      <c r="DI1107" s="0"/>
      <c r="DJ1107" s="0"/>
      <c r="DK1107" s="0"/>
      <c r="DL1107" s="0"/>
      <c r="DM1107" s="0"/>
      <c r="DN1107" s="0"/>
      <c r="DO1107" s="0"/>
      <c r="DP1107" s="0"/>
      <c r="DQ1107" s="0"/>
      <c r="DR1107" s="0"/>
      <c r="DS1107" s="0"/>
      <c r="DT1107" s="0"/>
      <c r="DU1107" s="0"/>
      <c r="DV1107" s="0"/>
      <c r="DW1107" s="0"/>
      <c r="DX1107" s="0"/>
      <c r="DY1107" s="0"/>
      <c r="DZ1107" s="0"/>
      <c r="EA1107" s="0"/>
      <c r="EB1107" s="0"/>
      <c r="EC1107" s="0"/>
      <c r="ED1107" s="0"/>
      <c r="EE1107" s="0"/>
      <c r="EF1107" s="0"/>
      <c r="EG1107" s="0"/>
      <c r="EH1107" s="0"/>
      <c r="EI1107" s="0"/>
      <c r="EJ1107" s="0"/>
      <c r="EK1107" s="0"/>
      <c r="EL1107" s="0"/>
      <c r="EM1107" s="0"/>
      <c r="EN1107" s="0"/>
      <c r="EO1107" s="0"/>
      <c r="EP1107" s="0"/>
      <c r="EQ1107" s="0"/>
      <c r="ER1107" s="0"/>
      <c r="ES1107" s="0"/>
      <c r="ET1107" s="0"/>
      <c r="EU1107" s="0"/>
      <c r="EV1107" s="0"/>
      <c r="EW1107" s="0"/>
      <c r="EX1107" s="0"/>
      <c r="EY1107" s="0"/>
      <c r="EZ1107" s="0"/>
      <c r="FA1107" s="0"/>
      <c r="FB1107" s="0"/>
      <c r="FC1107" s="0"/>
      <c r="FD1107" s="0"/>
      <c r="FE1107" s="0"/>
      <c r="FF1107" s="0"/>
      <c r="FG1107" s="0"/>
      <c r="FH1107" s="0"/>
      <c r="FI1107" s="0"/>
      <c r="FJ1107" s="0"/>
      <c r="FK1107" s="0"/>
      <c r="FL1107" s="0"/>
      <c r="FM1107" s="0"/>
      <c r="FN1107" s="0"/>
      <c r="FO1107" s="0"/>
      <c r="FP1107" s="0"/>
      <c r="FQ1107" s="0"/>
      <c r="FR1107" s="0"/>
      <c r="FS1107" s="0"/>
      <c r="FT1107" s="0"/>
      <c r="FU1107" s="0"/>
      <c r="FV1107" s="0"/>
      <c r="FW1107" s="0"/>
      <c r="FX1107" s="0"/>
      <c r="FY1107" s="0"/>
      <c r="FZ1107" s="0"/>
      <c r="GA1107" s="0"/>
      <c r="GB1107" s="0"/>
      <c r="GC1107" s="0"/>
      <c r="GD1107" s="0"/>
      <c r="GE1107" s="0"/>
      <c r="GF1107" s="0"/>
      <c r="GG1107" s="0"/>
      <c r="GH1107" s="0"/>
      <c r="GI1107" s="0"/>
      <c r="GJ1107" s="0"/>
      <c r="GK1107" s="0"/>
      <c r="GL1107" s="0"/>
      <c r="GM1107" s="0"/>
      <c r="GN1107" s="0"/>
      <c r="GO1107" s="0"/>
      <c r="GP1107" s="0"/>
      <c r="GQ1107" s="0"/>
      <c r="GR1107" s="0"/>
      <c r="GS1107" s="0"/>
      <c r="GT1107" s="0"/>
      <c r="GU1107" s="0"/>
      <c r="GV1107" s="0"/>
      <c r="GW1107" s="0"/>
      <c r="GX1107" s="0"/>
      <c r="GY1107" s="0"/>
      <c r="GZ1107" s="0"/>
      <c r="HA1107" s="0"/>
      <c r="HB1107" s="0"/>
      <c r="HC1107" s="0"/>
      <c r="HD1107" s="0"/>
      <c r="HE1107" s="0"/>
      <c r="HF1107" s="0"/>
      <c r="HG1107" s="0"/>
      <c r="HH1107" s="0"/>
      <c r="HI1107" s="0"/>
      <c r="HJ1107" s="0"/>
      <c r="HK1107" s="0"/>
      <c r="HL1107" s="0"/>
      <c r="HM1107" s="0"/>
      <c r="HN1107" s="0"/>
      <c r="HO1107" s="0"/>
      <c r="HP1107" s="0"/>
      <c r="HQ1107" s="0"/>
      <c r="HR1107" s="0"/>
      <c r="HS1107" s="0"/>
      <c r="HT1107" s="0"/>
      <c r="HU1107" s="0"/>
      <c r="HV1107" s="0"/>
      <c r="HW1107" s="0"/>
      <c r="HX1107" s="0"/>
      <c r="HY1107" s="0"/>
      <c r="HZ1107" s="0"/>
      <c r="IA1107" s="0"/>
      <c r="IB1107" s="0"/>
      <c r="IC1107" s="0"/>
      <c r="ID1107" s="0"/>
      <c r="IE1107" s="0"/>
      <c r="IF1107" s="0"/>
      <c r="IG1107" s="0"/>
      <c r="IH1107" s="0"/>
      <c r="II1107" s="0"/>
      <c r="IJ1107" s="0"/>
      <c r="IK1107" s="0"/>
      <c r="IL1107" s="0"/>
      <c r="IM1107" s="0"/>
      <c r="IN1107" s="0"/>
      <c r="IO1107" s="0"/>
      <c r="IP1107" s="0"/>
      <c r="IQ1107" s="0"/>
      <c r="IR1107" s="0"/>
      <c r="IS1107" s="0"/>
      <c r="IT1107" s="0"/>
      <c r="IU1107" s="0"/>
      <c r="IV1107" s="0"/>
    </row>
    <row r="1108" customFormat="false" ht="16.5" hidden="false" customHeight="true" outlineLevel="0" collapsed="false">
      <c r="A1108" s="1320" t="s">
        <v>275</v>
      </c>
      <c r="B1108" s="307"/>
      <c r="D1108" s="1250" t="s">
        <v>253</v>
      </c>
      <c r="E1108" s="1321" t="n">
        <f aca="false">IF(D1108="oui",1,0)</f>
        <v>1</v>
      </c>
      <c r="F1108" s="1259" t="s">
        <v>280</v>
      </c>
      <c r="G1108" s="19"/>
      <c r="H1108" s="1259"/>
      <c r="I1108" s="1322" t="s">
        <v>253</v>
      </c>
      <c r="J1108" s="1323" t="n">
        <f aca="false">IF(I1108="oui",1,0)</f>
        <v>1</v>
      </c>
      <c r="K1108" s="1317"/>
      <c r="L1108" s="654"/>
      <c r="M1108" s="0"/>
      <c r="AG1108" s="0"/>
      <c r="AH1108" s="0"/>
      <c r="AI1108" s="0"/>
      <c r="AJ1108" s="0"/>
      <c r="AK1108" s="0"/>
      <c r="AL1108" s="0"/>
      <c r="AM1108" s="0"/>
      <c r="AN1108" s="0"/>
      <c r="AO1108" s="0"/>
      <c r="AP1108" s="0"/>
      <c r="AQ1108" s="0"/>
      <c r="AR1108" s="0"/>
      <c r="AS1108" s="0"/>
      <c r="AT1108" s="0"/>
      <c r="AU1108" s="0"/>
      <c r="AV1108" s="0"/>
      <c r="AW1108" s="0"/>
      <c r="AX1108" s="0"/>
      <c r="AY1108" s="0"/>
      <c r="AZ1108" s="0"/>
      <c r="BA1108" s="0"/>
      <c r="BB1108" s="0"/>
      <c r="BC1108" s="0"/>
      <c r="BD1108" s="0"/>
      <c r="BE1108" s="0"/>
      <c r="BF1108" s="0"/>
      <c r="BG1108" s="0"/>
      <c r="BH1108" s="0"/>
      <c r="BI1108" s="0"/>
      <c r="BJ1108" s="0"/>
      <c r="BK1108" s="0"/>
      <c r="BL1108" s="0"/>
      <c r="BM1108" s="0"/>
      <c r="BN1108" s="0"/>
      <c r="BO1108" s="0"/>
      <c r="BP1108" s="0"/>
      <c r="BQ1108" s="0"/>
      <c r="BR1108" s="0"/>
      <c r="BS1108" s="0"/>
      <c r="BT1108" s="0"/>
      <c r="BU1108" s="0"/>
      <c r="BV1108" s="0"/>
      <c r="BW1108" s="0"/>
      <c r="BX1108" s="0"/>
      <c r="BY1108" s="0"/>
      <c r="BZ1108" s="0"/>
      <c r="CA1108" s="0"/>
      <c r="CB1108" s="0"/>
      <c r="CC1108" s="0"/>
      <c r="CD1108" s="0"/>
      <c r="CE1108" s="0"/>
      <c r="CF1108" s="0"/>
      <c r="CG1108" s="0"/>
      <c r="CH1108" s="0"/>
      <c r="CI1108" s="0"/>
      <c r="CJ1108" s="0"/>
      <c r="CK1108" s="0"/>
      <c r="CL1108" s="0"/>
      <c r="CM1108" s="0"/>
      <c r="CN1108" s="0"/>
      <c r="CO1108" s="0"/>
      <c r="CP1108" s="0"/>
      <c r="CQ1108" s="0"/>
      <c r="CR1108" s="0"/>
      <c r="CS1108" s="0"/>
      <c r="CT1108" s="0"/>
      <c r="CU1108" s="0"/>
      <c r="CV1108" s="0"/>
      <c r="CW1108" s="0"/>
      <c r="CX1108" s="0"/>
      <c r="CY1108" s="0"/>
      <c r="CZ1108" s="0"/>
      <c r="DA1108" s="0"/>
      <c r="DB1108" s="0"/>
      <c r="DC1108" s="0"/>
      <c r="DD1108" s="0"/>
      <c r="DE1108" s="0"/>
      <c r="DF1108" s="0"/>
      <c r="DG1108" s="0"/>
      <c r="DH1108" s="0"/>
      <c r="DI1108" s="0"/>
      <c r="DJ1108" s="0"/>
      <c r="DK1108" s="0"/>
      <c r="DL1108" s="0"/>
      <c r="DM1108" s="0"/>
      <c r="DN1108" s="0"/>
      <c r="DO1108" s="0"/>
      <c r="DP1108" s="0"/>
      <c r="DQ1108" s="0"/>
      <c r="DR1108" s="0"/>
      <c r="DS1108" s="0"/>
      <c r="DT1108" s="0"/>
      <c r="DU1108" s="0"/>
      <c r="DV1108" s="0"/>
      <c r="DW1108" s="0"/>
      <c r="DX1108" s="0"/>
      <c r="DY1108" s="0"/>
      <c r="DZ1108" s="0"/>
      <c r="EA1108" s="0"/>
      <c r="EB1108" s="0"/>
      <c r="EC1108" s="0"/>
      <c r="ED1108" s="0"/>
      <c r="EE1108" s="0"/>
      <c r="EF1108" s="0"/>
      <c r="EG1108" s="0"/>
      <c r="EH1108" s="0"/>
      <c r="EI1108" s="0"/>
      <c r="EJ1108" s="0"/>
      <c r="EK1108" s="0"/>
      <c r="EL1108" s="0"/>
      <c r="EM1108" s="0"/>
      <c r="EN1108" s="0"/>
      <c r="EO1108" s="0"/>
      <c r="EP1108" s="0"/>
      <c r="EQ1108" s="0"/>
      <c r="ER1108" s="0"/>
      <c r="ES1108" s="0"/>
      <c r="ET1108" s="0"/>
      <c r="EU1108" s="0"/>
      <c r="EV1108" s="0"/>
      <c r="EW1108" s="0"/>
      <c r="EX1108" s="0"/>
      <c r="EY1108" s="0"/>
      <c r="EZ1108" s="0"/>
      <c r="FA1108" s="0"/>
      <c r="FB1108" s="0"/>
      <c r="FC1108" s="0"/>
      <c r="FD1108" s="0"/>
      <c r="FE1108" s="0"/>
      <c r="FF1108" s="0"/>
      <c r="FG1108" s="0"/>
      <c r="FH1108" s="0"/>
      <c r="FI1108" s="0"/>
      <c r="FJ1108" s="0"/>
      <c r="FK1108" s="0"/>
      <c r="FL1108" s="0"/>
      <c r="FM1108" s="0"/>
      <c r="FN1108" s="0"/>
      <c r="FO1108" s="0"/>
      <c r="FP1108" s="0"/>
      <c r="FQ1108" s="0"/>
      <c r="FR1108" s="0"/>
      <c r="FS1108" s="0"/>
      <c r="FT1108" s="0"/>
      <c r="FU1108" s="0"/>
      <c r="FV1108" s="0"/>
      <c r="FW1108" s="0"/>
      <c r="FX1108" s="0"/>
      <c r="FY1108" s="0"/>
      <c r="FZ1108" s="0"/>
      <c r="GA1108" s="0"/>
      <c r="GB1108" s="0"/>
      <c r="GC1108" s="0"/>
      <c r="GD1108" s="0"/>
      <c r="GE1108" s="0"/>
      <c r="GF1108" s="0"/>
      <c r="GG1108" s="0"/>
      <c r="GH1108" s="0"/>
      <c r="GI1108" s="0"/>
      <c r="GJ1108" s="0"/>
      <c r="GK1108" s="0"/>
      <c r="GL1108" s="0"/>
      <c r="GM1108" s="0"/>
      <c r="GN1108" s="0"/>
      <c r="GO1108" s="0"/>
      <c r="GP1108" s="0"/>
      <c r="GQ1108" s="0"/>
      <c r="GR1108" s="0"/>
      <c r="GS1108" s="0"/>
      <c r="GT1108" s="0"/>
      <c r="GU1108" s="0"/>
      <c r="GV1108" s="0"/>
      <c r="GW1108" s="0"/>
      <c r="GX1108" s="0"/>
      <c r="GY1108" s="0"/>
      <c r="GZ1108" s="0"/>
      <c r="HA1108" s="0"/>
      <c r="HB1108" s="0"/>
      <c r="HC1108" s="0"/>
      <c r="HD1108" s="0"/>
      <c r="HE1108" s="0"/>
      <c r="HF1108" s="0"/>
      <c r="HG1108" s="0"/>
      <c r="HH1108" s="0"/>
      <c r="HI1108" s="0"/>
      <c r="HJ1108" s="0"/>
      <c r="HK1108" s="0"/>
      <c r="HL1108" s="0"/>
      <c r="HM1108" s="0"/>
      <c r="HN1108" s="0"/>
      <c r="HO1108" s="0"/>
      <c r="HP1108" s="0"/>
      <c r="HQ1108" s="0"/>
      <c r="HR1108" s="0"/>
      <c r="HS1108" s="0"/>
      <c r="HT1108" s="0"/>
      <c r="HU1108" s="0"/>
      <c r="HV1108" s="0"/>
      <c r="HW1108" s="0"/>
      <c r="HX1108" s="0"/>
      <c r="HY1108" s="0"/>
      <c r="HZ1108" s="0"/>
      <c r="IA1108" s="0"/>
      <c r="IB1108" s="0"/>
      <c r="IC1108" s="0"/>
      <c r="ID1108" s="0"/>
      <c r="IE1108" s="0"/>
      <c r="IF1108" s="0"/>
      <c r="IG1108" s="0"/>
      <c r="IH1108" s="0"/>
      <c r="II1108" s="0"/>
      <c r="IJ1108" s="0"/>
      <c r="IK1108" s="0"/>
      <c r="IL1108" s="0"/>
      <c r="IM1108" s="0"/>
      <c r="IN1108" s="0"/>
      <c r="IO1108" s="0"/>
      <c r="IP1108" s="0"/>
      <c r="IQ1108" s="0"/>
      <c r="IR1108" s="0"/>
      <c r="IS1108" s="0"/>
      <c r="IT1108" s="0"/>
      <c r="IU1108" s="0"/>
      <c r="IV1108" s="0"/>
    </row>
    <row r="1109" customFormat="false" ht="16.5" hidden="false" customHeight="true" outlineLevel="0" collapsed="false">
      <c r="A1109" s="1259" t="s">
        <v>1724</v>
      </c>
      <c r="B1109" s="1259"/>
      <c r="C1109" s="1259"/>
      <c r="D1109" s="1250" t="s">
        <v>253</v>
      </c>
      <c r="E1109" s="1321" t="n">
        <f aca="false">IF(D1109="oui",1,0)</f>
        <v>1</v>
      </c>
      <c r="F1109" s="1259" t="s">
        <v>281</v>
      </c>
      <c r="G1109" s="19"/>
      <c r="H1109" s="1259"/>
      <c r="I1109" s="1322" t="s">
        <v>254</v>
      </c>
      <c r="J1109" s="1323" t="n">
        <f aca="false">IF(I1109="oui",1,0)</f>
        <v>0</v>
      </c>
      <c r="K1109" s="1317"/>
      <c r="L1109" s="654"/>
      <c r="M1109" s="0"/>
      <c r="AG1109" s="0"/>
      <c r="AH1109" s="0"/>
      <c r="AI1109" s="0"/>
      <c r="AJ1109" s="0"/>
      <c r="AK1109" s="0"/>
      <c r="AL1109" s="0"/>
      <c r="AM1109" s="0"/>
      <c r="AN1109" s="0"/>
      <c r="AO1109" s="0"/>
      <c r="AP1109" s="0"/>
      <c r="AQ1109" s="0"/>
      <c r="AR1109" s="0"/>
      <c r="AS1109" s="0"/>
      <c r="AT1109" s="0"/>
      <c r="AU1109" s="0"/>
      <c r="AV1109" s="0"/>
      <c r="AW1109" s="0"/>
      <c r="AX1109" s="0"/>
      <c r="AY1109" s="0"/>
      <c r="AZ1109" s="0"/>
      <c r="BA1109" s="0"/>
      <c r="BB1109" s="0"/>
      <c r="BC1109" s="0"/>
      <c r="BD1109" s="0"/>
      <c r="BE1109" s="0"/>
      <c r="BF1109" s="0"/>
      <c r="BG1109" s="0"/>
      <c r="BH1109" s="0"/>
      <c r="BI1109" s="0"/>
      <c r="BJ1109" s="0"/>
      <c r="BK1109" s="0"/>
      <c r="BL1109" s="0"/>
      <c r="BM1109" s="0"/>
      <c r="BN1109" s="0"/>
      <c r="BO1109" s="0"/>
      <c r="BP1109" s="0"/>
      <c r="BQ1109" s="0"/>
      <c r="BR1109" s="0"/>
      <c r="BS1109" s="0"/>
      <c r="BT1109" s="0"/>
      <c r="BU1109" s="0"/>
      <c r="BV1109" s="0"/>
      <c r="BW1109" s="0"/>
      <c r="BX1109" s="0"/>
      <c r="BY1109" s="0"/>
      <c r="BZ1109" s="0"/>
      <c r="CA1109" s="0"/>
      <c r="CB1109" s="0"/>
      <c r="CC1109" s="0"/>
      <c r="CD1109" s="0"/>
      <c r="CE1109" s="0"/>
      <c r="CF1109" s="0"/>
      <c r="CG1109" s="0"/>
      <c r="CH1109" s="0"/>
      <c r="CI1109" s="0"/>
      <c r="CJ1109" s="0"/>
      <c r="CK1109" s="0"/>
      <c r="CL1109" s="0"/>
      <c r="CM1109" s="0"/>
      <c r="CN1109" s="0"/>
      <c r="CO1109" s="0"/>
      <c r="CP1109" s="0"/>
      <c r="CQ1109" s="0"/>
      <c r="CR1109" s="0"/>
      <c r="CS1109" s="0"/>
      <c r="CT1109" s="0"/>
      <c r="CU1109" s="0"/>
      <c r="CV1109" s="0"/>
      <c r="CW1109" s="0"/>
      <c r="CX1109" s="0"/>
      <c r="CY1109" s="0"/>
      <c r="CZ1109" s="0"/>
      <c r="DA1109" s="0"/>
      <c r="DB1109" s="0"/>
      <c r="DC1109" s="0"/>
      <c r="DD1109" s="0"/>
      <c r="DE1109" s="0"/>
      <c r="DF1109" s="0"/>
      <c r="DG1109" s="0"/>
      <c r="DH1109" s="0"/>
      <c r="DI1109" s="0"/>
      <c r="DJ1109" s="0"/>
      <c r="DK1109" s="0"/>
      <c r="DL1109" s="0"/>
      <c r="DM1109" s="0"/>
      <c r="DN1109" s="0"/>
      <c r="DO1109" s="0"/>
      <c r="DP1109" s="0"/>
      <c r="DQ1109" s="0"/>
      <c r="DR1109" s="0"/>
      <c r="DS1109" s="0"/>
      <c r="DT1109" s="0"/>
      <c r="DU1109" s="0"/>
      <c r="DV1109" s="0"/>
      <c r="DW1109" s="0"/>
      <c r="DX1109" s="0"/>
      <c r="DY1109" s="0"/>
      <c r="DZ1109" s="0"/>
      <c r="EA1109" s="0"/>
      <c r="EB1109" s="0"/>
      <c r="EC1109" s="0"/>
      <c r="ED1109" s="0"/>
      <c r="EE1109" s="0"/>
      <c r="EF1109" s="0"/>
      <c r="EG1109" s="0"/>
      <c r="EH1109" s="0"/>
      <c r="EI1109" s="0"/>
      <c r="EJ1109" s="0"/>
      <c r="EK1109" s="0"/>
      <c r="EL1109" s="0"/>
      <c r="EM1109" s="0"/>
      <c r="EN1109" s="0"/>
      <c r="EO1109" s="0"/>
      <c r="EP1109" s="0"/>
      <c r="EQ1109" s="0"/>
      <c r="ER1109" s="0"/>
      <c r="ES1109" s="0"/>
      <c r="ET1109" s="0"/>
      <c r="EU1109" s="0"/>
      <c r="EV1109" s="0"/>
      <c r="EW1109" s="0"/>
      <c r="EX1109" s="0"/>
      <c r="EY1109" s="0"/>
      <c r="EZ1109" s="0"/>
      <c r="FA1109" s="0"/>
      <c r="FB1109" s="0"/>
      <c r="FC1109" s="0"/>
      <c r="FD1109" s="0"/>
      <c r="FE1109" s="0"/>
      <c r="FF1109" s="0"/>
      <c r="FG1109" s="0"/>
      <c r="FH1109" s="0"/>
      <c r="FI1109" s="0"/>
      <c r="FJ1109" s="0"/>
      <c r="FK1109" s="0"/>
      <c r="FL1109" s="0"/>
      <c r="FM1109" s="0"/>
      <c r="FN1109" s="0"/>
      <c r="FO1109" s="0"/>
      <c r="FP1109" s="0"/>
      <c r="FQ1109" s="0"/>
      <c r="FR1109" s="0"/>
      <c r="FS1109" s="0"/>
      <c r="FT1109" s="0"/>
      <c r="FU1109" s="0"/>
      <c r="FV1109" s="0"/>
      <c r="FW1109" s="0"/>
      <c r="FX1109" s="0"/>
      <c r="FY1109" s="0"/>
      <c r="FZ1109" s="0"/>
      <c r="GA1109" s="0"/>
      <c r="GB1109" s="0"/>
      <c r="GC1109" s="0"/>
      <c r="GD1109" s="0"/>
      <c r="GE1109" s="0"/>
      <c r="GF1109" s="0"/>
      <c r="GG1109" s="0"/>
      <c r="GH1109" s="0"/>
      <c r="GI1109" s="0"/>
      <c r="GJ1109" s="0"/>
      <c r="GK1109" s="0"/>
      <c r="GL1109" s="0"/>
      <c r="GM1109" s="0"/>
      <c r="GN1109" s="0"/>
      <c r="GO1109" s="0"/>
      <c r="GP1109" s="0"/>
      <c r="GQ1109" s="0"/>
      <c r="GR1109" s="0"/>
      <c r="GS1109" s="0"/>
      <c r="GT1109" s="0"/>
      <c r="GU1109" s="0"/>
      <c r="GV1109" s="0"/>
      <c r="GW1109" s="0"/>
      <c r="GX1109" s="0"/>
      <c r="GY1109" s="0"/>
      <c r="GZ1109" s="0"/>
      <c r="HA1109" s="0"/>
      <c r="HB1109" s="0"/>
      <c r="HC1109" s="0"/>
      <c r="HD1109" s="0"/>
      <c r="HE1109" s="0"/>
      <c r="HF1109" s="0"/>
      <c r="HG1109" s="0"/>
      <c r="HH1109" s="0"/>
      <c r="HI1109" s="0"/>
      <c r="HJ1109" s="0"/>
      <c r="HK1109" s="0"/>
      <c r="HL1109" s="0"/>
      <c r="HM1109" s="0"/>
      <c r="HN1109" s="0"/>
      <c r="HO1109" s="0"/>
      <c r="HP1109" s="0"/>
      <c r="HQ1109" s="0"/>
      <c r="HR1109" s="0"/>
      <c r="HS1109" s="0"/>
      <c r="HT1109" s="0"/>
      <c r="HU1109" s="0"/>
      <c r="HV1109" s="0"/>
      <c r="HW1109" s="0"/>
      <c r="HX1109" s="0"/>
      <c r="HY1109" s="0"/>
      <c r="HZ1109" s="0"/>
      <c r="IA1109" s="0"/>
      <c r="IB1109" s="0"/>
      <c r="IC1109" s="0"/>
      <c r="ID1109" s="0"/>
      <c r="IE1109" s="0"/>
      <c r="IF1109" s="0"/>
      <c r="IG1109" s="0"/>
      <c r="IH1109" s="0"/>
      <c r="II1109" s="0"/>
      <c r="IJ1109" s="0"/>
      <c r="IK1109" s="0"/>
      <c r="IL1109" s="0"/>
      <c r="IM1109" s="0"/>
      <c r="IN1109" s="0"/>
      <c r="IO1109" s="0"/>
      <c r="IP1109" s="0"/>
      <c r="IQ1109" s="0"/>
      <c r="IR1109" s="0"/>
      <c r="IS1109" s="0"/>
      <c r="IT1109" s="0"/>
      <c r="IU1109" s="0"/>
      <c r="IV1109" s="0"/>
    </row>
    <row r="1110" customFormat="false" ht="15.75" hidden="false" customHeight="true" outlineLevel="0" collapsed="false">
      <c r="A1110" s="1040" t="s">
        <v>1725</v>
      </c>
      <c r="B1110" s="1040"/>
      <c r="C1110" s="1040"/>
      <c r="D1110" s="1324" t="s">
        <v>253</v>
      </c>
      <c r="E1110" s="1321" t="n">
        <f aca="false">IF(D1110="oui",1,0)</f>
        <v>1</v>
      </c>
      <c r="F1110" s="1320" t="s">
        <v>1726</v>
      </c>
      <c r="G1110" s="19"/>
      <c r="H1110" s="19"/>
      <c r="I1110" s="1322" t="s">
        <v>254</v>
      </c>
      <c r="J1110" s="1323" t="n">
        <f aca="false">IF(I1110="oui",1,0)</f>
        <v>0</v>
      </c>
      <c r="K1110" s="1317"/>
      <c r="L1110" s="654"/>
      <c r="M1110" s="0"/>
      <c r="AG1110" s="0"/>
      <c r="AH1110" s="0"/>
      <c r="AI1110" s="0"/>
      <c r="AJ1110" s="0"/>
      <c r="AK1110" s="0"/>
      <c r="AL1110" s="0"/>
      <c r="AM1110" s="0"/>
      <c r="AN1110" s="0"/>
      <c r="AO1110" s="0"/>
      <c r="AP1110" s="0"/>
      <c r="AQ1110" s="0"/>
      <c r="AR1110" s="0"/>
      <c r="AS1110" s="0"/>
      <c r="AT1110" s="0"/>
      <c r="AU1110" s="0"/>
      <c r="AV1110" s="0"/>
      <c r="AW1110" s="0"/>
      <c r="AX1110" s="0"/>
      <c r="AY1110" s="0"/>
      <c r="AZ1110" s="0"/>
      <c r="BA1110" s="0"/>
      <c r="BB1110" s="0"/>
      <c r="BC1110" s="0"/>
      <c r="BD1110" s="0"/>
      <c r="BE1110" s="0"/>
      <c r="BF1110" s="0"/>
      <c r="BG1110" s="0"/>
      <c r="BH1110" s="0"/>
      <c r="BI1110" s="0"/>
      <c r="BJ1110" s="0"/>
      <c r="BK1110" s="0"/>
      <c r="BL1110" s="0"/>
      <c r="BM1110" s="0"/>
      <c r="BN1110" s="0"/>
      <c r="BO1110" s="0"/>
      <c r="BP1110" s="0"/>
      <c r="BQ1110" s="0"/>
      <c r="BR1110" s="0"/>
      <c r="BS1110" s="0"/>
      <c r="BT1110" s="0"/>
      <c r="BU1110" s="0"/>
      <c r="BV1110" s="0"/>
      <c r="BW1110" s="0"/>
      <c r="BX1110" s="0"/>
      <c r="BY1110" s="0"/>
      <c r="BZ1110" s="0"/>
      <c r="CA1110" s="0"/>
      <c r="CB1110" s="0"/>
      <c r="CC1110" s="0"/>
      <c r="CD1110" s="0"/>
      <c r="CE1110" s="0"/>
      <c r="CF1110" s="0"/>
      <c r="CG1110" s="0"/>
      <c r="CH1110" s="0"/>
      <c r="CI1110" s="0"/>
      <c r="CJ1110" s="0"/>
      <c r="CK1110" s="0"/>
      <c r="CL1110" s="0"/>
      <c r="CM1110" s="0"/>
      <c r="CN1110" s="0"/>
      <c r="CO1110" s="0"/>
      <c r="CP1110" s="0"/>
      <c r="CQ1110" s="0"/>
      <c r="CR1110" s="0"/>
      <c r="CS1110" s="0"/>
      <c r="CT1110" s="0"/>
      <c r="CU1110" s="0"/>
      <c r="CV1110" s="0"/>
      <c r="CW1110" s="0"/>
      <c r="CX1110" s="0"/>
      <c r="CY1110" s="0"/>
      <c r="CZ1110" s="0"/>
      <c r="DA1110" s="0"/>
      <c r="DB1110" s="0"/>
      <c r="DC1110" s="0"/>
      <c r="DD1110" s="0"/>
      <c r="DE1110" s="0"/>
      <c r="DF1110" s="0"/>
      <c r="DG1110" s="0"/>
      <c r="DH1110" s="0"/>
      <c r="DI1110" s="0"/>
      <c r="DJ1110" s="0"/>
      <c r="DK1110" s="0"/>
      <c r="DL1110" s="0"/>
      <c r="DM1110" s="0"/>
      <c r="DN1110" s="0"/>
      <c r="DO1110" s="0"/>
      <c r="DP1110" s="0"/>
      <c r="DQ1110" s="0"/>
      <c r="DR1110" s="0"/>
      <c r="DS1110" s="0"/>
      <c r="DT1110" s="0"/>
      <c r="DU1110" s="0"/>
      <c r="DV1110" s="0"/>
      <c r="DW1110" s="0"/>
      <c r="DX1110" s="0"/>
      <c r="DY1110" s="0"/>
      <c r="DZ1110" s="0"/>
      <c r="EA1110" s="0"/>
      <c r="EB1110" s="0"/>
      <c r="EC1110" s="0"/>
      <c r="ED1110" s="0"/>
      <c r="EE1110" s="0"/>
      <c r="EF1110" s="0"/>
      <c r="EG1110" s="0"/>
      <c r="EH1110" s="0"/>
      <c r="EI1110" s="0"/>
      <c r="EJ1110" s="0"/>
      <c r="EK1110" s="0"/>
      <c r="EL1110" s="0"/>
      <c r="EM1110" s="0"/>
      <c r="EN1110" s="0"/>
      <c r="EO1110" s="0"/>
      <c r="EP1110" s="0"/>
      <c r="EQ1110" s="0"/>
      <c r="ER1110" s="0"/>
      <c r="ES1110" s="0"/>
      <c r="ET1110" s="0"/>
      <c r="EU1110" s="0"/>
      <c r="EV1110" s="0"/>
      <c r="EW1110" s="0"/>
      <c r="EX1110" s="0"/>
      <c r="EY1110" s="0"/>
      <c r="EZ1110" s="0"/>
      <c r="FA1110" s="0"/>
      <c r="FB1110" s="0"/>
      <c r="FC1110" s="0"/>
      <c r="FD1110" s="0"/>
      <c r="FE1110" s="0"/>
      <c r="FF1110" s="0"/>
      <c r="FG1110" s="0"/>
      <c r="FH1110" s="0"/>
      <c r="FI1110" s="0"/>
      <c r="FJ1110" s="0"/>
      <c r="FK1110" s="0"/>
      <c r="FL1110" s="0"/>
      <c r="FM1110" s="0"/>
      <c r="FN1110" s="0"/>
      <c r="FO1110" s="0"/>
      <c r="FP1110" s="0"/>
      <c r="FQ1110" s="0"/>
      <c r="FR1110" s="0"/>
      <c r="FS1110" s="0"/>
      <c r="FT1110" s="0"/>
      <c r="FU1110" s="0"/>
      <c r="FV1110" s="0"/>
      <c r="FW1110" s="0"/>
      <c r="FX1110" s="0"/>
      <c r="FY1110" s="0"/>
      <c r="FZ1110" s="0"/>
      <c r="GA1110" s="0"/>
      <c r="GB1110" s="0"/>
      <c r="GC1110" s="0"/>
      <c r="GD1110" s="0"/>
      <c r="GE1110" s="0"/>
      <c r="GF1110" s="0"/>
      <c r="GG1110" s="0"/>
      <c r="GH1110" s="0"/>
      <c r="GI1110" s="0"/>
      <c r="GJ1110" s="0"/>
      <c r="GK1110" s="0"/>
      <c r="GL1110" s="0"/>
      <c r="GM1110" s="0"/>
      <c r="GN1110" s="0"/>
      <c r="GO1110" s="0"/>
      <c r="GP1110" s="0"/>
      <c r="GQ1110" s="0"/>
      <c r="GR1110" s="0"/>
      <c r="GS1110" s="0"/>
      <c r="GT1110" s="0"/>
      <c r="GU1110" s="0"/>
      <c r="GV1110" s="0"/>
      <c r="GW1110" s="0"/>
      <c r="GX1110" s="0"/>
      <c r="GY1110" s="0"/>
      <c r="GZ1110" s="0"/>
      <c r="HA1110" s="0"/>
      <c r="HB1110" s="0"/>
      <c r="HC1110" s="0"/>
      <c r="HD1110" s="0"/>
      <c r="HE1110" s="0"/>
      <c r="HF1110" s="0"/>
      <c r="HG1110" s="0"/>
      <c r="HH1110" s="0"/>
      <c r="HI1110" s="0"/>
      <c r="HJ1110" s="0"/>
      <c r="HK1110" s="0"/>
      <c r="HL1110" s="0"/>
      <c r="HM1110" s="0"/>
      <c r="HN1110" s="0"/>
      <c r="HO1110" s="0"/>
      <c r="HP1110" s="0"/>
      <c r="HQ1110" s="0"/>
      <c r="HR1110" s="0"/>
      <c r="HS1110" s="0"/>
      <c r="HT1110" s="0"/>
      <c r="HU1110" s="0"/>
      <c r="HV1110" s="0"/>
      <c r="HW1110" s="0"/>
      <c r="HX1110" s="0"/>
      <c r="HY1110" s="0"/>
      <c r="HZ1110" s="0"/>
      <c r="IA1110" s="0"/>
      <c r="IB1110" s="0"/>
      <c r="IC1110" s="0"/>
      <c r="ID1110" s="0"/>
      <c r="IE1110" s="0"/>
      <c r="IF1110" s="0"/>
      <c r="IG1110" s="0"/>
      <c r="IH1110" s="0"/>
      <c r="II1110" s="0"/>
      <c r="IJ1110" s="0"/>
      <c r="IK1110" s="0"/>
      <c r="IL1110" s="0"/>
      <c r="IM1110" s="0"/>
      <c r="IN1110" s="0"/>
      <c r="IO1110" s="0"/>
      <c r="IP1110" s="0"/>
      <c r="IQ1110" s="0"/>
      <c r="IR1110" s="0"/>
      <c r="IS1110" s="0"/>
      <c r="IT1110" s="0"/>
      <c r="IU1110" s="0"/>
      <c r="IV1110" s="0"/>
    </row>
    <row r="1111" customFormat="false" ht="15.75" hidden="false" customHeight="true" outlineLevel="0" collapsed="false">
      <c r="A1111" s="1040"/>
      <c r="B1111" s="1040"/>
      <c r="C1111" s="1040"/>
      <c r="D1111" s="1324"/>
      <c r="E1111" s="1321"/>
      <c r="F1111" s="11" t="s">
        <v>283</v>
      </c>
      <c r="G1111" s="19"/>
      <c r="H1111" s="19"/>
      <c r="I1111" s="1322" t="s">
        <v>253</v>
      </c>
      <c r="J1111" s="1323" t="n">
        <f aca="false">IF(I1111="oui",1,0)</f>
        <v>1</v>
      </c>
      <c r="K1111" s="1317"/>
      <c r="L1111" s="654"/>
      <c r="M1111" s="0"/>
      <c r="AG1111" s="0"/>
      <c r="AH1111" s="0"/>
      <c r="AI1111" s="0"/>
      <c r="AJ1111" s="0"/>
      <c r="AK1111" s="0"/>
      <c r="AL1111" s="0"/>
      <c r="AM1111" s="0"/>
      <c r="AN1111" s="0"/>
      <c r="AO1111" s="0"/>
      <c r="AP1111" s="0"/>
      <c r="AQ1111" s="0"/>
      <c r="AR1111" s="0"/>
      <c r="AS1111" s="0"/>
      <c r="AT1111" s="0"/>
      <c r="AU1111" s="0"/>
      <c r="AV1111" s="0"/>
      <c r="AW1111" s="0"/>
      <c r="AX1111" s="0"/>
      <c r="AY1111" s="0"/>
      <c r="AZ1111" s="0"/>
      <c r="BA1111" s="0"/>
      <c r="BB1111" s="0"/>
      <c r="BC1111" s="0"/>
      <c r="BD1111" s="0"/>
      <c r="BE1111" s="0"/>
      <c r="BF1111" s="0"/>
      <c r="BG1111" s="0"/>
      <c r="BH1111" s="0"/>
      <c r="BI1111" s="0"/>
      <c r="BJ1111" s="0"/>
      <c r="BK1111" s="0"/>
      <c r="BL1111" s="0"/>
      <c r="BM1111" s="0"/>
      <c r="BN1111" s="0"/>
      <c r="BO1111" s="0"/>
      <c r="BP1111" s="0"/>
      <c r="BQ1111" s="0"/>
      <c r="BR1111" s="0"/>
      <c r="BS1111" s="0"/>
      <c r="BT1111" s="0"/>
      <c r="BU1111" s="0"/>
      <c r="BV1111" s="0"/>
      <c r="BW1111" s="0"/>
      <c r="BX1111" s="0"/>
      <c r="BY1111" s="0"/>
      <c r="BZ1111" s="0"/>
      <c r="CA1111" s="0"/>
      <c r="CB1111" s="0"/>
      <c r="CC1111" s="0"/>
      <c r="CD1111" s="0"/>
      <c r="CE1111" s="0"/>
      <c r="CF1111" s="0"/>
      <c r="CG1111" s="0"/>
      <c r="CH1111" s="0"/>
      <c r="CI1111" s="0"/>
      <c r="CJ1111" s="0"/>
      <c r="CK1111" s="0"/>
      <c r="CL1111" s="0"/>
      <c r="CM1111" s="0"/>
      <c r="CN1111" s="0"/>
      <c r="CO1111" s="0"/>
      <c r="CP1111" s="0"/>
      <c r="CQ1111" s="0"/>
      <c r="CR1111" s="0"/>
      <c r="CS1111" s="0"/>
      <c r="CT1111" s="0"/>
      <c r="CU1111" s="0"/>
      <c r="CV1111" s="0"/>
      <c r="CW1111" s="0"/>
      <c r="CX1111" s="0"/>
      <c r="CY1111" s="0"/>
      <c r="CZ1111" s="0"/>
      <c r="DA1111" s="0"/>
      <c r="DB1111" s="0"/>
      <c r="DC1111" s="0"/>
      <c r="DD1111" s="0"/>
      <c r="DE1111" s="0"/>
      <c r="DF1111" s="0"/>
      <c r="DG1111" s="0"/>
      <c r="DH1111" s="0"/>
      <c r="DI1111" s="0"/>
      <c r="DJ1111" s="0"/>
      <c r="DK1111" s="0"/>
      <c r="DL1111" s="0"/>
      <c r="DM1111" s="0"/>
      <c r="DN1111" s="0"/>
      <c r="DO1111" s="0"/>
      <c r="DP1111" s="0"/>
      <c r="DQ1111" s="0"/>
      <c r="DR1111" s="0"/>
      <c r="DS1111" s="0"/>
      <c r="DT1111" s="0"/>
      <c r="DU1111" s="0"/>
      <c r="DV1111" s="0"/>
      <c r="DW1111" s="0"/>
      <c r="DX1111" s="0"/>
      <c r="DY1111" s="0"/>
      <c r="DZ1111" s="0"/>
      <c r="EA1111" s="0"/>
      <c r="EB1111" s="0"/>
      <c r="EC1111" s="0"/>
      <c r="ED1111" s="0"/>
      <c r="EE1111" s="0"/>
      <c r="EF1111" s="0"/>
      <c r="EG1111" s="0"/>
      <c r="EH1111" s="0"/>
      <c r="EI1111" s="0"/>
      <c r="EJ1111" s="0"/>
      <c r="EK1111" s="0"/>
      <c r="EL1111" s="0"/>
      <c r="EM1111" s="0"/>
      <c r="EN1111" s="0"/>
      <c r="EO1111" s="0"/>
      <c r="EP1111" s="0"/>
      <c r="EQ1111" s="0"/>
      <c r="ER1111" s="0"/>
      <c r="ES1111" s="0"/>
      <c r="ET1111" s="0"/>
      <c r="EU1111" s="0"/>
      <c r="EV1111" s="0"/>
      <c r="EW1111" s="0"/>
      <c r="EX1111" s="0"/>
      <c r="EY1111" s="0"/>
      <c r="EZ1111" s="0"/>
      <c r="FA1111" s="0"/>
      <c r="FB1111" s="0"/>
      <c r="FC1111" s="0"/>
      <c r="FD1111" s="0"/>
      <c r="FE1111" s="0"/>
      <c r="FF1111" s="0"/>
      <c r="FG1111" s="0"/>
      <c r="FH1111" s="0"/>
      <c r="FI1111" s="0"/>
      <c r="FJ1111" s="0"/>
      <c r="FK1111" s="0"/>
      <c r="FL1111" s="0"/>
      <c r="FM1111" s="0"/>
      <c r="FN1111" s="0"/>
      <c r="FO1111" s="0"/>
      <c r="FP1111" s="0"/>
      <c r="FQ1111" s="0"/>
      <c r="FR1111" s="0"/>
      <c r="FS1111" s="0"/>
      <c r="FT1111" s="0"/>
      <c r="FU1111" s="0"/>
      <c r="FV1111" s="0"/>
      <c r="FW1111" s="0"/>
      <c r="FX1111" s="0"/>
      <c r="FY1111" s="0"/>
      <c r="FZ1111" s="0"/>
      <c r="GA1111" s="0"/>
      <c r="GB1111" s="0"/>
      <c r="GC1111" s="0"/>
      <c r="GD1111" s="0"/>
      <c r="GE1111" s="0"/>
      <c r="GF1111" s="0"/>
      <c r="GG1111" s="0"/>
      <c r="GH1111" s="0"/>
      <c r="GI1111" s="0"/>
      <c r="GJ1111" s="0"/>
      <c r="GK1111" s="0"/>
      <c r="GL1111" s="0"/>
      <c r="GM1111" s="0"/>
      <c r="GN1111" s="0"/>
      <c r="GO1111" s="0"/>
      <c r="GP1111" s="0"/>
      <c r="GQ1111" s="0"/>
      <c r="GR1111" s="0"/>
      <c r="GS1111" s="0"/>
      <c r="GT1111" s="0"/>
      <c r="GU1111" s="0"/>
      <c r="GV1111" s="0"/>
      <c r="GW1111" s="0"/>
      <c r="GX1111" s="0"/>
      <c r="GY1111" s="0"/>
      <c r="GZ1111" s="0"/>
      <c r="HA1111" s="0"/>
      <c r="HB1111" s="0"/>
      <c r="HC1111" s="0"/>
      <c r="HD1111" s="0"/>
      <c r="HE1111" s="0"/>
      <c r="HF1111" s="0"/>
      <c r="HG1111" s="0"/>
      <c r="HH1111" s="0"/>
      <c r="HI1111" s="0"/>
      <c r="HJ1111" s="0"/>
      <c r="HK1111" s="0"/>
      <c r="HL1111" s="0"/>
      <c r="HM1111" s="0"/>
      <c r="HN1111" s="0"/>
      <c r="HO1111" s="0"/>
      <c r="HP1111" s="0"/>
      <c r="HQ1111" s="0"/>
      <c r="HR1111" s="0"/>
      <c r="HS1111" s="0"/>
      <c r="HT1111" s="0"/>
      <c r="HU1111" s="0"/>
      <c r="HV1111" s="0"/>
      <c r="HW1111" s="0"/>
      <c r="HX1111" s="0"/>
      <c r="HY1111" s="0"/>
      <c r="HZ1111" s="0"/>
      <c r="IA1111" s="0"/>
      <c r="IB1111" s="0"/>
      <c r="IC1111" s="0"/>
      <c r="ID1111" s="0"/>
      <c r="IE1111" s="0"/>
      <c r="IF1111" s="0"/>
      <c r="IG1111" s="0"/>
      <c r="IH1111" s="0"/>
      <c r="II1111" s="0"/>
      <c r="IJ1111" s="0"/>
      <c r="IK1111" s="0"/>
      <c r="IL1111" s="0"/>
      <c r="IM1111" s="0"/>
      <c r="IN1111" s="0"/>
      <c r="IO1111" s="0"/>
      <c r="IP1111" s="0"/>
      <c r="IQ1111" s="0"/>
      <c r="IR1111" s="0"/>
      <c r="IS1111" s="0"/>
      <c r="IT1111" s="0"/>
      <c r="IU1111" s="0"/>
      <c r="IV1111" s="0"/>
    </row>
    <row r="1112" customFormat="false" ht="16.5" hidden="false" customHeight="true" outlineLevel="0" collapsed="false">
      <c r="A1112" s="1320" t="s">
        <v>1727</v>
      </c>
      <c r="B1112" s="307"/>
      <c r="D1112" s="1250" t="s">
        <v>253</v>
      </c>
      <c r="E1112" s="1321" t="n">
        <f aca="false">IF(D1112="oui",1,0)</f>
        <v>1</v>
      </c>
      <c r="F1112" s="1259" t="s">
        <v>1728</v>
      </c>
      <c r="G1112" s="19"/>
      <c r="H1112" s="19"/>
      <c r="I1112" s="1322" t="s">
        <v>253</v>
      </c>
      <c r="J1112" s="1323" t="n">
        <f aca="false">IF(I1112="oui",1,0)</f>
        <v>1</v>
      </c>
      <c r="K1112" s="1317"/>
      <c r="L1112" s="654"/>
      <c r="M1112" s="0"/>
      <c r="AG1112" s="0"/>
      <c r="AH1112" s="0"/>
      <c r="AI1112" s="0"/>
      <c r="AJ1112" s="0"/>
      <c r="AK1112" s="0"/>
      <c r="AL1112" s="0"/>
      <c r="AM1112" s="0"/>
      <c r="AN1112" s="0"/>
      <c r="AO1112" s="0"/>
      <c r="AP1112" s="0"/>
      <c r="AQ1112" s="0"/>
      <c r="AR1112" s="0"/>
      <c r="AS1112" s="0"/>
      <c r="AT1112" s="0"/>
      <c r="AU1112" s="0"/>
      <c r="AV1112" s="0"/>
      <c r="AW1112" s="0"/>
      <c r="AX1112" s="0"/>
      <c r="AY1112" s="0"/>
      <c r="AZ1112" s="0"/>
      <c r="BA1112" s="0"/>
      <c r="BB1112" s="0"/>
      <c r="BC1112" s="0"/>
      <c r="BD1112" s="0"/>
      <c r="BE1112" s="0"/>
      <c r="BF1112" s="0"/>
      <c r="BG1112" s="0"/>
      <c r="BH1112" s="0"/>
      <c r="BI1112" s="0"/>
      <c r="BJ1112" s="0"/>
      <c r="BK1112" s="0"/>
      <c r="BL1112" s="0"/>
      <c r="BM1112" s="0"/>
      <c r="BN1112" s="0"/>
      <c r="BO1112" s="0"/>
      <c r="BP1112" s="0"/>
      <c r="BQ1112" s="0"/>
      <c r="BR1112" s="0"/>
      <c r="BS1112" s="0"/>
      <c r="BT1112" s="0"/>
      <c r="BU1112" s="0"/>
      <c r="BV1112" s="0"/>
      <c r="BW1112" s="0"/>
      <c r="BX1112" s="0"/>
      <c r="BY1112" s="0"/>
      <c r="BZ1112" s="0"/>
      <c r="CA1112" s="0"/>
      <c r="CB1112" s="0"/>
      <c r="CC1112" s="0"/>
      <c r="CD1112" s="0"/>
      <c r="CE1112" s="0"/>
      <c r="CF1112" s="0"/>
      <c r="CG1112" s="0"/>
      <c r="CH1112" s="0"/>
      <c r="CI1112" s="0"/>
      <c r="CJ1112" s="0"/>
      <c r="CK1112" s="0"/>
      <c r="CL1112" s="0"/>
      <c r="CM1112" s="0"/>
      <c r="CN1112" s="0"/>
      <c r="CO1112" s="0"/>
      <c r="CP1112" s="0"/>
      <c r="CQ1112" s="0"/>
      <c r="CR1112" s="0"/>
      <c r="CS1112" s="0"/>
      <c r="CT1112" s="0"/>
      <c r="CU1112" s="0"/>
      <c r="CV1112" s="0"/>
      <c r="CW1112" s="0"/>
      <c r="CX1112" s="0"/>
      <c r="CY1112" s="0"/>
      <c r="CZ1112" s="0"/>
      <c r="DA1112" s="0"/>
      <c r="DB1112" s="0"/>
      <c r="DC1112" s="0"/>
      <c r="DD1112" s="0"/>
      <c r="DE1112" s="0"/>
      <c r="DF1112" s="0"/>
      <c r="DG1112" s="0"/>
      <c r="DH1112" s="0"/>
      <c r="DI1112" s="0"/>
      <c r="DJ1112" s="0"/>
      <c r="DK1112" s="0"/>
      <c r="DL1112" s="0"/>
      <c r="DM1112" s="0"/>
      <c r="DN1112" s="0"/>
      <c r="DO1112" s="0"/>
      <c r="DP1112" s="0"/>
      <c r="DQ1112" s="0"/>
      <c r="DR1112" s="0"/>
      <c r="DS1112" s="0"/>
      <c r="DT1112" s="0"/>
      <c r="DU1112" s="0"/>
      <c r="DV1112" s="0"/>
      <c r="DW1112" s="0"/>
      <c r="DX1112" s="0"/>
      <c r="DY1112" s="0"/>
      <c r="DZ1112" s="0"/>
      <c r="EA1112" s="0"/>
      <c r="EB1112" s="0"/>
      <c r="EC1112" s="0"/>
      <c r="ED1112" s="0"/>
      <c r="EE1112" s="0"/>
      <c r="EF1112" s="0"/>
      <c r="EG1112" s="0"/>
      <c r="EH1112" s="0"/>
      <c r="EI1112" s="0"/>
      <c r="EJ1112" s="0"/>
      <c r="EK1112" s="0"/>
      <c r="EL1112" s="0"/>
      <c r="EM1112" s="0"/>
      <c r="EN1112" s="0"/>
      <c r="EO1112" s="0"/>
      <c r="EP1112" s="0"/>
      <c r="EQ1112" s="0"/>
      <c r="ER1112" s="0"/>
      <c r="ES1112" s="0"/>
      <c r="ET1112" s="0"/>
      <c r="EU1112" s="0"/>
      <c r="EV1112" s="0"/>
      <c r="EW1112" s="0"/>
      <c r="EX1112" s="0"/>
      <c r="EY1112" s="0"/>
      <c r="EZ1112" s="0"/>
      <c r="FA1112" s="0"/>
      <c r="FB1112" s="0"/>
      <c r="FC1112" s="0"/>
      <c r="FD1112" s="0"/>
      <c r="FE1112" s="0"/>
      <c r="FF1112" s="0"/>
      <c r="FG1112" s="0"/>
      <c r="FH1112" s="0"/>
      <c r="FI1112" s="0"/>
      <c r="FJ1112" s="0"/>
      <c r="FK1112" s="0"/>
      <c r="FL1112" s="0"/>
      <c r="FM1112" s="0"/>
      <c r="FN1112" s="0"/>
      <c r="FO1112" s="0"/>
      <c r="FP1112" s="0"/>
      <c r="FQ1112" s="0"/>
      <c r="FR1112" s="0"/>
      <c r="FS1112" s="0"/>
      <c r="FT1112" s="0"/>
      <c r="FU1112" s="0"/>
      <c r="FV1112" s="0"/>
      <c r="FW1112" s="0"/>
      <c r="FX1112" s="0"/>
      <c r="FY1112" s="0"/>
      <c r="FZ1112" s="0"/>
      <c r="GA1112" s="0"/>
      <c r="GB1112" s="0"/>
      <c r="GC1112" s="0"/>
      <c r="GD1112" s="0"/>
      <c r="GE1112" s="0"/>
      <c r="GF1112" s="0"/>
      <c r="GG1112" s="0"/>
      <c r="GH1112" s="0"/>
      <c r="GI1112" s="0"/>
      <c r="GJ1112" s="0"/>
      <c r="GK1112" s="0"/>
      <c r="GL1112" s="0"/>
      <c r="GM1112" s="0"/>
      <c r="GN1112" s="0"/>
      <c r="GO1112" s="0"/>
      <c r="GP1112" s="0"/>
      <c r="GQ1112" s="0"/>
      <c r="GR1112" s="0"/>
      <c r="GS1112" s="0"/>
      <c r="GT1112" s="0"/>
      <c r="GU1112" s="0"/>
      <c r="GV1112" s="0"/>
      <c r="GW1112" s="0"/>
      <c r="GX1112" s="0"/>
      <c r="GY1112" s="0"/>
      <c r="GZ1112" s="0"/>
      <c r="HA1112" s="0"/>
      <c r="HB1112" s="0"/>
      <c r="HC1112" s="0"/>
      <c r="HD1112" s="0"/>
      <c r="HE1112" s="0"/>
      <c r="HF1112" s="0"/>
      <c r="HG1112" s="0"/>
      <c r="HH1112" s="0"/>
      <c r="HI1112" s="0"/>
      <c r="HJ1112" s="0"/>
      <c r="HK1112" s="0"/>
      <c r="HL1112" s="0"/>
      <c r="HM1112" s="0"/>
      <c r="HN1112" s="0"/>
      <c r="HO1112" s="0"/>
      <c r="HP1112" s="0"/>
      <c r="HQ1112" s="0"/>
      <c r="HR1112" s="0"/>
      <c r="HS1112" s="0"/>
      <c r="HT1112" s="0"/>
      <c r="HU1112" s="0"/>
      <c r="HV1112" s="0"/>
      <c r="HW1112" s="0"/>
      <c r="HX1112" s="0"/>
      <c r="HY1112" s="0"/>
      <c r="HZ1112" s="0"/>
      <c r="IA1112" s="0"/>
      <c r="IB1112" s="0"/>
      <c r="IC1112" s="0"/>
      <c r="ID1112" s="0"/>
      <c r="IE1112" s="0"/>
      <c r="IF1112" s="0"/>
      <c r="IG1112" s="0"/>
      <c r="IH1112" s="0"/>
      <c r="II1112" s="0"/>
      <c r="IJ1112" s="0"/>
      <c r="IK1112" s="0"/>
      <c r="IL1112" s="0"/>
      <c r="IM1112" s="0"/>
      <c r="IN1112" s="0"/>
      <c r="IO1112" s="0"/>
      <c r="IP1112" s="0"/>
      <c r="IQ1112" s="0"/>
      <c r="IR1112" s="0"/>
      <c r="IS1112" s="0"/>
      <c r="IT1112" s="0"/>
      <c r="IU1112" s="0"/>
      <c r="IV1112" s="0"/>
    </row>
    <row r="1113" customFormat="false" ht="16.5" hidden="false" customHeight="true" outlineLevel="0" collapsed="false">
      <c r="A1113" s="1320"/>
      <c r="B1113" s="307"/>
      <c r="E1113" s="1321"/>
      <c r="F1113" s="1259" t="s">
        <v>285</v>
      </c>
      <c r="G1113" s="19"/>
      <c r="H1113" s="19"/>
      <c r="I1113" s="1322" t="s">
        <v>254</v>
      </c>
      <c r="J1113" s="1323" t="n">
        <f aca="false">IF(I1113="oui",1,0)</f>
        <v>0</v>
      </c>
      <c r="K1113" s="1317"/>
      <c r="L1113" s="654"/>
      <c r="M1113" s="0"/>
      <c r="AG1113" s="0"/>
      <c r="AH1113" s="0"/>
      <c r="AI1113" s="0"/>
      <c r="AJ1113" s="0"/>
      <c r="AK1113" s="0"/>
      <c r="AL1113" s="0"/>
      <c r="AM1113" s="0"/>
      <c r="AN1113" s="0"/>
      <c r="AO1113" s="0"/>
      <c r="AP1113" s="0"/>
      <c r="AQ1113" s="0"/>
      <c r="AR1113" s="0"/>
      <c r="AS1113" s="0"/>
      <c r="AT1113" s="0"/>
      <c r="AU1113" s="0"/>
      <c r="AV1113" s="0"/>
      <c r="AW1113" s="0"/>
      <c r="AX1113" s="0"/>
      <c r="AY1113" s="0"/>
      <c r="AZ1113" s="0"/>
      <c r="BA1113" s="0"/>
      <c r="BB1113" s="0"/>
      <c r="BC1113" s="0"/>
      <c r="BD1113" s="0"/>
      <c r="BE1113" s="0"/>
      <c r="BF1113" s="0"/>
      <c r="BG1113" s="0"/>
      <c r="BH1113" s="0"/>
      <c r="BI1113" s="0"/>
      <c r="BJ1113" s="0"/>
      <c r="BK1113" s="0"/>
      <c r="BL1113" s="0"/>
      <c r="BM1113" s="0"/>
      <c r="BN1113" s="0"/>
      <c r="BO1113" s="0"/>
      <c r="BP1113" s="0"/>
      <c r="BQ1113" s="0"/>
      <c r="BR1113" s="0"/>
      <c r="BS1113" s="0"/>
      <c r="BT1113" s="0"/>
      <c r="BU1113" s="0"/>
      <c r="BV1113" s="0"/>
      <c r="BW1113" s="0"/>
      <c r="BX1113" s="0"/>
      <c r="BY1113" s="0"/>
      <c r="BZ1113" s="0"/>
      <c r="CA1113" s="0"/>
      <c r="CB1113" s="0"/>
      <c r="CC1113" s="0"/>
      <c r="CD1113" s="0"/>
      <c r="CE1113" s="0"/>
      <c r="CF1113" s="0"/>
      <c r="CG1113" s="0"/>
      <c r="CH1113" s="0"/>
      <c r="CI1113" s="0"/>
      <c r="CJ1113" s="0"/>
      <c r="CK1113" s="0"/>
      <c r="CL1113" s="0"/>
      <c r="CM1113" s="0"/>
      <c r="CN1113" s="0"/>
      <c r="CO1113" s="0"/>
      <c r="CP1113" s="0"/>
      <c r="CQ1113" s="0"/>
      <c r="CR1113" s="0"/>
      <c r="CS1113" s="0"/>
      <c r="CT1113" s="0"/>
      <c r="CU1113" s="0"/>
      <c r="CV1113" s="0"/>
      <c r="CW1113" s="0"/>
      <c r="CX1113" s="0"/>
      <c r="CY1113" s="0"/>
      <c r="CZ1113" s="0"/>
      <c r="DA1113" s="0"/>
      <c r="DB1113" s="0"/>
      <c r="DC1113" s="0"/>
      <c r="DD1113" s="0"/>
      <c r="DE1113" s="0"/>
      <c r="DF1113" s="0"/>
      <c r="DG1113" s="0"/>
      <c r="DH1113" s="0"/>
      <c r="DI1113" s="0"/>
      <c r="DJ1113" s="0"/>
      <c r="DK1113" s="0"/>
      <c r="DL1113" s="0"/>
      <c r="DM1113" s="0"/>
      <c r="DN1113" s="0"/>
      <c r="DO1113" s="0"/>
      <c r="DP1113" s="0"/>
      <c r="DQ1113" s="0"/>
      <c r="DR1113" s="0"/>
      <c r="DS1113" s="0"/>
      <c r="DT1113" s="0"/>
      <c r="DU1113" s="0"/>
      <c r="DV1113" s="0"/>
      <c r="DW1113" s="0"/>
      <c r="DX1113" s="0"/>
      <c r="DY1113" s="0"/>
      <c r="DZ1113" s="0"/>
      <c r="EA1113" s="0"/>
      <c r="EB1113" s="0"/>
      <c r="EC1113" s="0"/>
      <c r="ED1113" s="0"/>
      <c r="EE1113" s="0"/>
      <c r="EF1113" s="0"/>
      <c r="EG1113" s="0"/>
      <c r="EH1113" s="0"/>
      <c r="EI1113" s="0"/>
      <c r="EJ1113" s="0"/>
      <c r="EK1113" s="0"/>
      <c r="EL1113" s="0"/>
      <c r="EM1113" s="0"/>
      <c r="EN1113" s="0"/>
      <c r="EO1113" s="0"/>
      <c r="EP1113" s="0"/>
      <c r="EQ1113" s="0"/>
      <c r="ER1113" s="0"/>
      <c r="ES1113" s="0"/>
      <c r="ET1113" s="0"/>
      <c r="EU1113" s="0"/>
      <c r="EV1113" s="0"/>
      <c r="EW1113" s="0"/>
      <c r="EX1113" s="0"/>
      <c r="EY1113" s="0"/>
      <c r="EZ1113" s="0"/>
      <c r="FA1113" s="0"/>
      <c r="FB1113" s="0"/>
      <c r="FC1113" s="0"/>
      <c r="FD1113" s="0"/>
      <c r="FE1113" s="0"/>
      <c r="FF1113" s="0"/>
      <c r="FG1113" s="0"/>
      <c r="FH1113" s="0"/>
      <c r="FI1113" s="0"/>
      <c r="FJ1113" s="0"/>
      <c r="FK1113" s="0"/>
      <c r="FL1113" s="0"/>
      <c r="FM1113" s="0"/>
      <c r="FN1113" s="0"/>
      <c r="FO1113" s="0"/>
      <c r="FP1113" s="0"/>
      <c r="FQ1113" s="0"/>
      <c r="FR1113" s="0"/>
      <c r="FS1113" s="0"/>
      <c r="FT1113" s="0"/>
      <c r="FU1113" s="0"/>
      <c r="FV1113" s="0"/>
      <c r="FW1113" s="0"/>
      <c r="FX1113" s="0"/>
      <c r="FY1113" s="0"/>
      <c r="FZ1113" s="0"/>
      <c r="GA1113" s="0"/>
      <c r="GB1113" s="0"/>
      <c r="GC1113" s="0"/>
      <c r="GD1113" s="0"/>
      <c r="GE1113" s="0"/>
      <c r="GF1113" s="0"/>
      <c r="GG1113" s="0"/>
      <c r="GH1113" s="0"/>
      <c r="GI1113" s="0"/>
      <c r="GJ1113" s="0"/>
      <c r="GK1113" s="0"/>
      <c r="GL1113" s="0"/>
      <c r="GM1113" s="0"/>
      <c r="GN1113" s="0"/>
      <c r="GO1113" s="0"/>
      <c r="GP1113" s="0"/>
      <c r="GQ1113" s="0"/>
      <c r="GR1113" s="0"/>
      <c r="GS1113" s="0"/>
      <c r="GT1113" s="0"/>
      <c r="GU1113" s="0"/>
      <c r="GV1113" s="0"/>
      <c r="GW1113" s="0"/>
      <c r="GX1113" s="0"/>
      <c r="GY1113" s="0"/>
      <c r="GZ1113" s="0"/>
      <c r="HA1113" s="0"/>
      <c r="HB1113" s="0"/>
      <c r="HC1113" s="0"/>
      <c r="HD1113" s="0"/>
      <c r="HE1113" s="0"/>
      <c r="HF1113" s="0"/>
      <c r="HG1113" s="0"/>
      <c r="HH1113" s="0"/>
      <c r="HI1113" s="0"/>
      <c r="HJ1113" s="0"/>
      <c r="HK1113" s="0"/>
      <c r="HL1113" s="0"/>
      <c r="HM1113" s="0"/>
      <c r="HN1113" s="0"/>
      <c r="HO1113" s="0"/>
      <c r="HP1113" s="0"/>
      <c r="HQ1113" s="0"/>
      <c r="HR1113" s="0"/>
      <c r="HS1113" s="0"/>
      <c r="HT1113" s="0"/>
      <c r="HU1113" s="0"/>
      <c r="HV1113" s="0"/>
      <c r="HW1113" s="0"/>
      <c r="HX1113" s="0"/>
      <c r="HY1113" s="0"/>
      <c r="HZ1113" s="0"/>
      <c r="IA1113" s="0"/>
      <c r="IB1113" s="0"/>
      <c r="IC1113" s="0"/>
      <c r="ID1113" s="0"/>
      <c r="IE1113" s="0"/>
      <c r="IF1113" s="0"/>
      <c r="IG1113" s="0"/>
      <c r="IH1113" s="0"/>
      <c r="II1113" s="0"/>
      <c r="IJ1113" s="0"/>
      <c r="IK1113" s="0"/>
      <c r="IL1113" s="0"/>
      <c r="IM1113" s="0"/>
      <c r="IN1113" s="0"/>
      <c r="IO1113" s="0"/>
      <c r="IP1113" s="0"/>
      <c r="IQ1113" s="0"/>
      <c r="IR1113" s="0"/>
      <c r="IS1113" s="0"/>
      <c r="IT1113" s="0"/>
      <c r="IU1113" s="0"/>
      <c r="IV1113" s="0"/>
    </row>
    <row r="1114" customFormat="false" ht="16.5" hidden="false" customHeight="true" outlineLevel="0" collapsed="false">
      <c r="A1114" s="1320"/>
      <c r="B1114" s="307"/>
      <c r="E1114" s="1321"/>
      <c r="F1114" s="1259" t="s">
        <v>286</v>
      </c>
      <c r="G1114" s="19"/>
      <c r="H1114" s="19"/>
      <c r="I1114" s="1322" t="s">
        <v>254</v>
      </c>
      <c r="J1114" s="1323" t="n">
        <f aca="false">IF(I1114="oui",1,0)</f>
        <v>0</v>
      </c>
      <c r="K1114" s="1317"/>
      <c r="L1114" s="654"/>
      <c r="M1114" s="0"/>
      <c r="AG1114" s="0"/>
      <c r="AH1114" s="0"/>
      <c r="AI1114" s="0"/>
      <c r="AJ1114" s="0"/>
      <c r="AK1114" s="0"/>
      <c r="AL1114" s="0"/>
      <c r="AM1114" s="0"/>
      <c r="AN1114" s="0"/>
      <c r="AO1114" s="0"/>
      <c r="AP1114" s="0"/>
      <c r="AQ1114" s="0"/>
      <c r="AR1114" s="0"/>
      <c r="AS1114" s="0"/>
      <c r="AT1114" s="0"/>
      <c r="AU1114" s="0"/>
      <c r="AV1114" s="0"/>
      <c r="AW1114" s="0"/>
      <c r="AX1114" s="0"/>
      <c r="AY1114" s="0"/>
      <c r="AZ1114" s="0"/>
      <c r="BA1114" s="0"/>
      <c r="BB1114" s="0"/>
      <c r="BC1114" s="0"/>
      <c r="BD1114" s="0"/>
      <c r="BE1114" s="0"/>
      <c r="BF1114" s="0"/>
      <c r="BG1114" s="0"/>
      <c r="BH1114" s="0"/>
      <c r="BI1114" s="0"/>
      <c r="BJ1114" s="0"/>
      <c r="BK1114" s="0"/>
      <c r="BL1114" s="0"/>
      <c r="BM1114" s="0"/>
      <c r="BN1114" s="0"/>
      <c r="BO1114" s="0"/>
      <c r="BP1114" s="0"/>
      <c r="BQ1114" s="0"/>
      <c r="BR1114" s="0"/>
      <c r="BS1114" s="0"/>
      <c r="BT1114" s="0"/>
      <c r="BU1114" s="0"/>
      <c r="BV1114" s="0"/>
      <c r="BW1114" s="0"/>
      <c r="BX1114" s="0"/>
      <c r="BY1114" s="0"/>
      <c r="BZ1114" s="0"/>
      <c r="CA1114" s="0"/>
      <c r="CB1114" s="0"/>
      <c r="CC1114" s="0"/>
      <c r="CD1114" s="0"/>
      <c r="CE1114" s="0"/>
      <c r="CF1114" s="0"/>
      <c r="CG1114" s="0"/>
      <c r="CH1114" s="0"/>
      <c r="CI1114" s="0"/>
      <c r="CJ1114" s="0"/>
      <c r="CK1114" s="0"/>
      <c r="CL1114" s="0"/>
      <c r="CM1114" s="0"/>
      <c r="CN1114" s="0"/>
      <c r="CO1114" s="0"/>
      <c r="CP1114" s="0"/>
      <c r="CQ1114" s="0"/>
      <c r="CR1114" s="0"/>
      <c r="CS1114" s="0"/>
      <c r="CT1114" s="0"/>
      <c r="CU1114" s="0"/>
      <c r="CV1114" s="0"/>
      <c r="CW1114" s="0"/>
      <c r="CX1114" s="0"/>
      <c r="CY1114" s="0"/>
      <c r="CZ1114" s="0"/>
      <c r="DA1114" s="0"/>
      <c r="DB1114" s="0"/>
      <c r="DC1114" s="0"/>
      <c r="DD1114" s="0"/>
      <c r="DE1114" s="0"/>
      <c r="DF1114" s="0"/>
      <c r="DG1114" s="0"/>
      <c r="DH1114" s="0"/>
      <c r="DI1114" s="0"/>
      <c r="DJ1114" s="0"/>
      <c r="DK1114" s="0"/>
      <c r="DL1114" s="0"/>
      <c r="DM1114" s="0"/>
      <c r="DN1114" s="0"/>
      <c r="DO1114" s="0"/>
      <c r="DP1114" s="0"/>
      <c r="DQ1114" s="0"/>
      <c r="DR1114" s="0"/>
      <c r="DS1114" s="0"/>
      <c r="DT1114" s="0"/>
      <c r="DU1114" s="0"/>
      <c r="DV1114" s="0"/>
      <c r="DW1114" s="0"/>
      <c r="DX1114" s="0"/>
      <c r="DY1114" s="0"/>
      <c r="DZ1114" s="0"/>
      <c r="EA1114" s="0"/>
      <c r="EB1114" s="0"/>
      <c r="EC1114" s="0"/>
      <c r="ED1114" s="0"/>
      <c r="EE1114" s="0"/>
      <c r="EF1114" s="0"/>
      <c r="EG1114" s="0"/>
      <c r="EH1114" s="0"/>
      <c r="EI1114" s="0"/>
      <c r="EJ1114" s="0"/>
      <c r="EK1114" s="0"/>
      <c r="EL1114" s="0"/>
      <c r="EM1114" s="0"/>
      <c r="EN1114" s="0"/>
      <c r="EO1114" s="0"/>
      <c r="EP1114" s="0"/>
      <c r="EQ1114" s="0"/>
      <c r="ER1114" s="0"/>
      <c r="ES1114" s="0"/>
      <c r="ET1114" s="0"/>
      <c r="EU1114" s="0"/>
      <c r="EV1114" s="0"/>
      <c r="EW1114" s="0"/>
      <c r="EX1114" s="0"/>
      <c r="EY1114" s="0"/>
      <c r="EZ1114" s="0"/>
      <c r="FA1114" s="0"/>
      <c r="FB1114" s="0"/>
      <c r="FC1114" s="0"/>
      <c r="FD1114" s="0"/>
      <c r="FE1114" s="0"/>
      <c r="FF1114" s="0"/>
      <c r="FG1114" s="0"/>
      <c r="FH1114" s="0"/>
      <c r="FI1114" s="0"/>
      <c r="FJ1114" s="0"/>
      <c r="FK1114" s="0"/>
      <c r="FL1114" s="0"/>
      <c r="FM1114" s="0"/>
      <c r="FN1114" s="0"/>
      <c r="FO1114" s="0"/>
      <c r="FP1114" s="0"/>
      <c r="FQ1114" s="0"/>
      <c r="FR1114" s="0"/>
      <c r="FS1114" s="0"/>
      <c r="FT1114" s="0"/>
      <c r="FU1114" s="0"/>
      <c r="FV1114" s="0"/>
      <c r="FW1114" s="0"/>
      <c r="FX1114" s="0"/>
      <c r="FY1114" s="0"/>
      <c r="FZ1114" s="0"/>
      <c r="GA1114" s="0"/>
      <c r="GB1114" s="0"/>
      <c r="GC1114" s="0"/>
      <c r="GD1114" s="0"/>
      <c r="GE1114" s="0"/>
      <c r="GF1114" s="0"/>
      <c r="GG1114" s="0"/>
      <c r="GH1114" s="0"/>
      <c r="GI1114" s="0"/>
      <c r="GJ1114" s="0"/>
      <c r="GK1114" s="0"/>
      <c r="GL1114" s="0"/>
      <c r="GM1114" s="0"/>
      <c r="GN1114" s="0"/>
      <c r="GO1114" s="0"/>
      <c r="GP1114" s="0"/>
      <c r="GQ1114" s="0"/>
      <c r="GR1114" s="0"/>
      <c r="GS1114" s="0"/>
      <c r="GT1114" s="0"/>
      <c r="GU1114" s="0"/>
      <c r="GV1114" s="0"/>
      <c r="GW1114" s="0"/>
      <c r="GX1114" s="0"/>
      <c r="GY1114" s="0"/>
      <c r="GZ1114" s="0"/>
      <c r="HA1114" s="0"/>
      <c r="HB1114" s="0"/>
      <c r="HC1114" s="0"/>
      <c r="HD1114" s="0"/>
      <c r="HE1114" s="0"/>
      <c r="HF1114" s="0"/>
      <c r="HG1114" s="0"/>
      <c r="HH1114" s="0"/>
      <c r="HI1114" s="0"/>
      <c r="HJ1114" s="0"/>
      <c r="HK1114" s="0"/>
      <c r="HL1114" s="0"/>
      <c r="HM1114" s="0"/>
      <c r="HN1114" s="0"/>
      <c r="HO1114" s="0"/>
      <c r="HP1114" s="0"/>
      <c r="HQ1114" s="0"/>
      <c r="HR1114" s="0"/>
      <c r="HS1114" s="0"/>
      <c r="HT1114" s="0"/>
      <c r="HU1114" s="0"/>
      <c r="HV1114" s="0"/>
      <c r="HW1114" s="0"/>
      <c r="HX1114" s="0"/>
      <c r="HY1114" s="0"/>
      <c r="HZ1114" s="0"/>
      <c r="IA1114" s="0"/>
      <c r="IB1114" s="0"/>
      <c r="IC1114" s="0"/>
      <c r="ID1114" s="0"/>
      <c r="IE1114" s="0"/>
      <c r="IF1114" s="0"/>
      <c r="IG1114" s="0"/>
      <c r="IH1114" s="0"/>
      <c r="II1114" s="0"/>
      <c r="IJ1114" s="0"/>
      <c r="IK1114" s="0"/>
      <c r="IL1114" s="0"/>
      <c r="IM1114" s="0"/>
      <c r="IN1114" s="0"/>
      <c r="IO1114" s="0"/>
      <c r="IP1114" s="0"/>
      <c r="IQ1114" s="0"/>
      <c r="IR1114" s="0"/>
      <c r="IS1114" s="0"/>
      <c r="IT1114" s="0"/>
      <c r="IU1114" s="0"/>
      <c r="IV1114" s="0"/>
    </row>
    <row r="1115" customFormat="false" ht="16.5" hidden="false" customHeight="true" outlineLevel="0" collapsed="false">
      <c r="A1115" s="1320"/>
      <c r="B1115" s="307"/>
      <c r="E1115" s="1321"/>
      <c r="F1115" s="1259" t="s">
        <v>287</v>
      </c>
      <c r="G1115" s="19"/>
      <c r="H1115" s="19"/>
      <c r="I1115" s="1322" t="s">
        <v>254</v>
      </c>
      <c r="J1115" s="1323" t="n">
        <f aca="false">IF(I1115="oui",1,0)</f>
        <v>0</v>
      </c>
      <c r="K1115" s="1317"/>
      <c r="L1115" s="654"/>
      <c r="M1115" s="0"/>
      <c r="AG1115" s="0"/>
      <c r="AH1115" s="0"/>
      <c r="AI1115" s="0"/>
      <c r="AJ1115" s="0"/>
      <c r="AK1115" s="0"/>
      <c r="AL1115" s="0"/>
      <c r="AM1115" s="0"/>
      <c r="AN1115" s="0"/>
      <c r="AO1115" s="0"/>
      <c r="AP1115" s="0"/>
      <c r="AQ1115" s="0"/>
      <c r="AR1115" s="0"/>
      <c r="AS1115" s="0"/>
      <c r="AT1115" s="0"/>
      <c r="AU1115" s="0"/>
      <c r="AV1115" s="0"/>
      <c r="AW1115" s="0"/>
      <c r="AX1115" s="0"/>
      <c r="AY1115" s="0"/>
      <c r="AZ1115" s="0"/>
      <c r="BA1115" s="0"/>
      <c r="BB1115" s="0"/>
      <c r="BC1115" s="0"/>
      <c r="BD1115" s="0"/>
      <c r="BE1115" s="0"/>
      <c r="BF1115" s="0"/>
      <c r="BG1115" s="0"/>
      <c r="BH1115" s="0"/>
      <c r="BI1115" s="0"/>
      <c r="BJ1115" s="0"/>
      <c r="BK1115" s="0"/>
      <c r="BL1115" s="0"/>
      <c r="BM1115" s="0"/>
      <c r="BN1115" s="0"/>
      <c r="BO1115" s="0"/>
      <c r="BP1115" s="0"/>
      <c r="BQ1115" s="0"/>
      <c r="BR1115" s="0"/>
      <c r="BS1115" s="0"/>
      <c r="BT1115" s="0"/>
      <c r="BU1115" s="0"/>
      <c r="BV1115" s="0"/>
      <c r="BW1115" s="0"/>
      <c r="BX1115" s="0"/>
      <c r="BY1115" s="0"/>
      <c r="BZ1115" s="0"/>
      <c r="CA1115" s="0"/>
      <c r="CB1115" s="0"/>
      <c r="CC1115" s="0"/>
      <c r="CD1115" s="0"/>
      <c r="CE1115" s="0"/>
      <c r="CF1115" s="0"/>
      <c r="CG1115" s="0"/>
      <c r="CH1115" s="0"/>
      <c r="CI1115" s="0"/>
      <c r="CJ1115" s="0"/>
      <c r="CK1115" s="0"/>
      <c r="CL1115" s="0"/>
      <c r="CM1115" s="0"/>
      <c r="CN1115" s="0"/>
      <c r="CO1115" s="0"/>
      <c r="CP1115" s="0"/>
      <c r="CQ1115" s="0"/>
      <c r="CR1115" s="0"/>
      <c r="CS1115" s="0"/>
      <c r="CT1115" s="0"/>
      <c r="CU1115" s="0"/>
      <c r="CV1115" s="0"/>
      <c r="CW1115" s="0"/>
      <c r="CX1115" s="0"/>
      <c r="CY1115" s="0"/>
      <c r="CZ1115" s="0"/>
      <c r="DA1115" s="0"/>
      <c r="DB1115" s="0"/>
      <c r="DC1115" s="0"/>
      <c r="DD1115" s="0"/>
      <c r="DE1115" s="0"/>
      <c r="DF1115" s="0"/>
      <c r="DG1115" s="0"/>
      <c r="DH1115" s="0"/>
      <c r="DI1115" s="0"/>
      <c r="DJ1115" s="0"/>
      <c r="DK1115" s="0"/>
      <c r="DL1115" s="0"/>
      <c r="DM1115" s="0"/>
      <c r="DN1115" s="0"/>
      <c r="DO1115" s="0"/>
      <c r="DP1115" s="0"/>
      <c r="DQ1115" s="0"/>
      <c r="DR1115" s="0"/>
      <c r="DS1115" s="0"/>
      <c r="DT1115" s="0"/>
      <c r="DU1115" s="0"/>
      <c r="DV1115" s="0"/>
      <c r="DW1115" s="0"/>
      <c r="DX1115" s="0"/>
      <c r="DY1115" s="0"/>
      <c r="DZ1115" s="0"/>
      <c r="EA1115" s="0"/>
      <c r="EB1115" s="0"/>
      <c r="EC1115" s="0"/>
      <c r="ED1115" s="0"/>
      <c r="EE1115" s="0"/>
      <c r="EF1115" s="0"/>
      <c r="EG1115" s="0"/>
      <c r="EH1115" s="0"/>
      <c r="EI1115" s="0"/>
      <c r="EJ1115" s="0"/>
      <c r="EK1115" s="0"/>
      <c r="EL1115" s="0"/>
      <c r="EM1115" s="0"/>
      <c r="EN1115" s="0"/>
      <c r="EO1115" s="0"/>
      <c r="EP1115" s="0"/>
      <c r="EQ1115" s="0"/>
      <c r="ER1115" s="0"/>
      <c r="ES1115" s="0"/>
      <c r="ET1115" s="0"/>
      <c r="EU1115" s="0"/>
      <c r="EV1115" s="0"/>
      <c r="EW1115" s="0"/>
      <c r="EX1115" s="0"/>
      <c r="EY1115" s="0"/>
      <c r="EZ1115" s="0"/>
      <c r="FA1115" s="0"/>
      <c r="FB1115" s="0"/>
      <c r="FC1115" s="0"/>
      <c r="FD1115" s="0"/>
      <c r="FE1115" s="0"/>
      <c r="FF1115" s="0"/>
      <c r="FG1115" s="0"/>
      <c r="FH1115" s="0"/>
      <c r="FI1115" s="0"/>
      <c r="FJ1115" s="0"/>
      <c r="FK1115" s="0"/>
      <c r="FL1115" s="0"/>
      <c r="FM1115" s="0"/>
      <c r="FN1115" s="0"/>
      <c r="FO1115" s="0"/>
      <c r="FP1115" s="0"/>
      <c r="FQ1115" s="0"/>
      <c r="FR1115" s="0"/>
      <c r="FS1115" s="0"/>
      <c r="FT1115" s="0"/>
      <c r="FU1115" s="0"/>
      <c r="FV1115" s="0"/>
      <c r="FW1115" s="0"/>
      <c r="FX1115" s="0"/>
      <c r="FY1115" s="0"/>
      <c r="FZ1115" s="0"/>
      <c r="GA1115" s="0"/>
      <c r="GB1115" s="0"/>
      <c r="GC1115" s="0"/>
      <c r="GD1115" s="0"/>
      <c r="GE1115" s="0"/>
      <c r="GF1115" s="0"/>
      <c r="GG1115" s="0"/>
      <c r="GH1115" s="0"/>
      <c r="GI1115" s="0"/>
      <c r="GJ1115" s="0"/>
      <c r="GK1115" s="0"/>
      <c r="GL1115" s="0"/>
      <c r="GM1115" s="0"/>
      <c r="GN1115" s="0"/>
      <c r="GO1115" s="0"/>
      <c r="GP1115" s="0"/>
      <c r="GQ1115" s="0"/>
      <c r="GR1115" s="0"/>
      <c r="GS1115" s="0"/>
      <c r="GT1115" s="0"/>
      <c r="GU1115" s="0"/>
      <c r="GV1115" s="0"/>
      <c r="GW1115" s="0"/>
      <c r="GX1115" s="0"/>
      <c r="GY1115" s="0"/>
      <c r="GZ1115" s="0"/>
      <c r="HA1115" s="0"/>
      <c r="HB1115" s="0"/>
      <c r="HC1115" s="0"/>
      <c r="HD1115" s="0"/>
      <c r="HE1115" s="0"/>
      <c r="HF1115" s="0"/>
      <c r="HG1115" s="0"/>
      <c r="HH1115" s="0"/>
      <c r="HI1115" s="0"/>
      <c r="HJ1115" s="0"/>
      <c r="HK1115" s="0"/>
      <c r="HL1115" s="0"/>
      <c r="HM1115" s="0"/>
      <c r="HN1115" s="0"/>
      <c r="HO1115" s="0"/>
      <c r="HP1115" s="0"/>
      <c r="HQ1115" s="0"/>
      <c r="HR1115" s="0"/>
      <c r="HS1115" s="0"/>
      <c r="HT1115" s="0"/>
      <c r="HU1115" s="0"/>
      <c r="HV1115" s="0"/>
      <c r="HW1115" s="0"/>
      <c r="HX1115" s="0"/>
      <c r="HY1115" s="0"/>
      <c r="HZ1115" s="0"/>
      <c r="IA1115" s="0"/>
      <c r="IB1115" s="0"/>
      <c r="IC1115" s="0"/>
      <c r="ID1115" s="0"/>
      <c r="IE1115" s="0"/>
      <c r="IF1115" s="0"/>
      <c r="IG1115" s="0"/>
      <c r="IH1115" s="0"/>
      <c r="II1115" s="0"/>
      <c r="IJ1115" s="0"/>
      <c r="IK1115" s="0"/>
      <c r="IL1115" s="0"/>
      <c r="IM1115" s="0"/>
      <c r="IN1115" s="0"/>
      <c r="IO1115" s="0"/>
      <c r="IP1115" s="0"/>
      <c r="IQ1115" s="0"/>
      <c r="IR1115" s="0"/>
      <c r="IS1115" s="0"/>
      <c r="IT1115" s="0"/>
      <c r="IU1115" s="0"/>
      <c r="IV1115" s="0"/>
    </row>
    <row r="1116" customFormat="false" ht="16.5" hidden="false" customHeight="true" outlineLevel="0" collapsed="false">
      <c r="A1116" s="1320"/>
      <c r="B1116" s="307"/>
      <c r="E1116" s="1321"/>
      <c r="F1116" s="1320" t="s">
        <v>288</v>
      </c>
      <c r="G1116" s="19"/>
      <c r="H1116" s="19"/>
      <c r="I1116" s="1322" t="s">
        <v>254</v>
      </c>
      <c r="J1116" s="1323" t="n">
        <f aca="false">IF(I1116="oui",1,0)</f>
        <v>0</v>
      </c>
      <c r="K1116" s="1317"/>
      <c r="L1116" s="654"/>
      <c r="M1116" s="0"/>
      <c r="AG1116" s="0"/>
      <c r="AH1116" s="0"/>
      <c r="AI1116" s="0"/>
      <c r="AJ1116" s="0"/>
      <c r="AK1116" s="0"/>
      <c r="AL1116" s="0"/>
      <c r="AM1116" s="0"/>
      <c r="AN1116" s="0"/>
      <c r="AO1116" s="0"/>
      <c r="AP1116" s="0"/>
      <c r="AQ1116" s="0"/>
      <c r="AR1116" s="0"/>
      <c r="AS1116" s="0"/>
      <c r="AT1116" s="0"/>
      <c r="AU1116" s="0"/>
      <c r="AV1116" s="0"/>
      <c r="AW1116" s="0"/>
      <c r="AX1116" s="0"/>
      <c r="AY1116" s="0"/>
      <c r="AZ1116" s="0"/>
      <c r="BA1116" s="0"/>
      <c r="BB1116" s="0"/>
      <c r="BC1116" s="0"/>
      <c r="BD1116" s="0"/>
      <c r="BE1116" s="0"/>
      <c r="BF1116" s="0"/>
      <c r="BG1116" s="0"/>
      <c r="BH1116" s="0"/>
      <c r="BI1116" s="0"/>
      <c r="BJ1116" s="0"/>
      <c r="BK1116" s="0"/>
      <c r="BL1116" s="0"/>
      <c r="BM1116" s="0"/>
      <c r="BN1116" s="0"/>
      <c r="BO1116" s="0"/>
      <c r="BP1116" s="0"/>
      <c r="BQ1116" s="0"/>
      <c r="BR1116" s="0"/>
      <c r="BS1116" s="0"/>
      <c r="BT1116" s="0"/>
      <c r="BU1116" s="0"/>
      <c r="BV1116" s="0"/>
      <c r="BW1116" s="0"/>
      <c r="BX1116" s="0"/>
      <c r="BY1116" s="0"/>
      <c r="BZ1116" s="0"/>
      <c r="CA1116" s="0"/>
      <c r="CB1116" s="0"/>
      <c r="CC1116" s="0"/>
      <c r="CD1116" s="0"/>
      <c r="CE1116" s="0"/>
      <c r="CF1116" s="0"/>
      <c r="CG1116" s="0"/>
      <c r="CH1116" s="0"/>
      <c r="CI1116" s="0"/>
      <c r="CJ1116" s="0"/>
      <c r="CK1116" s="0"/>
      <c r="CL1116" s="0"/>
      <c r="CM1116" s="0"/>
      <c r="CN1116" s="0"/>
      <c r="CO1116" s="0"/>
      <c r="CP1116" s="0"/>
      <c r="CQ1116" s="0"/>
      <c r="CR1116" s="0"/>
      <c r="CS1116" s="0"/>
      <c r="CT1116" s="0"/>
      <c r="CU1116" s="0"/>
      <c r="CV1116" s="0"/>
      <c r="CW1116" s="0"/>
      <c r="CX1116" s="0"/>
      <c r="CY1116" s="0"/>
      <c r="CZ1116" s="0"/>
      <c r="DA1116" s="0"/>
      <c r="DB1116" s="0"/>
      <c r="DC1116" s="0"/>
      <c r="DD1116" s="0"/>
      <c r="DE1116" s="0"/>
      <c r="DF1116" s="0"/>
      <c r="DG1116" s="0"/>
      <c r="DH1116" s="0"/>
      <c r="DI1116" s="0"/>
      <c r="DJ1116" s="0"/>
      <c r="DK1116" s="0"/>
      <c r="DL1116" s="0"/>
      <c r="DM1116" s="0"/>
      <c r="DN1116" s="0"/>
      <c r="DO1116" s="0"/>
      <c r="DP1116" s="0"/>
      <c r="DQ1116" s="0"/>
      <c r="DR1116" s="0"/>
      <c r="DS1116" s="0"/>
      <c r="DT1116" s="0"/>
      <c r="DU1116" s="0"/>
      <c r="DV1116" s="0"/>
      <c r="DW1116" s="0"/>
      <c r="DX1116" s="0"/>
      <c r="DY1116" s="0"/>
      <c r="DZ1116" s="0"/>
      <c r="EA1116" s="0"/>
      <c r="EB1116" s="0"/>
      <c r="EC1116" s="0"/>
      <c r="ED1116" s="0"/>
      <c r="EE1116" s="0"/>
      <c r="EF1116" s="0"/>
      <c r="EG1116" s="0"/>
      <c r="EH1116" s="0"/>
      <c r="EI1116" s="0"/>
      <c r="EJ1116" s="0"/>
      <c r="EK1116" s="0"/>
      <c r="EL1116" s="0"/>
      <c r="EM1116" s="0"/>
      <c r="EN1116" s="0"/>
      <c r="EO1116" s="0"/>
      <c r="EP1116" s="0"/>
      <c r="EQ1116" s="0"/>
      <c r="ER1116" s="0"/>
      <c r="ES1116" s="0"/>
      <c r="ET1116" s="0"/>
      <c r="EU1116" s="0"/>
      <c r="EV1116" s="0"/>
      <c r="EW1116" s="0"/>
      <c r="EX1116" s="0"/>
      <c r="EY1116" s="0"/>
      <c r="EZ1116" s="0"/>
      <c r="FA1116" s="0"/>
      <c r="FB1116" s="0"/>
      <c r="FC1116" s="0"/>
      <c r="FD1116" s="0"/>
      <c r="FE1116" s="0"/>
      <c r="FF1116" s="0"/>
      <c r="FG1116" s="0"/>
      <c r="FH1116" s="0"/>
      <c r="FI1116" s="0"/>
      <c r="FJ1116" s="0"/>
      <c r="FK1116" s="0"/>
      <c r="FL1116" s="0"/>
      <c r="FM1116" s="0"/>
      <c r="FN1116" s="0"/>
      <c r="FO1116" s="0"/>
      <c r="FP1116" s="0"/>
      <c r="FQ1116" s="0"/>
      <c r="FR1116" s="0"/>
      <c r="FS1116" s="0"/>
      <c r="FT1116" s="0"/>
      <c r="FU1116" s="0"/>
      <c r="FV1116" s="0"/>
      <c r="FW1116" s="0"/>
      <c r="FX1116" s="0"/>
      <c r="FY1116" s="0"/>
      <c r="FZ1116" s="0"/>
      <c r="GA1116" s="0"/>
      <c r="GB1116" s="0"/>
      <c r="GC1116" s="0"/>
      <c r="GD1116" s="0"/>
      <c r="GE1116" s="0"/>
      <c r="GF1116" s="0"/>
      <c r="GG1116" s="0"/>
      <c r="GH1116" s="0"/>
      <c r="GI1116" s="0"/>
      <c r="GJ1116" s="0"/>
      <c r="GK1116" s="0"/>
      <c r="GL1116" s="0"/>
      <c r="GM1116" s="0"/>
      <c r="GN1116" s="0"/>
      <c r="GO1116" s="0"/>
      <c r="GP1116" s="0"/>
      <c r="GQ1116" s="0"/>
      <c r="GR1116" s="0"/>
      <c r="GS1116" s="0"/>
      <c r="GT1116" s="0"/>
      <c r="GU1116" s="0"/>
      <c r="GV1116" s="0"/>
      <c r="GW1116" s="0"/>
      <c r="GX1116" s="0"/>
      <c r="GY1116" s="0"/>
      <c r="GZ1116" s="0"/>
      <c r="HA1116" s="0"/>
      <c r="HB1116" s="0"/>
      <c r="HC1116" s="0"/>
      <c r="HD1116" s="0"/>
      <c r="HE1116" s="0"/>
      <c r="HF1116" s="0"/>
      <c r="HG1116" s="0"/>
      <c r="HH1116" s="0"/>
      <c r="HI1116" s="0"/>
      <c r="HJ1116" s="0"/>
      <c r="HK1116" s="0"/>
      <c r="HL1116" s="0"/>
      <c r="HM1116" s="0"/>
      <c r="HN1116" s="0"/>
      <c r="HO1116" s="0"/>
      <c r="HP1116" s="0"/>
      <c r="HQ1116" s="0"/>
      <c r="HR1116" s="0"/>
      <c r="HS1116" s="0"/>
      <c r="HT1116" s="0"/>
      <c r="HU1116" s="0"/>
      <c r="HV1116" s="0"/>
      <c r="HW1116" s="0"/>
      <c r="HX1116" s="0"/>
      <c r="HY1116" s="0"/>
      <c r="HZ1116" s="0"/>
      <c r="IA1116" s="0"/>
      <c r="IB1116" s="0"/>
      <c r="IC1116" s="0"/>
      <c r="ID1116" s="0"/>
      <c r="IE1116" s="0"/>
      <c r="IF1116" s="0"/>
      <c r="IG1116" s="0"/>
      <c r="IH1116" s="0"/>
      <c r="II1116" s="0"/>
      <c r="IJ1116" s="0"/>
      <c r="IK1116" s="0"/>
      <c r="IL1116" s="0"/>
      <c r="IM1116" s="0"/>
      <c r="IN1116" s="0"/>
      <c r="IO1116" s="0"/>
      <c r="IP1116" s="0"/>
      <c r="IQ1116" s="0"/>
      <c r="IR1116" s="0"/>
      <c r="IS1116" s="0"/>
      <c r="IT1116" s="0"/>
      <c r="IU1116" s="0"/>
      <c r="IV1116" s="0"/>
    </row>
    <row r="1117" customFormat="false" ht="16.5" hidden="false" customHeight="true" outlineLevel="0" collapsed="false">
      <c r="B1117" s="307"/>
      <c r="D1117" s="307"/>
      <c r="F1117" s="15" t="s">
        <v>289</v>
      </c>
      <c r="G1117" s="1258"/>
      <c r="H1117" s="1258"/>
      <c r="I1117" s="1258"/>
      <c r="J1117" s="667"/>
      <c r="K1117" s="1317"/>
      <c r="L1117" s="654"/>
      <c r="M1117" s="0"/>
      <c r="AG1117" s="0"/>
      <c r="AH1117" s="0"/>
      <c r="AI1117" s="0"/>
      <c r="AJ1117" s="0"/>
      <c r="AK1117" s="0"/>
      <c r="AL1117" s="0"/>
      <c r="AM1117" s="0"/>
      <c r="AN1117" s="0"/>
      <c r="AO1117" s="0"/>
      <c r="AP1117" s="0"/>
      <c r="AQ1117" s="0"/>
      <c r="AR1117" s="0"/>
      <c r="AS1117" s="0"/>
      <c r="AT1117" s="0"/>
      <c r="AU1117" s="0"/>
      <c r="AV1117" s="0"/>
      <c r="AW1117" s="0"/>
      <c r="AX1117" s="0"/>
      <c r="AY1117" s="0"/>
      <c r="AZ1117" s="0"/>
      <c r="BA1117" s="0"/>
      <c r="BB1117" s="0"/>
      <c r="BC1117" s="0"/>
      <c r="BD1117" s="0"/>
      <c r="BE1117" s="0"/>
      <c r="BF1117" s="0"/>
      <c r="BG1117" s="0"/>
      <c r="BH1117" s="0"/>
      <c r="BI1117" s="0"/>
      <c r="BJ1117" s="0"/>
      <c r="BK1117" s="0"/>
      <c r="BL1117" s="0"/>
      <c r="BM1117" s="0"/>
      <c r="BN1117" s="0"/>
      <c r="BO1117" s="0"/>
      <c r="BP1117" s="0"/>
      <c r="BQ1117" s="0"/>
      <c r="BR1117" s="0"/>
      <c r="BS1117" s="0"/>
      <c r="BT1117" s="0"/>
      <c r="BU1117" s="0"/>
      <c r="BV1117" s="0"/>
      <c r="BW1117" s="0"/>
      <c r="BX1117" s="0"/>
      <c r="BY1117" s="0"/>
      <c r="BZ1117" s="0"/>
      <c r="CA1117" s="0"/>
      <c r="CB1117" s="0"/>
      <c r="CC1117" s="0"/>
      <c r="CD1117" s="0"/>
      <c r="CE1117" s="0"/>
      <c r="CF1117" s="0"/>
      <c r="CG1117" s="0"/>
      <c r="CH1117" s="0"/>
      <c r="CI1117" s="0"/>
      <c r="CJ1117" s="0"/>
      <c r="CK1117" s="0"/>
      <c r="CL1117" s="0"/>
      <c r="CM1117" s="0"/>
      <c r="CN1117" s="0"/>
      <c r="CO1117" s="0"/>
      <c r="CP1117" s="0"/>
      <c r="CQ1117" s="0"/>
      <c r="CR1117" s="0"/>
      <c r="CS1117" s="0"/>
      <c r="CT1117" s="0"/>
      <c r="CU1117" s="0"/>
      <c r="CV1117" s="0"/>
      <c r="CW1117" s="0"/>
      <c r="CX1117" s="0"/>
      <c r="CY1117" s="0"/>
      <c r="CZ1117" s="0"/>
      <c r="DA1117" s="0"/>
      <c r="DB1117" s="0"/>
      <c r="DC1117" s="0"/>
      <c r="DD1117" s="0"/>
      <c r="DE1117" s="0"/>
      <c r="DF1117" s="0"/>
      <c r="DG1117" s="0"/>
      <c r="DH1117" s="0"/>
      <c r="DI1117" s="0"/>
      <c r="DJ1117" s="0"/>
      <c r="DK1117" s="0"/>
      <c r="DL1117" s="0"/>
      <c r="DM1117" s="0"/>
      <c r="DN1117" s="0"/>
      <c r="DO1117" s="0"/>
      <c r="DP1117" s="0"/>
      <c r="DQ1117" s="0"/>
      <c r="DR1117" s="0"/>
      <c r="DS1117" s="0"/>
      <c r="DT1117" s="0"/>
      <c r="DU1117" s="0"/>
      <c r="DV1117" s="0"/>
      <c r="DW1117" s="0"/>
      <c r="DX1117" s="0"/>
      <c r="DY1117" s="0"/>
      <c r="DZ1117" s="0"/>
      <c r="EA1117" s="0"/>
      <c r="EB1117" s="0"/>
      <c r="EC1117" s="0"/>
      <c r="ED1117" s="0"/>
      <c r="EE1117" s="0"/>
      <c r="EF1117" s="0"/>
      <c r="EG1117" s="0"/>
      <c r="EH1117" s="0"/>
      <c r="EI1117" s="0"/>
      <c r="EJ1117" s="0"/>
      <c r="EK1117" s="0"/>
      <c r="EL1117" s="0"/>
      <c r="EM1117" s="0"/>
      <c r="EN1117" s="0"/>
      <c r="EO1117" s="0"/>
      <c r="EP1117" s="0"/>
      <c r="EQ1117" s="0"/>
      <c r="ER1117" s="0"/>
      <c r="ES1117" s="0"/>
      <c r="ET1117" s="0"/>
      <c r="EU1117" s="0"/>
      <c r="EV1117" s="0"/>
      <c r="EW1117" s="0"/>
      <c r="EX1117" s="0"/>
      <c r="EY1117" s="0"/>
      <c r="EZ1117" s="0"/>
      <c r="FA1117" s="0"/>
      <c r="FB1117" s="0"/>
      <c r="FC1117" s="0"/>
      <c r="FD1117" s="0"/>
      <c r="FE1117" s="0"/>
      <c r="FF1117" s="0"/>
      <c r="FG1117" s="0"/>
      <c r="FH1117" s="0"/>
      <c r="FI1117" s="0"/>
      <c r="FJ1117" s="0"/>
      <c r="FK1117" s="0"/>
      <c r="FL1117" s="0"/>
      <c r="FM1117" s="0"/>
      <c r="FN1117" s="0"/>
      <c r="FO1117" s="0"/>
      <c r="FP1117" s="0"/>
      <c r="FQ1117" s="0"/>
      <c r="FR1117" s="0"/>
      <c r="FS1117" s="0"/>
      <c r="FT1117" s="0"/>
      <c r="FU1117" s="0"/>
      <c r="FV1117" s="0"/>
      <c r="FW1117" s="0"/>
      <c r="FX1117" s="0"/>
      <c r="FY1117" s="0"/>
      <c r="FZ1117" s="0"/>
      <c r="GA1117" s="0"/>
      <c r="GB1117" s="0"/>
      <c r="GC1117" s="0"/>
      <c r="GD1117" s="0"/>
      <c r="GE1117" s="0"/>
      <c r="GF1117" s="0"/>
      <c r="GG1117" s="0"/>
      <c r="GH1117" s="0"/>
      <c r="GI1117" s="0"/>
      <c r="GJ1117" s="0"/>
      <c r="GK1117" s="0"/>
      <c r="GL1117" s="0"/>
      <c r="GM1117" s="0"/>
      <c r="GN1117" s="0"/>
      <c r="GO1117" s="0"/>
      <c r="GP1117" s="0"/>
      <c r="GQ1117" s="0"/>
      <c r="GR1117" s="0"/>
      <c r="GS1117" s="0"/>
      <c r="GT1117" s="0"/>
      <c r="GU1117" s="0"/>
      <c r="GV1117" s="0"/>
      <c r="GW1117" s="0"/>
      <c r="GX1117" s="0"/>
      <c r="GY1117" s="0"/>
      <c r="GZ1117" s="0"/>
      <c r="HA1117" s="0"/>
      <c r="HB1117" s="0"/>
      <c r="HC1117" s="0"/>
      <c r="HD1117" s="0"/>
      <c r="HE1117" s="0"/>
      <c r="HF1117" s="0"/>
      <c r="HG1117" s="0"/>
      <c r="HH1117" s="0"/>
      <c r="HI1117" s="0"/>
      <c r="HJ1117" s="0"/>
      <c r="HK1117" s="0"/>
      <c r="HL1117" s="0"/>
      <c r="HM1117" s="0"/>
      <c r="HN1117" s="0"/>
      <c r="HO1117" s="0"/>
      <c r="HP1117" s="0"/>
      <c r="HQ1117" s="0"/>
      <c r="HR1117" s="0"/>
      <c r="HS1117" s="0"/>
      <c r="HT1117" s="0"/>
      <c r="HU1117" s="0"/>
      <c r="HV1117" s="0"/>
      <c r="HW1117" s="0"/>
      <c r="HX1117" s="0"/>
      <c r="HY1117" s="0"/>
      <c r="HZ1117" s="0"/>
      <c r="IA1117" s="0"/>
      <c r="IB1117" s="0"/>
      <c r="IC1117" s="0"/>
      <c r="ID1117" s="0"/>
      <c r="IE1117" s="0"/>
      <c r="IF1117" s="0"/>
      <c r="IG1117" s="0"/>
      <c r="IH1117" s="0"/>
      <c r="II1117" s="0"/>
      <c r="IJ1117" s="0"/>
      <c r="IK1117" s="0"/>
      <c r="IL1117" s="0"/>
      <c r="IM1117" s="0"/>
      <c r="IN1117" s="0"/>
      <c r="IO1117" s="0"/>
      <c r="IP1117" s="0"/>
      <c r="IQ1117" s="0"/>
      <c r="IR1117" s="0"/>
      <c r="IS1117" s="0"/>
      <c r="IT1117" s="0"/>
      <c r="IU1117" s="0"/>
      <c r="IV1117" s="0"/>
    </row>
    <row r="1118" customFormat="false" ht="15" hidden="false" customHeight="true" outlineLevel="0" collapsed="false">
      <c r="A1118" s="19"/>
      <c r="B1118" s="19"/>
      <c r="C1118" s="19"/>
      <c r="D1118" s="19"/>
      <c r="E1118" s="19"/>
      <c r="J1118" s="11"/>
      <c r="K1118" s="1317"/>
      <c r="L1118" s="654"/>
      <c r="M1118" s="0"/>
      <c r="N1118" s="0"/>
      <c r="O1118" s="0"/>
      <c r="P1118" s="0"/>
      <c r="Q1118" s="0"/>
      <c r="R1118" s="0"/>
      <c r="S1118" s="0"/>
      <c r="T1118" s="0"/>
      <c r="U1118" s="0"/>
      <c r="V1118" s="0"/>
      <c r="W1118" s="0"/>
      <c r="X1118" s="0"/>
      <c r="Y1118" s="0"/>
      <c r="Z1118" s="0"/>
      <c r="AA1118" s="0"/>
      <c r="AB1118" s="0"/>
      <c r="AC1118" s="0"/>
      <c r="AD1118" s="0"/>
      <c r="AE1118" s="0"/>
      <c r="AF1118" s="0"/>
      <c r="AG1118" s="0"/>
      <c r="AH1118" s="0"/>
      <c r="AI1118" s="0"/>
      <c r="AJ1118" s="0"/>
      <c r="AK1118" s="0"/>
      <c r="AL1118" s="0"/>
      <c r="AM1118" s="0"/>
      <c r="AN1118" s="0"/>
      <c r="AO1118" s="0"/>
      <c r="AP1118" s="0"/>
      <c r="AQ1118" s="0"/>
      <c r="AR1118" s="0"/>
      <c r="AS1118" s="0"/>
      <c r="AT1118" s="0"/>
      <c r="AU1118" s="0"/>
      <c r="AV1118" s="0"/>
      <c r="AW1118" s="0"/>
      <c r="AX1118" s="0"/>
      <c r="AY1118" s="0"/>
      <c r="AZ1118" s="0"/>
      <c r="BA1118" s="0"/>
      <c r="BB1118" s="0"/>
      <c r="BC1118" s="0"/>
      <c r="BD1118" s="0"/>
      <c r="BE1118" s="0"/>
      <c r="BF1118" s="0"/>
      <c r="BG1118" s="0"/>
      <c r="BH1118" s="0"/>
      <c r="BI1118" s="0"/>
      <c r="BJ1118" s="0"/>
      <c r="BK1118" s="0"/>
      <c r="BL1118" s="0"/>
      <c r="BM1118" s="0"/>
      <c r="BN1118" s="0"/>
      <c r="BO1118" s="0"/>
      <c r="BP1118" s="0"/>
      <c r="BQ1118" s="0"/>
      <c r="BR1118" s="0"/>
      <c r="BS1118" s="0"/>
      <c r="BT1118" s="0"/>
      <c r="BU1118" s="0"/>
      <c r="BV1118" s="0"/>
      <c r="BW1118" s="0"/>
      <c r="BX1118" s="0"/>
      <c r="BY1118" s="0"/>
      <c r="BZ1118" s="0"/>
      <c r="CA1118" s="0"/>
      <c r="CB1118" s="0"/>
      <c r="CC1118" s="0"/>
      <c r="CD1118" s="0"/>
      <c r="CE1118" s="0"/>
      <c r="CF1118" s="0"/>
      <c r="CG1118" s="0"/>
      <c r="CH1118" s="0"/>
      <c r="CI1118" s="0"/>
      <c r="CJ1118" s="0"/>
      <c r="CK1118" s="0"/>
      <c r="CL1118" s="0"/>
      <c r="CM1118" s="0"/>
      <c r="CN1118" s="0"/>
      <c r="CO1118" s="0"/>
      <c r="CP1118" s="0"/>
      <c r="CQ1118" s="0"/>
      <c r="CR1118" s="0"/>
      <c r="CS1118" s="0"/>
      <c r="CT1118" s="0"/>
      <c r="CU1118" s="0"/>
      <c r="CV1118" s="0"/>
      <c r="CW1118" s="0"/>
      <c r="CX1118" s="0"/>
      <c r="CY1118" s="0"/>
      <c r="CZ1118" s="0"/>
      <c r="DA1118" s="0"/>
      <c r="DB1118" s="0"/>
      <c r="DC1118" s="0"/>
      <c r="DD1118" s="0"/>
      <c r="DE1118" s="0"/>
      <c r="DF1118" s="0"/>
      <c r="DG1118" s="0"/>
      <c r="DH1118" s="0"/>
      <c r="DI1118" s="0"/>
      <c r="DJ1118" s="0"/>
      <c r="DK1118" s="0"/>
      <c r="DL1118" s="0"/>
      <c r="DM1118" s="0"/>
      <c r="DN1118" s="0"/>
      <c r="DO1118" s="0"/>
      <c r="DP1118" s="0"/>
      <c r="DQ1118" s="0"/>
      <c r="DR1118" s="0"/>
      <c r="DS1118" s="0"/>
      <c r="DT1118" s="0"/>
      <c r="DU1118" s="0"/>
      <c r="DV1118" s="0"/>
      <c r="DW1118" s="0"/>
      <c r="DX1118" s="0"/>
      <c r="DY1118" s="0"/>
      <c r="DZ1118" s="0"/>
      <c r="EA1118" s="0"/>
      <c r="EB1118" s="0"/>
      <c r="EC1118" s="0"/>
      <c r="ED1118" s="0"/>
      <c r="EE1118" s="0"/>
      <c r="EF1118" s="0"/>
      <c r="EG1118" s="0"/>
      <c r="EH1118" s="0"/>
      <c r="EI1118" s="0"/>
      <c r="EJ1118" s="0"/>
      <c r="EK1118" s="0"/>
      <c r="EL1118" s="0"/>
      <c r="EM1118" s="0"/>
      <c r="EN1118" s="0"/>
      <c r="EO1118" s="0"/>
      <c r="EP1118" s="0"/>
      <c r="EQ1118" s="0"/>
      <c r="ER1118" s="0"/>
      <c r="ES1118" s="0"/>
      <c r="ET1118" s="0"/>
      <c r="EU1118" s="0"/>
      <c r="EV1118" s="0"/>
      <c r="EW1118" s="0"/>
      <c r="EX1118" s="0"/>
      <c r="EY1118" s="0"/>
      <c r="EZ1118" s="0"/>
      <c r="FA1118" s="0"/>
      <c r="FB1118" s="0"/>
      <c r="FC1118" s="0"/>
      <c r="FD1118" s="0"/>
      <c r="FE1118" s="0"/>
      <c r="FF1118" s="0"/>
      <c r="FG1118" s="0"/>
      <c r="FH1118" s="0"/>
      <c r="FI1118" s="0"/>
      <c r="FJ1118" s="0"/>
      <c r="FK1118" s="0"/>
      <c r="FL1118" s="0"/>
      <c r="FM1118" s="0"/>
      <c r="FN1118" s="0"/>
      <c r="FO1118" s="0"/>
      <c r="FP1118" s="0"/>
      <c r="FQ1118" s="0"/>
      <c r="FR1118" s="0"/>
      <c r="FS1118" s="0"/>
      <c r="FT1118" s="0"/>
      <c r="FU1118" s="0"/>
      <c r="FV1118" s="0"/>
      <c r="FW1118" s="0"/>
      <c r="FX1118" s="0"/>
      <c r="FY1118" s="0"/>
      <c r="FZ1118" s="0"/>
      <c r="GA1118" s="0"/>
      <c r="GB1118" s="0"/>
      <c r="GC1118" s="0"/>
      <c r="GD1118" s="0"/>
      <c r="GE1118" s="0"/>
      <c r="GF1118" s="0"/>
      <c r="GG1118" s="0"/>
      <c r="GH1118" s="0"/>
      <c r="GI1118" s="0"/>
      <c r="GJ1118" s="0"/>
      <c r="GK1118" s="0"/>
      <c r="GL1118" s="0"/>
      <c r="GM1118" s="0"/>
      <c r="GN1118" s="0"/>
      <c r="GO1118" s="0"/>
      <c r="GP1118" s="0"/>
      <c r="GQ1118" s="0"/>
      <c r="GR1118" s="0"/>
      <c r="GS1118" s="0"/>
      <c r="GT1118" s="0"/>
      <c r="GU1118" s="0"/>
      <c r="GV1118" s="0"/>
      <c r="GW1118" s="0"/>
      <c r="GX1118" s="0"/>
      <c r="GY1118" s="0"/>
      <c r="GZ1118" s="0"/>
      <c r="HA1118" s="0"/>
      <c r="HB1118" s="0"/>
      <c r="HC1118" s="0"/>
      <c r="HD1118" s="0"/>
      <c r="HE1118" s="0"/>
      <c r="HF1118" s="0"/>
      <c r="HG1118" s="0"/>
      <c r="HH1118" s="0"/>
      <c r="HI1118" s="0"/>
      <c r="HJ1118" s="0"/>
      <c r="HK1118" s="0"/>
      <c r="HL1118" s="0"/>
      <c r="HM1118" s="0"/>
      <c r="HN1118" s="0"/>
      <c r="HO1118" s="0"/>
      <c r="HP1118" s="0"/>
      <c r="HQ1118" s="0"/>
      <c r="HR1118" s="0"/>
      <c r="HS1118" s="0"/>
      <c r="HT1118" s="0"/>
      <c r="HU1118" s="0"/>
      <c r="HV1118" s="0"/>
      <c r="HW1118" s="0"/>
      <c r="HX1118" s="0"/>
      <c r="HY1118" s="0"/>
      <c r="HZ1118" s="0"/>
      <c r="IA1118" s="0"/>
      <c r="IB1118" s="0"/>
      <c r="IC1118" s="0"/>
      <c r="ID1118" s="0"/>
      <c r="IE1118" s="0"/>
      <c r="IF1118" s="0"/>
      <c r="IG1118" s="0"/>
      <c r="IH1118" s="0"/>
      <c r="II1118" s="0"/>
      <c r="IJ1118" s="0"/>
      <c r="IK1118" s="0"/>
      <c r="IL1118" s="0"/>
      <c r="IM1118" s="0"/>
      <c r="IN1118" s="0"/>
      <c r="IO1118" s="0"/>
      <c r="IP1118" s="0"/>
      <c r="IQ1118" s="0"/>
      <c r="IR1118" s="0"/>
      <c r="IS1118" s="0"/>
      <c r="IT1118" s="0"/>
      <c r="IU1118" s="0"/>
      <c r="IV1118" s="0"/>
    </row>
    <row r="1119" customFormat="false" ht="15.75" hidden="false" customHeight="true" outlineLevel="0" collapsed="false">
      <c r="A1119" s="18" t="s">
        <v>1729</v>
      </c>
      <c r="B1119" s="19"/>
      <c r="C1119" s="19"/>
      <c r="D1119" s="19"/>
      <c r="E1119" s="19"/>
      <c r="F1119" s="19"/>
      <c r="G1119" s="19"/>
      <c r="H1119" s="19"/>
      <c r="I1119" s="19"/>
      <c r="J1119" s="667"/>
      <c r="K1119" s="1317"/>
      <c r="L1119" s="654"/>
      <c r="M1119" s="0"/>
      <c r="N1119" s="0"/>
      <c r="O1119" s="0"/>
      <c r="P1119" s="0"/>
      <c r="Q1119" s="0"/>
      <c r="R1119" s="0"/>
      <c r="S1119" s="0"/>
      <c r="T1119" s="0"/>
      <c r="U1119" s="0"/>
      <c r="V1119" s="0"/>
      <c r="W1119" s="0"/>
      <c r="X1119" s="0"/>
      <c r="Y1119" s="0"/>
      <c r="Z1119" s="0"/>
      <c r="AA1119" s="0"/>
      <c r="AB1119" s="0"/>
      <c r="AC1119" s="0"/>
      <c r="AD1119" s="0"/>
      <c r="AE1119" s="0"/>
      <c r="AF1119" s="0"/>
      <c r="AG1119" s="0"/>
      <c r="AH1119" s="0"/>
      <c r="AI1119" s="0"/>
      <c r="AJ1119" s="0"/>
      <c r="AK1119" s="0"/>
      <c r="AL1119" s="0"/>
      <c r="AM1119" s="0"/>
      <c r="AN1119" s="0"/>
      <c r="AO1119" s="0"/>
      <c r="AP1119" s="0"/>
      <c r="AQ1119" s="0"/>
      <c r="AR1119" s="0"/>
      <c r="AS1119" s="0"/>
      <c r="AT1119" s="0"/>
      <c r="AU1119" s="0"/>
      <c r="AV1119" s="0"/>
      <c r="AW1119" s="0"/>
      <c r="AX1119" s="0"/>
      <c r="AY1119" s="0"/>
      <c r="AZ1119" s="0"/>
      <c r="BA1119" s="0"/>
      <c r="BB1119" s="0"/>
      <c r="BC1119" s="0"/>
      <c r="BD1119" s="0"/>
      <c r="BE1119" s="0"/>
      <c r="BF1119" s="0"/>
      <c r="BG1119" s="0"/>
      <c r="BH1119" s="0"/>
      <c r="BI1119" s="0"/>
      <c r="BJ1119" s="0"/>
      <c r="BK1119" s="0"/>
      <c r="BL1119" s="0"/>
      <c r="BM1119" s="0"/>
      <c r="BN1119" s="0"/>
      <c r="BO1119" s="0"/>
      <c r="BP1119" s="0"/>
      <c r="BQ1119" s="0"/>
      <c r="BR1119" s="0"/>
      <c r="BS1119" s="0"/>
      <c r="BT1119" s="0"/>
      <c r="BU1119" s="0"/>
      <c r="BV1119" s="0"/>
      <c r="BW1119" s="0"/>
      <c r="BX1119" s="0"/>
      <c r="BY1119" s="0"/>
      <c r="BZ1119" s="0"/>
      <c r="CA1119" s="0"/>
      <c r="CB1119" s="0"/>
      <c r="CC1119" s="0"/>
      <c r="CD1119" s="0"/>
      <c r="CE1119" s="0"/>
      <c r="CF1119" s="0"/>
      <c r="CG1119" s="0"/>
      <c r="CH1119" s="0"/>
      <c r="CI1119" s="0"/>
      <c r="CJ1119" s="0"/>
      <c r="CK1119" s="0"/>
      <c r="CL1119" s="0"/>
      <c r="CM1119" s="0"/>
      <c r="CN1119" s="0"/>
      <c r="CO1119" s="0"/>
      <c r="CP1119" s="0"/>
      <c r="CQ1119" s="0"/>
      <c r="CR1119" s="0"/>
      <c r="CS1119" s="0"/>
      <c r="CT1119" s="0"/>
      <c r="CU1119" s="0"/>
      <c r="CV1119" s="0"/>
      <c r="CW1119" s="0"/>
      <c r="CX1119" s="0"/>
      <c r="CY1119" s="0"/>
      <c r="CZ1119" s="0"/>
      <c r="DA1119" s="0"/>
      <c r="DB1119" s="0"/>
      <c r="DC1119" s="0"/>
      <c r="DD1119" s="0"/>
      <c r="DE1119" s="0"/>
      <c r="DF1119" s="0"/>
      <c r="DG1119" s="0"/>
      <c r="DH1119" s="0"/>
      <c r="DI1119" s="0"/>
      <c r="DJ1119" s="0"/>
      <c r="DK1119" s="0"/>
      <c r="DL1119" s="0"/>
      <c r="DM1119" s="0"/>
      <c r="DN1119" s="0"/>
      <c r="DO1119" s="0"/>
      <c r="DP1119" s="0"/>
      <c r="DQ1119" s="0"/>
      <c r="DR1119" s="0"/>
      <c r="DS1119" s="0"/>
      <c r="DT1119" s="0"/>
      <c r="DU1119" s="0"/>
      <c r="DV1119" s="0"/>
      <c r="DW1119" s="0"/>
      <c r="DX1119" s="0"/>
      <c r="DY1119" s="0"/>
      <c r="DZ1119" s="0"/>
      <c r="EA1119" s="0"/>
      <c r="EB1119" s="0"/>
      <c r="EC1119" s="0"/>
      <c r="ED1119" s="0"/>
      <c r="EE1119" s="0"/>
      <c r="EF1119" s="0"/>
      <c r="EG1119" s="0"/>
      <c r="EH1119" s="0"/>
      <c r="EI1119" s="0"/>
      <c r="EJ1119" s="0"/>
      <c r="EK1119" s="0"/>
      <c r="EL1119" s="0"/>
      <c r="EM1119" s="0"/>
      <c r="EN1119" s="0"/>
      <c r="EO1119" s="0"/>
      <c r="EP1119" s="0"/>
      <c r="EQ1119" s="0"/>
      <c r="ER1119" s="0"/>
      <c r="ES1119" s="0"/>
      <c r="ET1119" s="0"/>
      <c r="EU1119" s="0"/>
      <c r="EV1119" s="0"/>
      <c r="EW1119" s="0"/>
      <c r="EX1119" s="0"/>
      <c r="EY1119" s="0"/>
      <c r="EZ1119" s="0"/>
      <c r="FA1119" s="0"/>
      <c r="FB1119" s="0"/>
      <c r="FC1119" s="0"/>
      <c r="FD1119" s="0"/>
      <c r="FE1119" s="0"/>
      <c r="FF1119" s="0"/>
      <c r="FG1119" s="0"/>
      <c r="FH1119" s="0"/>
      <c r="FI1119" s="0"/>
      <c r="FJ1119" s="0"/>
      <c r="FK1119" s="0"/>
      <c r="FL1119" s="0"/>
      <c r="FM1119" s="0"/>
      <c r="FN1119" s="0"/>
      <c r="FO1119" s="0"/>
      <c r="FP1119" s="0"/>
      <c r="FQ1119" s="0"/>
      <c r="FR1119" s="0"/>
      <c r="FS1119" s="0"/>
      <c r="FT1119" s="0"/>
      <c r="FU1119" s="0"/>
      <c r="FV1119" s="0"/>
      <c r="FW1119" s="0"/>
      <c r="FX1119" s="0"/>
      <c r="FY1119" s="0"/>
      <c r="FZ1119" s="0"/>
      <c r="GA1119" s="0"/>
      <c r="GB1119" s="0"/>
      <c r="GC1119" s="0"/>
      <c r="GD1119" s="0"/>
      <c r="GE1119" s="0"/>
      <c r="GF1119" s="0"/>
      <c r="GG1119" s="0"/>
      <c r="GH1119" s="0"/>
      <c r="GI1119" s="0"/>
      <c r="GJ1119" s="0"/>
      <c r="GK1119" s="0"/>
      <c r="GL1119" s="0"/>
      <c r="GM1119" s="0"/>
      <c r="GN1119" s="0"/>
      <c r="GO1119" s="0"/>
      <c r="GP1119" s="0"/>
      <c r="GQ1119" s="0"/>
      <c r="GR1119" s="0"/>
      <c r="GS1119" s="0"/>
      <c r="GT1119" s="0"/>
      <c r="GU1119" s="0"/>
      <c r="GV1119" s="0"/>
      <c r="GW1119" s="0"/>
      <c r="GX1119" s="0"/>
      <c r="GY1119" s="0"/>
      <c r="GZ1119" s="0"/>
      <c r="HA1119" s="0"/>
      <c r="HB1119" s="0"/>
      <c r="HC1119" s="0"/>
      <c r="HD1119" s="0"/>
      <c r="HE1119" s="0"/>
      <c r="HF1119" s="0"/>
      <c r="HG1119" s="0"/>
      <c r="HH1119" s="0"/>
      <c r="HI1119" s="0"/>
      <c r="HJ1119" s="0"/>
      <c r="HK1119" s="0"/>
      <c r="HL1119" s="0"/>
      <c r="HM1119" s="0"/>
      <c r="HN1119" s="0"/>
      <c r="HO1119" s="0"/>
      <c r="HP1119" s="0"/>
      <c r="HQ1119" s="0"/>
      <c r="HR1119" s="0"/>
      <c r="HS1119" s="0"/>
      <c r="HT1119" s="0"/>
      <c r="HU1119" s="0"/>
      <c r="HV1119" s="0"/>
      <c r="HW1119" s="0"/>
      <c r="HX1119" s="0"/>
      <c r="HY1119" s="0"/>
      <c r="HZ1119" s="0"/>
      <c r="IA1119" s="0"/>
      <c r="IB1119" s="0"/>
      <c r="IC1119" s="0"/>
      <c r="ID1119" s="0"/>
      <c r="IE1119" s="0"/>
      <c r="IF1119" s="0"/>
      <c r="IG1119" s="0"/>
      <c r="IH1119" s="0"/>
      <c r="II1119" s="0"/>
      <c r="IJ1119" s="0"/>
      <c r="IK1119" s="0"/>
      <c r="IL1119" s="0"/>
      <c r="IM1119" s="0"/>
      <c r="IN1119" s="0"/>
      <c r="IO1119" s="0"/>
      <c r="IP1119" s="0"/>
      <c r="IQ1119" s="0"/>
      <c r="IR1119" s="0"/>
      <c r="IS1119" s="0"/>
      <c r="IT1119" s="0"/>
      <c r="IU1119" s="0"/>
      <c r="IV1119" s="0"/>
    </row>
    <row r="1120" customFormat="false" ht="17.25" hidden="false" customHeight="true" outlineLevel="0" collapsed="false">
      <c r="A1120" s="1325" t="s">
        <v>291</v>
      </c>
      <c r="B1120" s="906" t="s">
        <v>253</v>
      </c>
      <c r="C1120" s="1325" t="s">
        <v>1730</v>
      </c>
      <c r="D1120" s="906" t="s">
        <v>253</v>
      </c>
      <c r="E1120" s="1325" t="s">
        <v>294</v>
      </c>
      <c r="F1120" s="966" t="s">
        <v>254</v>
      </c>
      <c r="G1120" s="1325" t="s">
        <v>293</v>
      </c>
      <c r="H1120" s="966" t="s">
        <v>254</v>
      </c>
      <c r="J1120" s="11"/>
      <c r="K1120" s="1317"/>
      <c r="L1120" s="654"/>
      <c r="M1120" s="0"/>
      <c r="N1120" s="0"/>
      <c r="O1120" s="0"/>
      <c r="P1120" s="0"/>
      <c r="Q1120" s="0"/>
      <c r="R1120" s="0"/>
      <c r="S1120" s="0"/>
      <c r="T1120" s="0"/>
      <c r="U1120" s="0"/>
      <c r="V1120" s="0"/>
      <c r="W1120" s="0"/>
      <c r="X1120" s="0"/>
      <c r="Y1120" s="0"/>
      <c r="Z1120" s="0"/>
      <c r="AA1120" s="0"/>
      <c r="AB1120" s="0"/>
      <c r="AC1120" s="0"/>
      <c r="AD1120" s="0"/>
      <c r="AE1120" s="0"/>
      <c r="AF1120" s="0"/>
      <c r="AG1120" s="0"/>
      <c r="AH1120" s="0"/>
      <c r="AI1120" s="0"/>
      <c r="AJ1120" s="0"/>
      <c r="AK1120" s="0"/>
      <c r="AL1120" s="0"/>
      <c r="AM1120" s="0"/>
      <c r="AN1120" s="0"/>
      <c r="AO1120" s="0"/>
      <c r="AP1120" s="0"/>
      <c r="AQ1120" s="0"/>
      <c r="AR1120" s="0"/>
      <c r="AS1120" s="0"/>
      <c r="AT1120" s="0"/>
      <c r="AU1120" s="0"/>
      <c r="AV1120" s="0"/>
      <c r="AW1120" s="0"/>
      <c r="AX1120" s="0"/>
      <c r="AY1120" s="0"/>
      <c r="AZ1120" s="0"/>
      <c r="BA1120" s="0"/>
      <c r="BB1120" s="0"/>
      <c r="BC1120" s="0"/>
      <c r="BD1120" s="0"/>
      <c r="BE1120" s="0"/>
      <c r="BF1120" s="0"/>
      <c r="BG1120" s="0"/>
      <c r="BH1120" s="0"/>
      <c r="BI1120" s="0"/>
      <c r="BJ1120" s="0"/>
      <c r="BK1120" s="0"/>
      <c r="BL1120" s="0"/>
      <c r="BM1120" s="0"/>
      <c r="BN1120" s="0"/>
      <c r="BO1120" s="0"/>
      <c r="BP1120" s="0"/>
      <c r="BQ1120" s="0"/>
      <c r="BR1120" s="0"/>
      <c r="BS1120" s="0"/>
      <c r="BT1120" s="0"/>
      <c r="BU1120" s="0"/>
      <c r="BV1120" s="0"/>
      <c r="BW1120" s="0"/>
      <c r="BX1120" s="0"/>
      <c r="BY1120" s="0"/>
      <c r="BZ1120" s="0"/>
      <c r="CA1120" s="0"/>
      <c r="CB1120" s="0"/>
      <c r="CC1120" s="0"/>
      <c r="CD1120" s="0"/>
      <c r="CE1120" s="0"/>
      <c r="CF1120" s="0"/>
      <c r="CG1120" s="0"/>
      <c r="CH1120" s="0"/>
      <c r="CI1120" s="0"/>
      <c r="CJ1120" s="0"/>
      <c r="CK1120" s="0"/>
      <c r="CL1120" s="0"/>
      <c r="CM1120" s="0"/>
      <c r="CN1120" s="0"/>
      <c r="CO1120" s="0"/>
      <c r="CP1120" s="0"/>
      <c r="CQ1120" s="0"/>
      <c r="CR1120" s="0"/>
      <c r="CS1120" s="0"/>
      <c r="CT1120" s="0"/>
      <c r="CU1120" s="0"/>
      <c r="CV1120" s="0"/>
      <c r="CW1120" s="0"/>
      <c r="CX1120" s="0"/>
      <c r="CY1120" s="0"/>
      <c r="CZ1120" s="0"/>
      <c r="DA1120" s="0"/>
      <c r="DB1120" s="0"/>
      <c r="DC1120" s="0"/>
      <c r="DD1120" s="0"/>
      <c r="DE1120" s="0"/>
      <c r="DF1120" s="0"/>
      <c r="DG1120" s="0"/>
      <c r="DH1120" s="0"/>
      <c r="DI1120" s="0"/>
      <c r="DJ1120" s="0"/>
      <c r="DK1120" s="0"/>
      <c r="DL1120" s="0"/>
      <c r="DM1120" s="0"/>
      <c r="DN1120" s="0"/>
      <c r="DO1120" s="0"/>
      <c r="DP1120" s="0"/>
      <c r="DQ1120" s="0"/>
      <c r="DR1120" s="0"/>
      <c r="DS1120" s="0"/>
      <c r="DT1120" s="0"/>
      <c r="DU1120" s="0"/>
      <c r="DV1120" s="0"/>
      <c r="DW1120" s="0"/>
      <c r="DX1120" s="0"/>
      <c r="DY1120" s="0"/>
      <c r="DZ1120" s="0"/>
      <c r="EA1120" s="0"/>
      <c r="EB1120" s="0"/>
      <c r="EC1120" s="0"/>
      <c r="ED1120" s="0"/>
      <c r="EE1120" s="0"/>
      <c r="EF1120" s="0"/>
      <c r="EG1120" s="0"/>
      <c r="EH1120" s="0"/>
      <c r="EI1120" s="0"/>
      <c r="EJ1120" s="0"/>
      <c r="EK1120" s="0"/>
      <c r="EL1120" s="0"/>
      <c r="EM1120" s="0"/>
      <c r="EN1120" s="0"/>
      <c r="EO1120" s="0"/>
      <c r="EP1120" s="0"/>
      <c r="EQ1120" s="0"/>
      <c r="ER1120" s="0"/>
      <c r="ES1120" s="0"/>
      <c r="ET1120" s="0"/>
      <c r="EU1120" s="0"/>
      <c r="EV1120" s="0"/>
      <c r="EW1120" s="0"/>
      <c r="EX1120" s="0"/>
      <c r="EY1120" s="0"/>
      <c r="EZ1120" s="0"/>
      <c r="FA1120" s="0"/>
      <c r="FB1120" s="0"/>
      <c r="FC1120" s="0"/>
      <c r="FD1120" s="0"/>
      <c r="FE1120" s="0"/>
      <c r="FF1120" s="0"/>
      <c r="FG1120" s="0"/>
      <c r="FH1120" s="0"/>
      <c r="FI1120" s="0"/>
      <c r="FJ1120" s="0"/>
      <c r="FK1120" s="0"/>
      <c r="FL1120" s="0"/>
      <c r="FM1120" s="0"/>
      <c r="FN1120" s="0"/>
      <c r="FO1120" s="0"/>
      <c r="FP1120" s="0"/>
      <c r="FQ1120" s="0"/>
      <c r="FR1120" s="0"/>
      <c r="FS1120" s="0"/>
      <c r="FT1120" s="0"/>
      <c r="FU1120" s="0"/>
      <c r="FV1120" s="0"/>
      <c r="FW1120" s="0"/>
      <c r="FX1120" s="0"/>
      <c r="FY1120" s="0"/>
      <c r="FZ1120" s="0"/>
      <c r="GA1120" s="0"/>
      <c r="GB1120" s="0"/>
      <c r="GC1120" s="0"/>
      <c r="GD1120" s="0"/>
      <c r="GE1120" s="0"/>
      <c r="GF1120" s="0"/>
      <c r="GG1120" s="0"/>
      <c r="GH1120" s="0"/>
      <c r="GI1120" s="0"/>
      <c r="GJ1120" s="0"/>
      <c r="GK1120" s="0"/>
      <c r="GL1120" s="0"/>
      <c r="GM1120" s="0"/>
      <c r="GN1120" s="0"/>
      <c r="GO1120" s="0"/>
      <c r="GP1120" s="0"/>
      <c r="GQ1120" s="0"/>
      <c r="GR1120" s="0"/>
      <c r="GS1120" s="0"/>
      <c r="GT1120" s="0"/>
      <c r="GU1120" s="0"/>
      <c r="GV1120" s="0"/>
      <c r="GW1120" s="0"/>
      <c r="GX1120" s="0"/>
      <c r="GY1120" s="0"/>
      <c r="GZ1120" s="0"/>
      <c r="HA1120" s="0"/>
      <c r="HB1120" s="0"/>
      <c r="HC1120" s="0"/>
      <c r="HD1120" s="0"/>
      <c r="HE1120" s="0"/>
      <c r="HF1120" s="0"/>
      <c r="HG1120" s="0"/>
      <c r="HH1120" s="0"/>
      <c r="HI1120" s="0"/>
      <c r="HJ1120" s="0"/>
      <c r="HK1120" s="0"/>
      <c r="HL1120" s="0"/>
      <c r="HM1120" s="0"/>
      <c r="HN1120" s="0"/>
      <c r="HO1120" s="0"/>
      <c r="HP1120" s="0"/>
      <c r="HQ1120" s="0"/>
      <c r="HR1120" s="0"/>
      <c r="HS1120" s="0"/>
      <c r="HT1120" s="0"/>
      <c r="HU1120" s="0"/>
      <c r="HV1120" s="0"/>
      <c r="HW1120" s="0"/>
      <c r="HX1120" s="0"/>
      <c r="HY1120" s="0"/>
      <c r="HZ1120" s="0"/>
      <c r="IA1120" s="0"/>
      <c r="IB1120" s="0"/>
      <c r="IC1120" s="0"/>
      <c r="ID1120" s="0"/>
      <c r="IE1120" s="0"/>
      <c r="IF1120" s="0"/>
      <c r="IG1120" s="0"/>
      <c r="IH1120" s="0"/>
      <c r="II1120" s="0"/>
      <c r="IJ1120" s="0"/>
      <c r="IK1120" s="0"/>
      <c r="IL1120" s="0"/>
      <c r="IM1120" s="0"/>
      <c r="IN1120" s="0"/>
      <c r="IO1120" s="0"/>
      <c r="IP1120" s="0"/>
      <c r="IQ1120" s="0"/>
      <c r="IR1120" s="0"/>
      <c r="IS1120" s="0"/>
      <c r="IT1120" s="0"/>
      <c r="IU1120" s="0"/>
      <c r="IV1120" s="0"/>
    </row>
    <row r="1121" customFormat="false" ht="17.25" hidden="false" customHeight="true" outlineLevel="0" collapsed="false">
      <c r="A1121" s="1320" t="s">
        <v>1731</v>
      </c>
      <c r="B1121" s="1258"/>
      <c r="C1121" s="1258"/>
      <c r="D1121" s="1258"/>
      <c r="E1121" s="1258"/>
      <c r="F1121" s="1258"/>
      <c r="G1121" s="0"/>
      <c r="H1121" s="0"/>
      <c r="I1121" s="0"/>
      <c r="J1121" s="11"/>
      <c r="K1121" s="1317"/>
      <c r="L1121" s="654"/>
      <c r="M1121" s="0"/>
      <c r="N1121" s="0"/>
      <c r="O1121" s="0"/>
      <c r="P1121" s="0"/>
      <c r="Q1121" s="0"/>
      <c r="R1121" s="0"/>
      <c r="S1121" s="0"/>
      <c r="T1121" s="0"/>
      <c r="U1121" s="0"/>
      <c r="V1121" s="0"/>
      <c r="W1121" s="0"/>
      <c r="X1121" s="0"/>
      <c r="Y1121" s="0"/>
      <c r="Z1121" s="0"/>
      <c r="AA1121" s="0"/>
      <c r="AB1121" s="0"/>
      <c r="AC1121" s="0"/>
      <c r="AD1121" s="0"/>
      <c r="AE1121" s="0"/>
      <c r="AF1121" s="0"/>
      <c r="AG1121" s="0"/>
      <c r="AH1121" s="0"/>
      <c r="AI1121" s="0"/>
      <c r="AJ1121" s="0"/>
      <c r="AK1121" s="0"/>
      <c r="AL1121" s="0"/>
      <c r="AM1121" s="0"/>
      <c r="AN1121" s="0"/>
      <c r="AO1121" s="0"/>
      <c r="AP1121" s="0"/>
      <c r="AQ1121" s="0"/>
      <c r="AR1121" s="0"/>
      <c r="AS1121" s="0"/>
      <c r="AT1121" s="0"/>
      <c r="AU1121" s="0"/>
      <c r="AV1121" s="0"/>
      <c r="AW1121" s="0"/>
      <c r="AX1121" s="0"/>
      <c r="AY1121" s="0"/>
      <c r="AZ1121" s="0"/>
      <c r="BA1121" s="0"/>
      <c r="BB1121" s="0"/>
      <c r="BC1121" s="0"/>
      <c r="BD1121" s="0"/>
      <c r="BE1121" s="0"/>
      <c r="BF1121" s="0"/>
      <c r="BG1121" s="0"/>
      <c r="BH1121" s="0"/>
      <c r="BI1121" s="0"/>
      <c r="BJ1121" s="0"/>
      <c r="BK1121" s="0"/>
      <c r="BL1121" s="0"/>
      <c r="BM1121" s="0"/>
      <c r="BN1121" s="0"/>
      <c r="BO1121" s="0"/>
      <c r="BP1121" s="0"/>
      <c r="BQ1121" s="0"/>
      <c r="BR1121" s="0"/>
      <c r="BS1121" s="0"/>
      <c r="BT1121" s="0"/>
      <c r="BU1121" s="0"/>
      <c r="BV1121" s="0"/>
      <c r="BW1121" s="0"/>
      <c r="BX1121" s="0"/>
      <c r="BY1121" s="0"/>
      <c r="BZ1121" s="0"/>
      <c r="CA1121" s="0"/>
      <c r="CB1121" s="0"/>
      <c r="CC1121" s="0"/>
      <c r="CD1121" s="0"/>
      <c r="CE1121" s="0"/>
      <c r="CF1121" s="0"/>
      <c r="CG1121" s="0"/>
      <c r="CH1121" s="0"/>
      <c r="CI1121" s="0"/>
      <c r="CJ1121" s="0"/>
      <c r="CK1121" s="0"/>
      <c r="CL1121" s="0"/>
      <c r="CM1121" s="0"/>
      <c r="CN1121" s="0"/>
      <c r="CO1121" s="0"/>
      <c r="CP1121" s="0"/>
      <c r="CQ1121" s="0"/>
      <c r="CR1121" s="0"/>
      <c r="CS1121" s="0"/>
      <c r="CT1121" s="0"/>
      <c r="CU1121" s="0"/>
      <c r="CV1121" s="0"/>
      <c r="CW1121" s="0"/>
      <c r="CX1121" s="0"/>
      <c r="CY1121" s="0"/>
      <c r="CZ1121" s="0"/>
      <c r="DA1121" s="0"/>
      <c r="DB1121" s="0"/>
      <c r="DC1121" s="0"/>
      <c r="DD1121" s="0"/>
      <c r="DE1121" s="0"/>
      <c r="DF1121" s="0"/>
      <c r="DG1121" s="0"/>
      <c r="DH1121" s="0"/>
      <c r="DI1121" s="0"/>
      <c r="DJ1121" s="0"/>
      <c r="DK1121" s="0"/>
      <c r="DL1121" s="0"/>
      <c r="DM1121" s="0"/>
      <c r="DN1121" s="0"/>
      <c r="DO1121" s="0"/>
      <c r="DP1121" s="0"/>
      <c r="DQ1121" s="0"/>
      <c r="DR1121" s="0"/>
      <c r="DS1121" s="0"/>
      <c r="DT1121" s="0"/>
      <c r="DU1121" s="0"/>
      <c r="DV1121" s="0"/>
      <c r="DW1121" s="0"/>
      <c r="DX1121" s="0"/>
      <c r="DY1121" s="0"/>
      <c r="DZ1121" s="0"/>
      <c r="EA1121" s="0"/>
      <c r="EB1121" s="0"/>
      <c r="EC1121" s="0"/>
      <c r="ED1121" s="0"/>
      <c r="EE1121" s="0"/>
      <c r="EF1121" s="0"/>
      <c r="EG1121" s="0"/>
      <c r="EH1121" s="0"/>
      <c r="EI1121" s="0"/>
      <c r="EJ1121" s="0"/>
      <c r="EK1121" s="0"/>
      <c r="EL1121" s="0"/>
      <c r="EM1121" s="0"/>
      <c r="EN1121" s="0"/>
      <c r="EO1121" s="0"/>
      <c r="EP1121" s="0"/>
      <c r="EQ1121" s="0"/>
      <c r="ER1121" s="0"/>
      <c r="ES1121" s="0"/>
      <c r="ET1121" s="0"/>
      <c r="EU1121" s="0"/>
      <c r="EV1121" s="0"/>
      <c r="EW1121" s="0"/>
      <c r="EX1121" s="0"/>
      <c r="EY1121" s="0"/>
      <c r="EZ1121" s="0"/>
      <c r="FA1121" s="0"/>
      <c r="FB1121" s="0"/>
      <c r="FC1121" s="0"/>
      <c r="FD1121" s="0"/>
      <c r="FE1121" s="0"/>
      <c r="FF1121" s="0"/>
      <c r="FG1121" s="0"/>
      <c r="FH1121" s="0"/>
      <c r="FI1121" s="0"/>
      <c r="FJ1121" s="0"/>
      <c r="FK1121" s="0"/>
      <c r="FL1121" s="0"/>
      <c r="FM1121" s="0"/>
      <c r="FN1121" s="0"/>
      <c r="FO1121" s="0"/>
      <c r="FP1121" s="0"/>
      <c r="FQ1121" s="0"/>
      <c r="FR1121" s="0"/>
      <c r="FS1121" s="0"/>
      <c r="FT1121" s="0"/>
      <c r="FU1121" s="0"/>
      <c r="FV1121" s="0"/>
      <c r="FW1121" s="0"/>
      <c r="FX1121" s="0"/>
      <c r="FY1121" s="0"/>
      <c r="FZ1121" s="0"/>
      <c r="GA1121" s="0"/>
      <c r="GB1121" s="0"/>
      <c r="GC1121" s="0"/>
      <c r="GD1121" s="0"/>
      <c r="GE1121" s="0"/>
      <c r="GF1121" s="0"/>
      <c r="GG1121" s="0"/>
      <c r="GH1121" s="0"/>
      <c r="GI1121" s="0"/>
      <c r="GJ1121" s="0"/>
      <c r="GK1121" s="0"/>
      <c r="GL1121" s="0"/>
      <c r="GM1121" s="0"/>
      <c r="GN1121" s="0"/>
      <c r="GO1121" s="0"/>
      <c r="GP1121" s="0"/>
      <c r="GQ1121" s="0"/>
      <c r="GR1121" s="0"/>
      <c r="GS1121" s="0"/>
      <c r="GT1121" s="0"/>
      <c r="GU1121" s="0"/>
      <c r="GV1121" s="0"/>
      <c r="GW1121" s="0"/>
      <c r="GX1121" s="0"/>
      <c r="GY1121" s="0"/>
      <c r="GZ1121" s="0"/>
      <c r="HA1121" s="0"/>
      <c r="HB1121" s="0"/>
      <c r="HC1121" s="0"/>
      <c r="HD1121" s="0"/>
      <c r="HE1121" s="0"/>
      <c r="HF1121" s="0"/>
      <c r="HG1121" s="0"/>
      <c r="HH1121" s="0"/>
      <c r="HI1121" s="0"/>
      <c r="HJ1121" s="0"/>
      <c r="HK1121" s="0"/>
      <c r="HL1121" s="0"/>
      <c r="HM1121" s="0"/>
      <c r="HN1121" s="0"/>
      <c r="HO1121" s="0"/>
      <c r="HP1121" s="0"/>
      <c r="HQ1121" s="0"/>
      <c r="HR1121" s="0"/>
      <c r="HS1121" s="0"/>
      <c r="HT1121" s="0"/>
      <c r="HU1121" s="0"/>
      <c r="HV1121" s="0"/>
      <c r="HW1121" s="0"/>
      <c r="HX1121" s="0"/>
      <c r="HY1121" s="0"/>
      <c r="HZ1121" s="0"/>
      <c r="IA1121" s="0"/>
      <c r="IB1121" s="0"/>
      <c r="IC1121" s="0"/>
      <c r="ID1121" s="0"/>
      <c r="IE1121" s="0"/>
      <c r="IF1121" s="0"/>
      <c r="IG1121" s="0"/>
      <c r="IH1121" s="0"/>
      <c r="II1121" s="0"/>
      <c r="IJ1121" s="0"/>
      <c r="IK1121" s="0"/>
      <c r="IL1121" s="0"/>
      <c r="IM1121" s="0"/>
      <c r="IN1121" s="0"/>
      <c r="IO1121" s="0"/>
      <c r="IP1121" s="0"/>
      <c r="IQ1121" s="0"/>
      <c r="IR1121" s="0"/>
      <c r="IS1121" s="0"/>
      <c r="IT1121" s="0"/>
      <c r="IU1121" s="0"/>
      <c r="IV1121" s="0"/>
    </row>
    <row r="1122" customFormat="false" ht="15" hidden="false" customHeight="true" outlineLevel="0" collapsed="false">
      <c r="A1122" s="0"/>
      <c r="B1122" s="0"/>
      <c r="C1122" s="0"/>
      <c r="D1122" s="0"/>
      <c r="E1122" s="0"/>
      <c r="F1122" s="0"/>
      <c r="G1122" s="0"/>
      <c r="H1122" s="0"/>
      <c r="I1122" s="0"/>
      <c r="J1122" s="11"/>
      <c r="K1122" s="0"/>
      <c r="L1122" s="0"/>
      <c r="M1122" s="0"/>
      <c r="N1122" s="0"/>
      <c r="O1122" s="0"/>
      <c r="P1122" s="0"/>
      <c r="Q1122" s="0"/>
      <c r="R1122" s="0"/>
      <c r="S1122" s="0"/>
      <c r="T1122" s="0"/>
      <c r="U1122" s="0"/>
      <c r="V1122" s="0"/>
      <c r="W1122" s="0"/>
      <c r="X1122" s="0"/>
      <c r="Y1122" s="0"/>
      <c r="Z1122" s="0"/>
      <c r="AA1122" s="0"/>
      <c r="AB1122" s="0"/>
      <c r="AC1122" s="0"/>
      <c r="AD1122" s="0"/>
      <c r="AE1122" s="0"/>
      <c r="AF1122" s="0"/>
      <c r="AG1122" s="0"/>
      <c r="AH1122" s="0"/>
      <c r="AI1122" s="0"/>
      <c r="AJ1122" s="0"/>
      <c r="AK1122" s="0"/>
      <c r="AL1122" s="0"/>
      <c r="AM1122" s="0"/>
      <c r="AN1122" s="0"/>
      <c r="AO1122" s="0"/>
      <c r="AP1122" s="0"/>
      <c r="AQ1122" s="0"/>
      <c r="AR1122" s="0"/>
      <c r="AS1122" s="0"/>
      <c r="AT1122" s="0"/>
      <c r="AU1122" s="0"/>
      <c r="AV1122" s="0"/>
      <c r="AW1122" s="0"/>
      <c r="AX1122" s="0"/>
      <c r="AY1122" s="0"/>
      <c r="AZ1122" s="0"/>
      <c r="BA1122" s="0"/>
      <c r="BB1122" s="0"/>
      <c r="BC1122" s="0"/>
      <c r="BD1122" s="0"/>
      <c r="BE1122" s="0"/>
      <c r="BF1122" s="0"/>
      <c r="BG1122" s="0"/>
      <c r="BH1122" s="0"/>
      <c r="BI1122" s="0"/>
      <c r="BJ1122" s="0"/>
      <c r="BK1122" s="0"/>
      <c r="BL1122" s="0"/>
      <c r="BM1122" s="0"/>
      <c r="BN1122" s="0"/>
      <c r="BO1122" s="0"/>
      <c r="BP1122" s="0"/>
      <c r="BQ1122" s="0"/>
      <c r="BR1122" s="0"/>
      <c r="BS1122" s="0"/>
      <c r="BT1122" s="0"/>
      <c r="BU1122" s="0"/>
      <c r="BV1122" s="0"/>
      <c r="BW1122" s="0"/>
      <c r="BX1122" s="0"/>
      <c r="BY1122" s="0"/>
      <c r="BZ1122" s="0"/>
      <c r="CA1122" s="0"/>
      <c r="CB1122" s="0"/>
      <c r="CC1122" s="0"/>
      <c r="CD1122" s="0"/>
      <c r="CE1122" s="0"/>
      <c r="CF1122" s="0"/>
      <c r="CG1122" s="0"/>
      <c r="CH1122" s="0"/>
      <c r="CI1122" s="0"/>
      <c r="CJ1122" s="0"/>
      <c r="CK1122" s="0"/>
      <c r="CL1122" s="0"/>
      <c r="CM1122" s="0"/>
      <c r="CN1122" s="0"/>
      <c r="CO1122" s="0"/>
      <c r="CP1122" s="0"/>
      <c r="CQ1122" s="0"/>
      <c r="CR1122" s="0"/>
      <c r="CS1122" s="0"/>
      <c r="CT1122" s="0"/>
      <c r="CU1122" s="0"/>
      <c r="CV1122" s="0"/>
      <c r="CW1122" s="0"/>
      <c r="CX1122" s="0"/>
      <c r="CY1122" s="0"/>
      <c r="CZ1122" s="0"/>
      <c r="DA1122" s="0"/>
      <c r="DB1122" s="0"/>
      <c r="DC1122" s="0"/>
      <c r="DD1122" s="0"/>
      <c r="DE1122" s="0"/>
      <c r="DF1122" s="0"/>
      <c r="DG1122" s="0"/>
      <c r="DH1122" s="0"/>
      <c r="DI1122" s="0"/>
      <c r="DJ1122" s="0"/>
      <c r="DK1122" s="0"/>
      <c r="DL1122" s="0"/>
      <c r="DM1122" s="0"/>
      <c r="DN1122" s="0"/>
      <c r="DO1122" s="0"/>
      <c r="DP1122" s="0"/>
      <c r="DQ1122" s="0"/>
      <c r="DR1122" s="0"/>
      <c r="DS1122" s="0"/>
      <c r="DT1122" s="0"/>
      <c r="DU1122" s="0"/>
      <c r="DV1122" s="0"/>
      <c r="DW1122" s="0"/>
      <c r="DX1122" s="0"/>
      <c r="DY1122" s="0"/>
      <c r="DZ1122" s="0"/>
      <c r="EA1122" s="0"/>
      <c r="EB1122" s="0"/>
      <c r="EC1122" s="0"/>
      <c r="ED1122" s="0"/>
      <c r="EE1122" s="0"/>
      <c r="EF1122" s="0"/>
      <c r="EG1122" s="0"/>
      <c r="EH1122" s="0"/>
      <c r="EI1122" s="0"/>
      <c r="EJ1122" s="0"/>
      <c r="EK1122" s="0"/>
      <c r="EL1122" s="0"/>
      <c r="EM1122" s="0"/>
      <c r="EN1122" s="0"/>
      <c r="EO1122" s="0"/>
      <c r="EP1122" s="0"/>
      <c r="EQ1122" s="0"/>
      <c r="ER1122" s="0"/>
      <c r="ES1122" s="0"/>
      <c r="ET1122" s="0"/>
      <c r="EU1122" s="0"/>
      <c r="EV1122" s="0"/>
      <c r="EW1122" s="0"/>
      <c r="EX1122" s="0"/>
      <c r="EY1122" s="0"/>
      <c r="EZ1122" s="0"/>
      <c r="FA1122" s="0"/>
      <c r="FB1122" s="0"/>
      <c r="FC1122" s="0"/>
      <c r="FD1122" s="0"/>
      <c r="FE1122" s="0"/>
      <c r="FF1122" s="0"/>
      <c r="FG1122" s="0"/>
      <c r="FH1122" s="0"/>
      <c r="FI1122" s="0"/>
      <c r="FJ1122" s="0"/>
      <c r="FK1122" s="0"/>
      <c r="FL1122" s="0"/>
      <c r="FM1122" s="0"/>
      <c r="FN1122" s="0"/>
      <c r="FO1122" s="0"/>
      <c r="FP1122" s="0"/>
      <c r="FQ1122" s="0"/>
      <c r="FR1122" s="0"/>
      <c r="FS1122" s="0"/>
      <c r="FT1122" s="0"/>
      <c r="FU1122" s="0"/>
      <c r="FV1122" s="0"/>
      <c r="FW1122" s="0"/>
      <c r="FX1122" s="0"/>
      <c r="FY1122" s="0"/>
      <c r="FZ1122" s="0"/>
      <c r="GA1122" s="0"/>
      <c r="GB1122" s="0"/>
      <c r="GC1122" s="0"/>
      <c r="GD1122" s="0"/>
      <c r="GE1122" s="0"/>
      <c r="GF1122" s="0"/>
      <c r="GG1122" s="0"/>
      <c r="GH1122" s="0"/>
      <c r="GI1122" s="0"/>
      <c r="GJ1122" s="0"/>
      <c r="GK1122" s="0"/>
      <c r="GL1122" s="0"/>
      <c r="GM1122" s="0"/>
      <c r="GN1122" s="0"/>
      <c r="GO1122" s="0"/>
      <c r="GP1122" s="0"/>
      <c r="GQ1122" s="0"/>
      <c r="GR1122" s="0"/>
      <c r="GS1122" s="0"/>
      <c r="GT1122" s="0"/>
      <c r="GU1122" s="0"/>
      <c r="GV1122" s="0"/>
      <c r="GW1122" s="0"/>
      <c r="GX1122" s="0"/>
      <c r="GY1122" s="0"/>
      <c r="GZ1122" s="0"/>
      <c r="HA1122" s="0"/>
      <c r="HB1122" s="0"/>
      <c r="HC1122" s="0"/>
      <c r="HD1122" s="0"/>
      <c r="HE1122" s="0"/>
      <c r="HF1122" s="0"/>
      <c r="HG1122" s="0"/>
      <c r="HH1122" s="0"/>
      <c r="HI1122" s="0"/>
      <c r="HJ1122" s="0"/>
      <c r="HK1122" s="0"/>
      <c r="HL1122" s="0"/>
      <c r="HM1122" s="0"/>
      <c r="HN1122" s="0"/>
      <c r="HO1122" s="0"/>
      <c r="HP1122" s="0"/>
      <c r="HQ1122" s="0"/>
      <c r="HR1122" s="0"/>
      <c r="HS1122" s="0"/>
      <c r="HT1122" s="0"/>
      <c r="HU1122" s="0"/>
      <c r="HV1122" s="0"/>
      <c r="HW1122" s="0"/>
      <c r="HX1122" s="0"/>
      <c r="HY1122" s="0"/>
      <c r="HZ1122" s="0"/>
      <c r="IA1122" s="0"/>
      <c r="IB1122" s="0"/>
      <c r="IC1122" s="0"/>
      <c r="ID1122" s="0"/>
      <c r="IE1122" s="0"/>
      <c r="IF1122" s="0"/>
      <c r="IG1122" s="0"/>
      <c r="IH1122" s="0"/>
      <c r="II1122" s="0"/>
      <c r="IJ1122" s="0"/>
      <c r="IK1122" s="0"/>
      <c r="IL1122" s="0"/>
      <c r="IM1122" s="0"/>
      <c r="IN1122" s="0"/>
      <c r="IO1122" s="0"/>
      <c r="IP1122" s="0"/>
      <c r="IQ1122" s="0"/>
      <c r="IR1122" s="0"/>
      <c r="IS1122" s="0"/>
      <c r="IT1122" s="0"/>
      <c r="IU1122" s="0"/>
      <c r="IV1122" s="0"/>
    </row>
    <row r="1123" customFormat="false" ht="15" hidden="false" customHeight="true" outlineLevel="0" collapsed="false">
      <c r="A1123" s="0"/>
      <c r="B1123" s="0"/>
      <c r="C1123" s="0"/>
      <c r="D1123" s="0"/>
      <c r="E1123" s="0"/>
      <c r="F1123" s="0"/>
      <c r="G1123" s="0"/>
      <c r="H1123" s="0"/>
      <c r="I1123" s="0"/>
      <c r="J1123" s="11"/>
      <c r="K1123" s="0"/>
      <c r="L1123" s="0"/>
      <c r="M1123" s="0"/>
      <c r="N1123" s="0"/>
      <c r="O1123" s="0"/>
      <c r="P1123" s="0"/>
      <c r="Q1123" s="0"/>
      <c r="R1123" s="0"/>
      <c r="S1123" s="0"/>
      <c r="T1123" s="0"/>
      <c r="U1123" s="0"/>
      <c r="V1123" s="0"/>
      <c r="W1123" s="0"/>
      <c r="X1123" s="0"/>
      <c r="Y1123" s="0"/>
      <c r="Z1123" s="0"/>
      <c r="AA1123" s="0"/>
      <c r="AB1123" s="0"/>
      <c r="AC1123" s="0"/>
      <c r="AD1123" s="0"/>
      <c r="AE1123" s="0"/>
      <c r="AF1123" s="0"/>
      <c r="AG1123" s="0"/>
      <c r="AH1123" s="0"/>
      <c r="AI1123" s="0"/>
      <c r="AJ1123" s="0"/>
      <c r="AK1123" s="0"/>
      <c r="AL1123" s="0"/>
      <c r="AM1123" s="0"/>
      <c r="AN1123" s="0"/>
      <c r="AO1123" s="0"/>
      <c r="AP1123" s="0"/>
      <c r="AQ1123" s="0"/>
      <c r="AR1123" s="0"/>
      <c r="AS1123" s="0"/>
      <c r="AT1123" s="0"/>
      <c r="AU1123" s="0"/>
      <c r="AV1123" s="0"/>
      <c r="AW1123" s="0"/>
      <c r="AX1123" s="0"/>
      <c r="AY1123" s="0"/>
      <c r="AZ1123" s="0"/>
      <c r="BA1123" s="0"/>
      <c r="BB1123" s="0"/>
      <c r="BC1123" s="0"/>
      <c r="BD1123" s="0"/>
      <c r="BE1123" s="0"/>
      <c r="BF1123" s="0"/>
      <c r="BG1123" s="0"/>
      <c r="BH1123" s="0"/>
      <c r="BI1123" s="0"/>
      <c r="BJ1123" s="0"/>
      <c r="BK1123" s="0"/>
      <c r="BL1123" s="0"/>
      <c r="BM1123" s="0"/>
      <c r="BN1123" s="0"/>
      <c r="BO1123" s="0"/>
      <c r="BP1123" s="0"/>
      <c r="BQ1123" s="0"/>
      <c r="BR1123" s="0"/>
      <c r="BS1123" s="0"/>
      <c r="BT1123" s="0"/>
      <c r="BU1123" s="0"/>
      <c r="BV1123" s="0"/>
      <c r="BW1123" s="0"/>
      <c r="BX1123" s="0"/>
      <c r="BY1123" s="0"/>
      <c r="BZ1123" s="0"/>
      <c r="CA1123" s="0"/>
      <c r="CB1123" s="0"/>
      <c r="CC1123" s="0"/>
      <c r="CD1123" s="0"/>
      <c r="CE1123" s="0"/>
      <c r="CF1123" s="0"/>
      <c r="CG1123" s="0"/>
      <c r="CH1123" s="0"/>
      <c r="CI1123" s="0"/>
      <c r="CJ1123" s="0"/>
      <c r="CK1123" s="0"/>
      <c r="CL1123" s="0"/>
      <c r="CM1123" s="0"/>
      <c r="CN1123" s="0"/>
      <c r="CO1123" s="0"/>
      <c r="CP1123" s="0"/>
      <c r="CQ1123" s="0"/>
      <c r="CR1123" s="0"/>
      <c r="CS1123" s="0"/>
      <c r="CT1123" s="0"/>
      <c r="CU1123" s="0"/>
      <c r="CV1123" s="0"/>
      <c r="CW1123" s="0"/>
      <c r="CX1123" s="0"/>
      <c r="CY1123" s="0"/>
      <c r="CZ1123" s="0"/>
      <c r="DA1123" s="0"/>
      <c r="DB1123" s="0"/>
      <c r="DC1123" s="0"/>
      <c r="DD1123" s="0"/>
      <c r="DE1123" s="0"/>
      <c r="DF1123" s="0"/>
      <c r="DG1123" s="0"/>
      <c r="DH1123" s="0"/>
      <c r="DI1123" s="0"/>
      <c r="DJ1123" s="0"/>
      <c r="DK1123" s="0"/>
      <c r="DL1123" s="0"/>
      <c r="DM1123" s="0"/>
      <c r="DN1123" s="0"/>
      <c r="DO1123" s="0"/>
      <c r="DP1123" s="0"/>
      <c r="DQ1123" s="0"/>
      <c r="DR1123" s="0"/>
      <c r="DS1123" s="0"/>
      <c r="DT1123" s="0"/>
      <c r="DU1123" s="0"/>
      <c r="DV1123" s="0"/>
      <c r="DW1123" s="0"/>
      <c r="DX1123" s="0"/>
      <c r="DY1123" s="0"/>
      <c r="DZ1123" s="0"/>
      <c r="EA1123" s="0"/>
      <c r="EB1123" s="0"/>
      <c r="EC1123" s="0"/>
      <c r="ED1123" s="0"/>
      <c r="EE1123" s="0"/>
      <c r="EF1123" s="0"/>
      <c r="EG1123" s="0"/>
      <c r="EH1123" s="0"/>
      <c r="EI1123" s="0"/>
      <c r="EJ1123" s="0"/>
      <c r="EK1123" s="0"/>
      <c r="EL1123" s="0"/>
      <c r="EM1123" s="0"/>
      <c r="EN1123" s="0"/>
      <c r="EO1123" s="0"/>
      <c r="EP1123" s="0"/>
      <c r="EQ1123" s="0"/>
      <c r="ER1123" s="0"/>
      <c r="ES1123" s="0"/>
      <c r="ET1123" s="0"/>
      <c r="EU1123" s="0"/>
      <c r="EV1123" s="0"/>
      <c r="EW1123" s="0"/>
      <c r="EX1123" s="0"/>
      <c r="EY1123" s="0"/>
      <c r="EZ1123" s="0"/>
      <c r="FA1123" s="0"/>
      <c r="FB1123" s="0"/>
      <c r="FC1123" s="0"/>
      <c r="FD1123" s="0"/>
      <c r="FE1123" s="0"/>
      <c r="FF1123" s="0"/>
      <c r="FG1123" s="0"/>
      <c r="FH1123" s="0"/>
      <c r="FI1123" s="0"/>
      <c r="FJ1123" s="0"/>
      <c r="FK1123" s="0"/>
      <c r="FL1123" s="0"/>
      <c r="FM1123" s="0"/>
      <c r="FN1123" s="0"/>
      <c r="FO1123" s="0"/>
      <c r="FP1123" s="0"/>
      <c r="FQ1123" s="0"/>
      <c r="FR1123" s="0"/>
      <c r="FS1123" s="0"/>
      <c r="FT1123" s="0"/>
      <c r="FU1123" s="0"/>
      <c r="FV1123" s="0"/>
      <c r="FW1123" s="0"/>
      <c r="FX1123" s="0"/>
      <c r="FY1123" s="0"/>
      <c r="FZ1123" s="0"/>
      <c r="GA1123" s="0"/>
      <c r="GB1123" s="0"/>
      <c r="GC1123" s="0"/>
      <c r="GD1123" s="0"/>
      <c r="GE1123" s="0"/>
      <c r="GF1123" s="0"/>
      <c r="GG1123" s="0"/>
      <c r="GH1123" s="0"/>
      <c r="GI1123" s="0"/>
      <c r="GJ1123" s="0"/>
      <c r="GK1123" s="0"/>
      <c r="GL1123" s="0"/>
      <c r="GM1123" s="0"/>
      <c r="GN1123" s="0"/>
      <c r="GO1123" s="0"/>
      <c r="GP1123" s="0"/>
      <c r="GQ1123" s="0"/>
      <c r="GR1123" s="0"/>
      <c r="GS1123" s="0"/>
      <c r="GT1123" s="0"/>
      <c r="GU1123" s="0"/>
      <c r="GV1123" s="0"/>
      <c r="GW1123" s="0"/>
      <c r="GX1123" s="0"/>
      <c r="GY1123" s="0"/>
      <c r="GZ1123" s="0"/>
      <c r="HA1123" s="0"/>
      <c r="HB1123" s="0"/>
      <c r="HC1123" s="0"/>
      <c r="HD1123" s="0"/>
      <c r="HE1123" s="0"/>
      <c r="HF1123" s="0"/>
      <c r="HG1123" s="0"/>
      <c r="HH1123" s="0"/>
      <c r="HI1123" s="0"/>
      <c r="HJ1123" s="0"/>
      <c r="HK1123" s="0"/>
      <c r="HL1123" s="0"/>
      <c r="HM1123" s="0"/>
      <c r="HN1123" s="0"/>
      <c r="HO1123" s="0"/>
      <c r="HP1123" s="0"/>
      <c r="HQ1123" s="0"/>
      <c r="HR1123" s="0"/>
      <c r="HS1123" s="0"/>
      <c r="HT1123" s="0"/>
      <c r="HU1123" s="0"/>
      <c r="HV1123" s="0"/>
      <c r="HW1123" s="0"/>
      <c r="HX1123" s="0"/>
      <c r="HY1123" s="0"/>
      <c r="HZ1123" s="0"/>
      <c r="IA1123" s="0"/>
      <c r="IB1123" s="0"/>
      <c r="IC1123" s="0"/>
      <c r="ID1123" s="0"/>
      <c r="IE1123" s="0"/>
      <c r="IF1123" s="0"/>
      <c r="IG1123" s="0"/>
      <c r="IH1123" s="0"/>
      <c r="II1123" s="0"/>
      <c r="IJ1123" s="0"/>
      <c r="IK1123" s="0"/>
      <c r="IL1123" s="0"/>
      <c r="IM1123" s="0"/>
      <c r="IN1123" s="0"/>
      <c r="IO1123" s="0"/>
      <c r="IP1123" s="0"/>
      <c r="IQ1123" s="0"/>
      <c r="IR1123" s="0"/>
      <c r="IS1123" s="0"/>
      <c r="IT1123" s="0"/>
      <c r="IU1123" s="0"/>
      <c r="IV1123" s="0"/>
    </row>
    <row r="1124" customFormat="false" ht="15" hidden="false" customHeight="true" outlineLevel="0" collapsed="false">
      <c r="A1124" s="1318" t="s">
        <v>1732</v>
      </c>
      <c r="B1124" s="1318"/>
      <c r="C1124" s="1318"/>
      <c r="D1124" s="1318"/>
      <c r="E1124" s="1318"/>
      <c r="F1124" s="1318"/>
      <c r="G1124" s="1318"/>
      <c r="H1124" s="1318"/>
      <c r="I1124" s="1318"/>
      <c r="J1124" s="11"/>
      <c r="K1124" s="0"/>
      <c r="L1124" s="0" t="s">
        <v>1323</v>
      </c>
      <c r="M1124" s="0"/>
      <c r="N1124" s="0"/>
      <c r="O1124" s="0"/>
      <c r="P1124" s="0"/>
      <c r="Q1124" s="0"/>
      <c r="R1124" s="0"/>
      <c r="S1124" s="0"/>
      <c r="T1124" s="0"/>
      <c r="U1124" s="0"/>
      <c r="V1124" s="0"/>
      <c r="W1124" s="0"/>
      <c r="X1124" s="0"/>
      <c r="Y1124" s="0"/>
      <c r="Z1124" s="0"/>
      <c r="AA1124" s="0"/>
      <c r="AB1124" s="0"/>
      <c r="AC1124" s="0"/>
      <c r="AD1124" s="0"/>
      <c r="AE1124" s="0"/>
      <c r="AF1124" s="0"/>
      <c r="AG1124" s="0"/>
      <c r="AH1124" s="0"/>
      <c r="AI1124" s="0"/>
      <c r="AJ1124" s="0"/>
      <c r="AK1124" s="0"/>
      <c r="AL1124" s="0"/>
      <c r="AM1124" s="0"/>
      <c r="AN1124" s="0"/>
      <c r="AO1124" s="0"/>
      <c r="AP1124" s="0"/>
      <c r="AQ1124" s="0"/>
      <c r="AR1124" s="0"/>
      <c r="AS1124" s="0"/>
      <c r="AT1124" s="0"/>
      <c r="AU1124" s="0"/>
      <c r="AV1124" s="0"/>
      <c r="AW1124" s="0"/>
      <c r="AX1124" s="0"/>
      <c r="AY1124" s="0"/>
      <c r="AZ1124" s="0"/>
      <c r="BA1124" s="0"/>
      <c r="BB1124" s="0"/>
      <c r="BC1124" s="0"/>
      <c r="BD1124" s="0"/>
      <c r="BE1124" s="0"/>
      <c r="BF1124" s="0"/>
      <c r="BG1124" s="0"/>
      <c r="BH1124" s="0"/>
      <c r="BI1124" s="0"/>
      <c r="BJ1124" s="0"/>
      <c r="BK1124" s="0"/>
      <c r="BL1124" s="0"/>
      <c r="BM1124" s="0"/>
      <c r="BN1124" s="0"/>
      <c r="BO1124" s="0"/>
      <c r="BP1124" s="0"/>
      <c r="BQ1124" s="0"/>
      <c r="BR1124" s="0"/>
      <c r="BS1124" s="0"/>
      <c r="BT1124" s="0"/>
      <c r="BU1124" s="0"/>
      <c r="BV1124" s="0"/>
      <c r="BW1124" s="0"/>
      <c r="BX1124" s="0"/>
      <c r="BY1124" s="0"/>
      <c r="BZ1124" s="0"/>
      <c r="CA1124" s="0"/>
      <c r="CB1124" s="0"/>
      <c r="CC1124" s="0"/>
      <c r="CD1124" s="0"/>
      <c r="CE1124" s="0"/>
      <c r="CF1124" s="0"/>
      <c r="CG1124" s="0"/>
      <c r="CH1124" s="0"/>
      <c r="CI1124" s="0"/>
      <c r="CJ1124" s="0"/>
      <c r="CK1124" s="0"/>
      <c r="CL1124" s="0"/>
      <c r="CM1124" s="0"/>
      <c r="CN1124" s="0"/>
      <c r="CO1124" s="0"/>
      <c r="CP1124" s="0"/>
      <c r="CQ1124" s="0"/>
      <c r="CR1124" s="0"/>
      <c r="CS1124" s="0"/>
      <c r="CT1124" s="0"/>
      <c r="CU1124" s="0"/>
      <c r="CV1124" s="0"/>
      <c r="CW1124" s="0"/>
      <c r="CX1124" s="0"/>
      <c r="CY1124" s="0"/>
      <c r="CZ1124" s="0"/>
      <c r="DA1124" s="0"/>
      <c r="DB1124" s="0"/>
      <c r="DC1124" s="0"/>
      <c r="DD1124" s="0"/>
      <c r="DE1124" s="0"/>
      <c r="DF1124" s="0"/>
      <c r="DG1124" s="0"/>
      <c r="DH1124" s="0"/>
      <c r="DI1124" s="0"/>
      <c r="DJ1124" s="0"/>
      <c r="DK1124" s="0"/>
      <c r="DL1124" s="0"/>
      <c r="DM1124" s="0"/>
      <c r="DN1124" s="0"/>
      <c r="DO1124" s="0"/>
      <c r="DP1124" s="0"/>
      <c r="DQ1124" s="0"/>
      <c r="DR1124" s="0"/>
      <c r="DS1124" s="0"/>
      <c r="DT1124" s="0"/>
      <c r="DU1124" s="0"/>
      <c r="DV1124" s="0"/>
      <c r="DW1124" s="0"/>
      <c r="DX1124" s="0"/>
      <c r="DY1124" s="0"/>
      <c r="DZ1124" s="0"/>
      <c r="EA1124" s="0"/>
      <c r="EB1124" s="0"/>
      <c r="EC1124" s="0"/>
      <c r="ED1124" s="0"/>
      <c r="EE1124" s="0"/>
      <c r="EF1124" s="0"/>
      <c r="EG1124" s="0"/>
      <c r="EH1124" s="0"/>
      <c r="EI1124" s="0"/>
      <c r="EJ1124" s="0"/>
      <c r="EK1124" s="0"/>
      <c r="EL1124" s="0"/>
      <c r="EM1124" s="0"/>
      <c r="EN1124" s="0"/>
      <c r="EO1124" s="0"/>
      <c r="EP1124" s="0"/>
      <c r="EQ1124" s="0"/>
      <c r="ER1124" s="0"/>
      <c r="ES1124" s="0"/>
      <c r="ET1124" s="0"/>
      <c r="EU1124" s="0"/>
      <c r="EV1124" s="0"/>
      <c r="EW1124" s="0"/>
      <c r="EX1124" s="0"/>
      <c r="EY1124" s="0"/>
      <c r="EZ1124" s="0"/>
      <c r="FA1124" s="0"/>
      <c r="FB1124" s="0"/>
      <c r="FC1124" s="0"/>
      <c r="FD1124" s="0"/>
      <c r="FE1124" s="0"/>
      <c r="FF1124" s="0"/>
      <c r="FG1124" s="0"/>
      <c r="FH1124" s="0"/>
      <c r="FI1124" s="0"/>
      <c r="FJ1124" s="0"/>
      <c r="FK1124" s="0"/>
      <c r="FL1124" s="0"/>
      <c r="FM1124" s="0"/>
      <c r="FN1124" s="0"/>
      <c r="FO1124" s="0"/>
      <c r="FP1124" s="0"/>
      <c r="FQ1124" s="0"/>
      <c r="FR1124" s="0"/>
      <c r="FS1124" s="0"/>
      <c r="FT1124" s="0"/>
      <c r="FU1124" s="0"/>
      <c r="FV1124" s="0"/>
      <c r="FW1124" s="0"/>
      <c r="FX1124" s="0"/>
      <c r="FY1124" s="0"/>
      <c r="FZ1124" s="0"/>
      <c r="GA1124" s="0"/>
      <c r="GB1124" s="0"/>
      <c r="GC1124" s="0"/>
      <c r="GD1124" s="0"/>
      <c r="GE1124" s="0"/>
      <c r="GF1124" s="0"/>
      <c r="GG1124" s="0"/>
      <c r="GH1124" s="0"/>
      <c r="GI1124" s="0"/>
      <c r="GJ1124" s="0"/>
      <c r="GK1124" s="0"/>
      <c r="GL1124" s="0"/>
      <c r="GM1124" s="0"/>
      <c r="GN1124" s="0"/>
      <c r="GO1124" s="0"/>
      <c r="GP1124" s="0"/>
      <c r="GQ1124" s="0"/>
      <c r="GR1124" s="0"/>
      <c r="GS1124" s="0"/>
      <c r="GT1124" s="0"/>
      <c r="GU1124" s="0"/>
      <c r="GV1124" s="0"/>
      <c r="GW1124" s="0"/>
      <c r="GX1124" s="0"/>
      <c r="GY1124" s="0"/>
      <c r="GZ1124" s="0"/>
      <c r="HA1124" s="0"/>
      <c r="HB1124" s="0"/>
      <c r="HC1124" s="0"/>
      <c r="HD1124" s="0"/>
      <c r="HE1124" s="0"/>
      <c r="HF1124" s="0"/>
      <c r="HG1124" s="0"/>
      <c r="HH1124" s="0"/>
      <c r="HI1124" s="0"/>
      <c r="HJ1124" s="0"/>
      <c r="HK1124" s="0"/>
      <c r="HL1124" s="0"/>
      <c r="HM1124" s="0"/>
      <c r="HN1124" s="0"/>
      <c r="HO1124" s="0"/>
      <c r="HP1124" s="0"/>
      <c r="HQ1124" s="0"/>
      <c r="HR1124" s="0"/>
      <c r="HS1124" s="0"/>
      <c r="HT1124" s="0"/>
      <c r="HU1124" s="0"/>
      <c r="HV1124" s="0"/>
      <c r="HW1124" s="0"/>
      <c r="HX1124" s="0"/>
      <c r="HY1124" s="0"/>
      <c r="HZ1124" s="0"/>
      <c r="IA1124" s="0"/>
      <c r="IB1124" s="0"/>
      <c r="IC1124" s="0"/>
      <c r="ID1124" s="0"/>
      <c r="IE1124" s="0"/>
      <c r="IF1124" s="0"/>
      <c r="IG1124" s="0"/>
      <c r="IH1124" s="0"/>
      <c r="II1124" s="0"/>
      <c r="IJ1124" s="0"/>
      <c r="IK1124" s="0"/>
      <c r="IL1124" s="0"/>
      <c r="IM1124" s="0"/>
      <c r="IN1124" s="0"/>
      <c r="IO1124" s="0"/>
      <c r="IP1124" s="0"/>
      <c r="IQ1124" s="0"/>
      <c r="IR1124" s="0"/>
      <c r="IS1124" s="0"/>
      <c r="IT1124" s="0"/>
      <c r="IU1124" s="0"/>
      <c r="IV1124" s="0"/>
    </row>
    <row r="1125" customFormat="false" ht="15" hidden="false" customHeight="true" outlineLevel="0" collapsed="false">
      <c r="A1125" s="0"/>
      <c r="B1125" s="0"/>
      <c r="C1125" s="0"/>
      <c r="D1125" s="0"/>
      <c r="E1125" s="0"/>
      <c r="F1125" s="0"/>
      <c r="G1125" s="0"/>
      <c r="H1125" s="0"/>
      <c r="I1125" s="0"/>
      <c r="J1125" s="11"/>
      <c r="K1125" s="0"/>
      <c r="L1125" s="0"/>
      <c r="M1125" s="0"/>
      <c r="N1125" s="0"/>
      <c r="O1125" s="0"/>
      <c r="P1125" s="0"/>
      <c r="Q1125" s="0"/>
      <c r="R1125" s="0"/>
      <c r="S1125" s="0"/>
      <c r="T1125" s="0"/>
      <c r="U1125" s="0"/>
      <c r="V1125" s="0"/>
      <c r="W1125" s="0"/>
      <c r="X1125" s="0"/>
      <c r="Y1125" s="0"/>
      <c r="Z1125" s="0"/>
      <c r="AA1125" s="0"/>
      <c r="AB1125" s="0"/>
      <c r="AC1125" s="0"/>
      <c r="AD1125" s="0"/>
      <c r="AE1125" s="0"/>
      <c r="AF1125" s="0"/>
      <c r="AG1125" s="0"/>
      <c r="AH1125" s="0"/>
      <c r="AI1125" s="0"/>
      <c r="AJ1125" s="0"/>
      <c r="AK1125" s="0"/>
      <c r="AL1125" s="0"/>
      <c r="AM1125" s="0"/>
      <c r="AN1125" s="0"/>
      <c r="AO1125" s="0"/>
      <c r="AP1125" s="0"/>
      <c r="AQ1125" s="0"/>
      <c r="AR1125" s="0"/>
      <c r="AS1125" s="0"/>
      <c r="AT1125" s="0"/>
      <c r="AU1125" s="0"/>
      <c r="AV1125" s="0"/>
      <c r="AW1125" s="0"/>
      <c r="AX1125" s="0"/>
      <c r="AY1125" s="0"/>
      <c r="AZ1125" s="0"/>
      <c r="BA1125" s="0"/>
      <c r="BB1125" s="0"/>
      <c r="BC1125" s="0"/>
      <c r="BD1125" s="0"/>
      <c r="BE1125" s="0"/>
      <c r="BF1125" s="0"/>
      <c r="BG1125" s="0"/>
      <c r="BH1125" s="0"/>
      <c r="BI1125" s="0"/>
      <c r="BJ1125" s="0"/>
      <c r="BK1125" s="0"/>
      <c r="BL1125" s="0"/>
      <c r="BM1125" s="0"/>
      <c r="BN1125" s="0"/>
      <c r="BO1125" s="0"/>
      <c r="BP1125" s="0"/>
      <c r="BQ1125" s="0"/>
      <c r="BR1125" s="0"/>
      <c r="BS1125" s="0"/>
      <c r="BT1125" s="0"/>
      <c r="BU1125" s="0"/>
      <c r="BV1125" s="0"/>
      <c r="BW1125" s="0"/>
      <c r="BX1125" s="0"/>
      <c r="BY1125" s="0"/>
      <c r="BZ1125" s="0"/>
      <c r="CA1125" s="0"/>
      <c r="CB1125" s="0"/>
      <c r="CC1125" s="0"/>
      <c r="CD1125" s="0"/>
      <c r="CE1125" s="0"/>
      <c r="CF1125" s="0"/>
      <c r="CG1125" s="0"/>
      <c r="CH1125" s="0"/>
      <c r="CI1125" s="0"/>
      <c r="CJ1125" s="0"/>
      <c r="CK1125" s="0"/>
      <c r="CL1125" s="0"/>
      <c r="CM1125" s="0"/>
      <c r="CN1125" s="0"/>
      <c r="CO1125" s="0"/>
      <c r="CP1125" s="0"/>
      <c r="CQ1125" s="0"/>
      <c r="CR1125" s="0"/>
      <c r="CS1125" s="0"/>
      <c r="CT1125" s="0"/>
      <c r="CU1125" s="0"/>
      <c r="CV1125" s="0"/>
      <c r="CW1125" s="0"/>
      <c r="CX1125" s="0"/>
      <c r="CY1125" s="0"/>
      <c r="CZ1125" s="0"/>
      <c r="DA1125" s="0"/>
      <c r="DB1125" s="0"/>
      <c r="DC1125" s="0"/>
      <c r="DD1125" s="0"/>
      <c r="DE1125" s="0"/>
      <c r="DF1125" s="0"/>
      <c r="DG1125" s="0"/>
      <c r="DH1125" s="0"/>
      <c r="DI1125" s="0"/>
      <c r="DJ1125" s="0"/>
      <c r="DK1125" s="0"/>
      <c r="DL1125" s="0"/>
      <c r="DM1125" s="0"/>
      <c r="DN1125" s="0"/>
      <c r="DO1125" s="0"/>
      <c r="DP1125" s="0"/>
      <c r="DQ1125" s="0"/>
      <c r="DR1125" s="0"/>
      <c r="DS1125" s="0"/>
      <c r="DT1125" s="0"/>
      <c r="DU1125" s="0"/>
      <c r="DV1125" s="0"/>
      <c r="DW1125" s="0"/>
      <c r="DX1125" s="0"/>
      <c r="DY1125" s="0"/>
      <c r="DZ1125" s="0"/>
      <c r="EA1125" s="0"/>
      <c r="EB1125" s="0"/>
      <c r="EC1125" s="0"/>
      <c r="ED1125" s="0"/>
      <c r="EE1125" s="0"/>
      <c r="EF1125" s="0"/>
      <c r="EG1125" s="0"/>
      <c r="EH1125" s="0"/>
      <c r="EI1125" s="0"/>
      <c r="EJ1125" s="0"/>
      <c r="EK1125" s="0"/>
      <c r="EL1125" s="0"/>
      <c r="EM1125" s="0"/>
      <c r="EN1125" s="0"/>
      <c r="EO1125" s="0"/>
      <c r="EP1125" s="0"/>
      <c r="EQ1125" s="0"/>
      <c r="ER1125" s="0"/>
      <c r="ES1125" s="0"/>
      <c r="ET1125" s="0"/>
      <c r="EU1125" s="0"/>
      <c r="EV1125" s="0"/>
      <c r="EW1125" s="0"/>
      <c r="EX1125" s="0"/>
      <c r="EY1125" s="0"/>
      <c r="EZ1125" s="0"/>
      <c r="FA1125" s="0"/>
      <c r="FB1125" s="0"/>
      <c r="FC1125" s="0"/>
      <c r="FD1125" s="0"/>
      <c r="FE1125" s="0"/>
      <c r="FF1125" s="0"/>
      <c r="FG1125" s="0"/>
      <c r="FH1125" s="0"/>
      <c r="FI1125" s="0"/>
      <c r="FJ1125" s="0"/>
      <c r="FK1125" s="0"/>
      <c r="FL1125" s="0"/>
      <c r="FM1125" s="0"/>
      <c r="FN1125" s="0"/>
      <c r="FO1125" s="0"/>
      <c r="FP1125" s="0"/>
      <c r="FQ1125" s="0"/>
      <c r="FR1125" s="0"/>
      <c r="FS1125" s="0"/>
      <c r="FT1125" s="0"/>
      <c r="FU1125" s="0"/>
      <c r="FV1125" s="0"/>
      <c r="FW1125" s="0"/>
      <c r="FX1125" s="0"/>
      <c r="FY1125" s="0"/>
      <c r="FZ1125" s="0"/>
      <c r="GA1125" s="0"/>
      <c r="GB1125" s="0"/>
      <c r="GC1125" s="0"/>
      <c r="GD1125" s="0"/>
      <c r="GE1125" s="0"/>
      <c r="GF1125" s="0"/>
      <c r="GG1125" s="0"/>
      <c r="GH1125" s="0"/>
      <c r="GI1125" s="0"/>
      <c r="GJ1125" s="0"/>
      <c r="GK1125" s="0"/>
      <c r="GL1125" s="0"/>
      <c r="GM1125" s="0"/>
      <c r="GN1125" s="0"/>
      <c r="GO1125" s="0"/>
      <c r="GP1125" s="0"/>
      <c r="GQ1125" s="0"/>
      <c r="GR1125" s="0"/>
      <c r="GS1125" s="0"/>
      <c r="GT1125" s="0"/>
      <c r="GU1125" s="0"/>
      <c r="GV1125" s="0"/>
      <c r="GW1125" s="0"/>
      <c r="GX1125" s="0"/>
      <c r="GY1125" s="0"/>
      <c r="GZ1125" s="0"/>
      <c r="HA1125" s="0"/>
      <c r="HB1125" s="0"/>
      <c r="HC1125" s="0"/>
      <c r="HD1125" s="0"/>
      <c r="HE1125" s="0"/>
      <c r="HF1125" s="0"/>
      <c r="HG1125" s="0"/>
      <c r="HH1125" s="0"/>
      <c r="HI1125" s="0"/>
      <c r="HJ1125" s="0"/>
      <c r="HK1125" s="0"/>
      <c r="HL1125" s="0"/>
      <c r="HM1125" s="0"/>
      <c r="HN1125" s="0"/>
      <c r="HO1125" s="0"/>
      <c r="HP1125" s="0"/>
      <c r="HQ1125" s="0"/>
      <c r="HR1125" s="0"/>
      <c r="HS1125" s="0"/>
      <c r="HT1125" s="0"/>
      <c r="HU1125" s="0"/>
      <c r="HV1125" s="0"/>
      <c r="HW1125" s="0"/>
      <c r="HX1125" s="0"/>
      <c r="HY1125" s="0"/>
      <c r="HZ1125" s="0"/>
      <c r="IA1125" s="0"/>
      <c r="IB1125" s="0"/>
      <c r="IC1125" s="0"/>
      <c r="ID1125" s="0"/>
      <c r="IE1125" s="0"/>
      <c r="IF1125" s="0"/>
      <c r="IG1125" s="0"/>
      <c r="IH1125" s="0"/>
      <c r="II1125" s="0"/>
      <c r="IJ1125" s="0"/>
      <c r="IK1125" s="0"/>
      <c r="IL1125" s="0"/>
      <c r="IM1125" s="0"/>
      <c r="IN1125" s="0"/>
      <c r="IO1125" s="0"/>
      <c r="IP1125" s="0"/>
      <c r="IQ1125" s="0"/>
      <c r="IR1125" s="0"/>
      <c r="IS1125" s="0"/>
      <c r="IT1125" s="0"/>
      <c r="IU1125" s="0"/>
      <c r="IV1125" s="0"/>
    </row>
    <row r="1126" customFormat="false" ht="15" hidden="false" customHeight="true" outlineLevel="0" collapsed="false">
      <c r="A1126" s="18" t="s">
        <v>626</v>
      </c>
      <c r="B1126" s="307"/>
      <c r="C1126" s="307"/>
      <c r="D1126" s="1119" t="n">
        <f aca="false">SUM(E1127:E1135)</f>
        <v>5</v>
      </c>
      <c r="E1126" s="19"/>
      <c r="F1126" s="18" t="s">
        <v>634</v>
      </c>
      <c r="G1126" s="19"/>
      <c r="H1126" s="19"/>
      <c r="I1126" s="1326" t="n">
        <f aca="false">SUM(J1127:J1134)</f>
        <v>2</v>
      </c>
      <c r="K1126" s="0"/>
      <c r="L1126" s="0"/>
      <c r="M1126" s="0"/>
      <c r="N1126" s="0"/>
      <c r="O1126" s="0"/>
      <c r="P1126" s="0"/>
      <c r="Q1126" s="0"/>
      <c r="R1126" s="0"/>
      <c r="S1126" s="0"/>
      <c r="T1126" s="0"/>
      <c r="U1126" s="0"/>
      <c r="V1126" s="0"/>
      <c r="W1126" s="0"/>
      <c r="X1126" s="0"/>
      <c r="Y1126" s="0"/>
      <c r="Z1126" s="0"/>
      <c r="AA1126" s="0"/>
      <c r="AB1126" s="0"/>
      <c r="AC1126" s="0"/>
      <c r="AD1126" s="0"/>
      <c r="AE1126" s="0"/>
      <c r="AF1126" s="0"/>
      <c r="AG1126" s="0"/>
      <c r="AH1126" s="0"/>
      <c r="AI1126" s="0"/>
      <c r="AJ1126" s="0"/>
      <c r="AK1126" s="0"/>
      <c r="AL1126" s="0"/>
      <c r="AM1126" s="0"/>
      <c r="AN1126" s="0"/>
      <c r="AO1126" s="0"/>
      <c r="AP1126" s="0"/>
      <c r="AQ1126" s="0"/>
      <c r="AR1126" s="0"/>
      <c r="AS1126" s="0"/>
      <c r="AT1126" s="0"/>
      <c r="AU1126" s="0"/>
      <c r="AV1126" s="0"/>
      <c r="AW1126" s="0"/>
      <c r="AX1126" s="0"/>
      <c r="AY1126" s="0"/>
      <c r="AZ1126" s="0"/>
      <c r="BA1126" s="0"/>
      <c r="BB1126" s="0"/>
      <c r="BC1126" s="0"/>
      <c r="BD1126" s="0"/>
      <c r="BE1126" s="0"/>
      <c r="BF1126" s="0"/>
      <c r="BG1126" s="0"/>
      <c r="BH1126" s="0"/>
      <c r="BI1126" s="0"/>
      <c r="BJ1126" s="0"/>
      <c r="BK1126" s="0"/>
      <c r="BL1126" s="0"/>
      <c r="BM1126" s="0"/>
      <c r="BN1126" s="0"/>
      <c r="BO1126" s="0"/>
      <c r="BP1126" s="0"/>
      <c r="BQ1126" s="0"/>
      <c r="BR1126" s="0"/>
      <c r="BS1126" s="0"/>
      <c r="BT1126" s="0"/>
      <c r="BU1126" s="0"/>
      <c r="BV1126" s="0"/>
      <c r="BW1126" s="0"/>
      <c r="BX1126" s="0"/>
      <c r="BY1126" s="0"/>
      <c r="BZ1126" s="0"/>
      <c r="CA1126" s="0"/>
      <c r="CB1126" s="0"/>
      <c r="CC1126" s="0"/>
      <c r="CD1126" s="0"/>
      <c r="CE1126" s="0"/>
      <c r="CF1126" s="0"/>
      <c r="CG1126" s="0"/>
      <c r="CH1126" s="0"/>
      <c r="CI1126" s="0"/>
      <c r="CJ1126" s="0"/>
      <c r="CK1126" s="0"/>
      <c r="CL1126" s="0"/>
      <c r="CM1126" s="0"/>
      <c r="CN1126" s="0"/>
      <c r="CO1126" s="0"/>
      <c r="CP1126" s="0"/>
      <c r="CQ1126" s="0"/>
      <c r="CR1126" s="0"/>
      <c r="CS1126" s="0"/>
      <c r="CT1126" s="0"/>
      <c r="CU1126" s="0"/>
      <c r="CV1126" s="0"/>
      <c r="CW1126" s="0"/>
      <c r="CX1126" s="0"/>
      <c r="CY1126" s="0"/>
      <c r="CZ1126" s="0"/>
      <c r="DA1126" s="0"/>
      <c r="DB1126" s="0"/>
      <c r="DC1126" s="0"/>
      <c r="DD1126" s="0"/>
      <c r="DE1126" s="0"/>
      <c r="DF1126" s="0"/>
      <c r="DG1126" s="0"/>
      <c r="DH1126" s="0"/>
      <c r="DI1126" s="0"/>
      <c r="DJ1126" s="0"/>
      <c r="DK1126" s="0"/>
      <c r="DL1126" s="0"/>
      <c r="DM1126" s="0"/>
      <c r="DN1126" s="0"/>
      <c r="DO1126" s="0"/>
      <c r="DP1126" s="0"/>
      <c r="DQ1126" s="0"/>
      <c r="DR1126" s="0"/>
      <c r="DS1126" s="0"/>
      <c r="DT1126" s="0"/>
      <c r="DU1126" s="0"/>
      <c r="DV1126" s="0"/>
      <c r="DW1126" s="0"/>
      <c r="DX1126" s="0"/>
      <c r="DY1126" s="0"/>
      <c r="DZ1126" s="0"/>
      <c r="EA1126" s="0"/>
      <c r="EB1126" s="0"/>
      <c r="EC1126" s="0"/>
      <c r="ED1126" s="0"/>
      <c r="EE1126" s="0"/>
      <c r="EF1126" s="0"/>
      <c r="EG1126" s="0"/>
      <c r="EH1126" s="0"/>
      <c r="EI1126" s="0"/>
      <c r="EJ1126" s="0"/>
      <c r="EK1126" s="0"/>
      <c r="EL1126" s="0"/>
      <c r="EM1126" s="0"/>
      <c r="EN1126" s="0"/>
      <c r="EO1126" s="0"/>
      <c r="EP1126" s="0"/>
      <c r="EQ1126" s="0"/>
      <c r="ER1126" s="0"/>
      <c r="ES1126" s="0"/>
      <c r="ET1126" s="0"/>
      <c r="EU1126" s="0"/>
      <c r="EV1126" s="0"/>
      <c r="EW1126" s="0"/>
      <c r="EX1126" s="0"/>
      <c r="EY1126" s="0"/>
      <c r="EZ1126" s="0"/>
      <c r="FA1126" s="0"/>
      <c r="FB1126" s="0"/>
      <c r="FC1126" s="0"/>
      <c r="FD1126" s="0"/>
      <c r="FE1126" s="0"/>
      <c r="FF1126" s="0"/>
      <c r="FG1126" s="0"/>
      <c r="FH1126" s="0"/>
      <c r="FI1126" s="0"/>
      <c r="FJ1126" s="0"/>
      <c r="FK1126" s="0"/>
      <c r="FL1126" s="0"/>
      <c r="FM1126" s="0"/>
      <c r="FN1126" s="0"/>
      <c r="FO1126" s="0"/>
      <c r="FP1126" s="0"/>
      <c r="FQ1126" s="0"/>
      <c r="FR1126" s="0"/>
      <c r="FS1126" s="0"/>
      <c r="FT1126" s="0"/>
      <c r="FU1126" s="0"/>
      <c r="FV1126" s="0"/>
      <c r="FW1126" s="0"/>
      <c r="FX1126" s="0"/>
      <c r="FY1126" s="0"/>
      <c r="FZ1126" s="0"/>
      <c r="GA1126" s="0"/>
      <c r="GB1126" s="0"/>
      <c r="GC1126" s="0"/>
      <c r="GD1126" s="0"/>
      <c r="GE1126" s="0"/>
      <c r="GF1126" s="0"/>
      <c r="GG1126" s="0"/>
      <c r="GH1126" s="0"/>
      <c r="GI1126" s="0"/>
      <c r="GJ1126" s="0"/>
      <c r="GK1126" s="0"/>
      <c r="GL1126" s="0"/>
      <c r="GM1126" s="0"/>
      <c r="GN1126" s="0"/>
      <c r="GO1126" s="0"/>
      <c r="GP1126" s="0"/>
      <c r="GQ1126" s="0"/>
      <c r="GR1126" s="0"/>
      <c r="GS1126" s="0"/>
      <c r="GT1126" s="0"/>
      <c r="GU1126" s="0"/>
      <c r="GV1126" s="0"/>
      <c r="GW1126" s="0"/>
      <c r="GX1126" s="0"/>
      <c r="GY1126" s="0"/>
      <c r="GZ1126" s="0"/>
      <c r="HA1126" s="0"/>
      <c r="HB1126" s="0"/>
      <c r="HC1126" s="0"/>
      <c r="HD1126" s="0"/>
      <c r="HE1126" s="0"/>
      <c r="HF1126" s="0"/>
      <c r="HG1126" s="0"/>
      <c r="HH1126" s="0"/>
      <c r="HI1126" s="0"/>
      <c r="HJ1126" s="0"/>
      <c r="HK1126" s="0"/>
      <c r="HL1126" s="0"/>
      <c r="HM1126" s="0"/>
      <c r="HN1126" s="0"/>
      <c r="HO1126" s="0"/>
      <c r="HP1126" s="0"/>
      <c r="HQ1126" s="0"/>
      <c r="HR1126" s="0"/>
      <c r="HS1126" s="0"/>
      <c r="HT1126" s="0"/>
      <c r="HU1126" s="0"/>
      <c r="HV1126" s="0"/>
      <c r="HW1126" s="0"/>
      <c r="HX1126" s="0"/>
      <c r="HY1126" s="0"/>
      <c r="HZ1126" s="0"/>
      <c r="IA1126" s="0"/>
      <c r="IB1126" s="0"/>
      <c r="IC1126" s="0"/>
      <c r="ID1126" s="0"/>
      <c r="IE1126" s="0"/>
      <c r="IF1126" s="0"/>
      <c r="IG1126" s="0"/>
      <c r="IH1126" s="0"/>
      <c r="II1126" s="0"/>
      <c r="IJ1126" s="0"/>
      <c r="IK1126" s="0"/>
      <c r="IL1126" s="0"/>
      <c r="IM1126" s="0"/>
      <c r="IN1126" s="0"/>
      <c r="IO1126" s="0"/>
      <c r="IP1126" s="0"/>
      <c r="IQ1126" s="0"/>
      <c r="IR1126" s="0"/>
      <c r="IS1126" s="0"/>
      <c r="IT1126" s="0"/>
      <c r="IU1126" s="0"/>
      <c r="IV1126" s="0"/>
    </row>
    <row r="1127" customFormat="false" ht="15" hidden="false" customHeight="true" outlineLevel="0" collapsed="false">
      <c r="A1127" s="1320" t="s">
        <v>627</v>
      </c>
      <c r="B1127" s="307"/>
      <c r="D1127" s="1327" t="s">
        <v>253</v>
      </c>
      <c r="E1127" s="1321" t="n">
        <f aca="false">IF(D1127="oui",1,0)</f>
        <v>1</v>
      </c>
      <c r="F1127" s="1040" t="s">
        <v>635</v>
      </c>
      <c r="G1127" s="1040"/>
      <c r="H1127" s="1040"/>
      <c r="I1127" s="431" t="s">
        <v>254</v>
      </c>
      <c r="J1127" s="1321" t="n">
        <f aca="false">IF(I1127="oui",1,0)</f>
        <v>0</v>
      </c>
      <c r="K1127" s="0"/>
      <c r="L1127" s="0"/>
      <c r="M1127" s="0"/>
      <c r="N1127" s="0"/>
      <c r="O1127" s="0"/>
      <c r="P1127" s="0"/>
      <c r="Q1127" s="0"/>
      <c r="R1127" s="0"/>
      <c r="S1127" s="0"/>
      <c r="T1127" s="0"/>
      <c r="U1127" s="0"/>
      <c r="V1127" s="0"/>
      <c r="W1127" s="0"/>
      <c r="X1127" s="0"/>
      <c r="Y1127" s="0"/>
      <c r="Z1127" s="0"/>
      <c r="AA1127" s="0"/>
      <c r="AB1127" s="0"/>
      <c r="AC1127" s="0"/>
      <c r="AD1127" s="0"/>
      <c r="AE1127" s="0"/>
      <c r="AF1127" s="0"/>
      <c r="AG1127" s="0"/>
      <c r="AH1127" s="0"/>
      <c r="AI1127" s="0"/>
      <c r="AJ1127" s="0"/>
      <c r="AK1127" s="0"/>
      <c r="AL1127" s="0"/>
      <c r="AM1127" s="0"/>
      <c r="AN1127" s="0"/>
      <c r="AO1127" s="0"/>
      <c r="AP1127" s="0"/>
      <c r="AQ1127" s="0"/>
      <c r="AR1127" s="0"/>
      <c r="AS1127" s="0"/>
      <c r="AT1127" s="0"/>
      <c r="AU1127" s="0"/>
      <c r="AV1127" s="0"/>
      <c r="AW1127" s="0"/>
      <c r="AX1127" s="0"/>
      <c r="AY1127" s="0"/>
      <c r="AZ1127" s="0"/>
      <c r="BA1127" s="0"/>
      <c r="BB1127" s="0"/>
      <c r="BC1127" s="0"/>
      <c r="BD1127" s="0"/>
      <c r="BE1127" s="0"/>
      <c r="BF1127" s="0"/>
      <c r="BG1127" s="0"/>
      <c r="BH1127" s="0"/>
      <c r="BI1127" s="0"/>
      <c r="BJ1127" s="0"/>
      <c r="BK1127" s="0"/>
      <c r="BL1127" s="0"/>
      <c r="BM1127" s="0"/>
      <c r="BN1127" s="0"/>
      <c r="BO1127" s="0"/>
      <c r="BP1127" s="0"/>
      <c r="BQ1127" s="0"/>
      <c r="BR1127" s="0"/>
      <c r="BS1127" s="0"/>
      <c r="BT1127" s="0"/>
      <c r="BU1127" s="0"/>
      <c r="BV1127" s="0"/>
      <c r="BW1127" s="0"/>
      <c r="BX1127" s="0"/>
      <c r="BY1127" s="0"/>
      <c r="BZ1127" s="0"/>
      <c r="CA1127" s="0"/>
      <c r="CB1127" s="0"/>
      <c r="CC1127" s="0"/>
      <c r="CD1127" s="0"/>
      <c r="CE1127" s="0"/>
      <c r="CF1127" s="0"/>
      <c r="CG1127" s="0"/>
      <c r="CH1127" s="0"/>
      <c r="CI1127" s="0"/>
      <c r="CJ1127" s="0"/>
      <c r="CK1127" s="0"/>
      <c r="CL1127" s="0"/>
      <c r="CM1127" s="0"/>
      <c r="CN1127" s="0"/>
      <c r="CO1127" s="0"/>
      <c r="CP1127" s="0"/>
      <c r="CQ1127" s="0"/>
      <c r="CR1127" s="0"/>
      <c r="CS1127" s="0"/>
      <c r="CT1127" s="0"/>
      <c r="CU1127" s="0"/>
      <c r="CV1127" s="0"/>
      <c r="CW1127" s="0"/>
      <c r="CX1127" s="0"/>
      <c r="CY1127" s="0"/>
      <c r="CZ1127" s="0"/>
      <c r="DA1127" s="0"/>
      <c r="DB1127" s="0"/>
      <c r="DC1127" s="0"/>
      <c r="DD1127" s="0"/>
      <c r="DE1127" s="0"/>
      <c r="DF1127" s="0"/>
      <c r="DG1127" s="0"/>
      <c r="DH1127" s="0"/>
      <c r="DI1127" s="0"/>
      <c r="DJ1127" s="0"/>
      <c r="DK1127" s="0"/>
      <c r="DL1127" s="0"/>
      <c r="DM1127" s="0"/>
      <c r="DN1127" s="0"/>
      <c r="DO1127" s="0"/>
      <c r="DP1127" s="0"/>
      <c r="DQ1127" s="0"/>
      <c r="DR1127" s="0"/>
      <c r="DS1127" s="0"/>
      <c r="DT1127" s="0"/>
      <c r="DU1127" s="0"/>
      <c r="DV1127" s="0"/>
      <c r="DW1127" s="0"/>
      <c r="DX1127" s="0"/>
      <c r="DY1127" s="0"/>
      <c r="DZ1127" s="0"/>
      <c r="EA1127" s="0"/>
      <c r="EB1127" s="0"/>
      <c r="EC1127" s="0"/>
      <c r="ED1127" s="0"/>
      <c r="EE1127" s="0"/>
      <c r="EF1127" s="0"/>
      <c r="EG1127" s="0"/>
      <c r="EH1127" s="0"/>
      <c r="EI1127" s="0"/>
      <c r="EJ1127" s="0"/>
      <c r="EK1127" s="0"/>
      <c r="EL1127" s="0"/>
      <c r="EM1127" s="0"/>
      <c r="EN1127" s="0"/>
      <c r="EO1127" s="0"/>
      <c r="EP1127" s="0"/>
      <c r="EQ1127" s="0"/>
      <c r="ER1127" s="0"/>
      <c r="ES1127" s="0"/>
      <c r="ET1127" s="0"/>
      <c r="EU1127" s="0"/>
      <c r="EV1127" s="0"/>
      <c r="EW1127" s="0"/>
      <c r="EX1127" s="0"/>
      <c r="EY1127" s="0"/>
      <c r="EZ1127" s="0"/>
      <c r="FA1127" s="0"/>
      <c r="FB1127" s="0"/>
      <c r="FC1127" s="0"/>
      <c r="FD1127" s="0"/>
      <c r="FE1127" s="0"/>
      <c r="FF1127" s="0"/>
      <c r="FG1127" s="0"/>
      <c r="FH1127" s="0"/>
      <c r="FI1127" s="0"/>
      <c r="FJ1127" s="0"/>
      <c r="FK1127" s="0"/>
      <c r="FL1127" s="0"/>
      <c r="FM1127" s="0"/>
      <c r="FN1127" s="0"/>
      <c r="FO1127" s="0"/>
      <c r="FP1127" s="0"/>
      <c r="FQ1127" s="0"/>
      <c r="FR1127" s="0"/>
      <c r="FS1127" s="0"/>
      <c r="FT1127" s="0"/>
      <c r="FU1127" s="0"/>
      <c r="FV1127" s="0"/>
      <c r="FW1127" s="0"/>
      <c r="FX1127" s="0"/>
      <c r="FY1127" s="0"/>
      <c r="FZ1127" s="0"/>
      <c r="GA1127" s="0"/>
      <c r="GB1127" s="0"/>
      <c r="GC1127" s="0"/>
      <c r="GD1127" s="0"/>
      <c r="GE1127" s="0"/>
      <c r="GF1127" s="0"/>
      <c r="GG1127" s="0"/>
      <c r="GH1127" s="0"/>
      <c r="GI1127" s="0"/>
      <c r="GJ1127" s="0"/>
      <c r="GK1127" s="0"/>
      <c r="GL1127" s="0"/>
      <c r="GM1127" s="0"/>
      <c r="GN1127" s="0"/>
      <c r="GO1127" s="0"/>
      <c r="GP1127" s="0"/>
      <c r="GQ1127" s="0"/>
      <c r="GR1127" s="0"/>
      <c r="GS1127" s="0"/>
      <c r="GT1127" s="0"/>
      <c r="GU1127" s="0"/>
      <c r="GV1127" s="0"/>
      <c r="GW1127" s="0"/>
      <c r="GX1127" s="0"/>
      <c r="GY1127" s="0"/>
      <c r="GZ1127" s="0"/>
      <c r="HA1127" s="0"/>
      <c r="HB1127" s="0"/>
      <c r="HC1127" s="0"/>
      <c r="HD1127" s="0"/>
      <c r="HE1127" s="0"/>
      <c r="HF1127" s="0"/>
      <c r="HG1127" s="0"/>
      <c r="HH1127" s="0"/>
      <c r="HI1127" s="0"/>
      <c r="HJ1127" s="0"/>
      <c r="HK1127" s="0"/>
      <c r="HL1127" s="0"/>
      <c r="HM1127" s="0"/>
      <c r="HN1127" s="0"/>
      <c r="HO1127" s="0"/>
      <c r="HP1127" s="0"/>
      <c r="HQ1127" s="0"/>
      <c r="HR1127" s="0"/>
      <c r="HS1127" s="0"/>
      <c r="HT1127" s="0"/>
      <c r="HU1127" s="0"/>
      <c r="HV1127" s="0"/>
      <c r="HW1127" s="0"/>
      <c r="HX1127" s="0"/>
      <c r="HY1127" s="0"/>
      <c r="HZ1127" s="0"/>
      <c r="IA1127" s="0"/>
      <c r="IB1127" s="0"/>
      <c r="IC1127" s="0"/>
      <c r="ID1127" s="0"/>
      <c r="IE1127" s="0"/>
      <c r="IF1127" s="0"/>
      <c r="IG1127" s="0"/>
      <c r="IH1127" s="0"/>
      <c r="II1127" s="0"/>
      <c r="IJ1127" s="0"/>
      <c r="IK1127" s="0"/>
      <c r="IL1127" s="0"/>
      <c r="IM1127" s="0"/>
      <c r="IN1127" s="0"/>
      <c r="IO1127" s="0"/>
      <c r="IP1127" s="0"/>
      <c r="IQ1127" s="0"/>
      <c r="IR1127" s="0"/>
      <c r="IS1127" s="0"/>
      <c r="IT1127" s="0"/>
      <c r="IU1127" s="0"/>
      <c r="IV1127" s="0"/>
    </row>
    <row r="1128" customFormat="false" ht="15" hidden="false" customHeight="true" outlineLevel="0" collapsed="false">
      <c r="A1128" s="1040" t="s">
        <v>628</v>
      </c>
      <c r="B1128" s="1040"/>
      <c r="C1128" s="1040"/>
      <c r="D1128" s="1327" t="s">
        <v>253</v>
      </c>
      <c r="E1128" s="1321" t="n">
        <f aca="false">IF(D1128="oui",1,0)</f>
        <v>1</v>
      </c>
      <c r="F1128" s="1040"/>
      <c r="G1128" s="1040"/>
      <c r="H1128" s="1040"/>
      <c r="I1128" s="431"/>
      <c r="J1128" s="1321"/>
      <c r="K1128" s="0"/>
      <c r="L1128" s="0"/>
      <c r="M1128" s="0"/>
      <c r="N1128" s="0"/>
      <c r="O1128" s="0"/>
      <c r="P1128" s="0"/>
      <c r="Q1128" s="0"/>
      <c r="R1128" s="0"/>
      <c r="S1128" s="0"/>
      <c r="T1128" s="0"/>
      <c r="U1128" s="0"/>
      <c r="V1128" s="0"/>
      <c r="W1128" s="0"/>
      <c r="X1128" s="0"/>
      <c r="Y1128" s="0"/>
      <c r="Z1128" s="0"/>
      <c r="AA1128" s="0"/>
      <c r="AB1128" s="0"/>
      <c r="AC1128" s="0"/>
      <c r="AD1128" s="0"/>
      <c r="AE1128" s="0"/>
      <c r="AF1128" s="0"/>
      <c r="AG1128" s="0"/>
      <c r="AH1128" s="0"/>
      <c r="AI1128" s="0"/>
      <c r="AJ1128" s="0"/>
      <c r="AK1128" s="0"/>
      <c r="AL1128" s="0"/>
      <c r="AM1128" s="0"/>
      <c r="AN1128" s="0"/>
      <c r="AO1128" s="0"/>
      <c r="AP1128" s="0"/>
      <c r="AQ1128" s="0"/>
      <c r="AR1128" s="0"/>
      <c r="AS1128" s="0"/>
      <c r="AT1128" s="0"/>
      <c r="AU1128" s="0"/>
      <c r="AV1128" s="0"/>
      <c r="AW1128" s="0"/>
      <c r="AX1128" s="0"/>
      <c r="AY1128" s="0"/>
      <c r="AZ1128" s="0"/>
      <c r="BA1128" s="0"/>
      <c r="BB1128" s="0"/>
      <c r="BC1128" s="0"/>
      <c r="BD1128" s="0"/>
      <c r="BE1128" s="0"/>
      <c r="BF1128" s="0"/>
      <c r="BG1128" s="0"/>
      <c r="BH1128" s="0"/>
      <c r="BI1128" s="0"/>
      <c r="BJ1128" s="0"/>
      <c r="BK1128" s="0"/>
      <c r="BL1128" s="0"/>
      <c r="BM1128" s="0"/>
      <c r="BN1128" s="0"/>
      <c r="BO1128" s="0"/>
      <c r="BP1128" s="0"/>
      <c r="BQ1128" s="0"/>
      <c r="BR1128" s="0"/>
      <c r="BS1128" s="0"/>
      <c r="BT1128" s="0"/>
      <c r="BU1128" s="0"/>
      <c r="BV1128" s="0"/>
      <c r="BW1128" s="0"/>
      <c r="BX1128" s="0"/>
      <c r="BY1128" s="0"/>
      <c r="BZ1128" s="0"/>
      <c r="CA1128" s="0"/>
      <c r="CB1128" s="0"/>
      <c r="CC1128" s="0"/>
      <c r="CD1128" s="0"/>
      <c r="CE1128" s="0"/>
      <c r="CF1128" s="0"/>
      <c r="CG1128" s="0"/>
      <c r="CH1128" s="0"/>
      <c r="CI1128" s="0"/>
      <c r="CJ1128" s="0"/>
      <c r="CK1128" s="0"/>
      <c r="CL1128" s="0"/>
      <c r="CM1128" s="0"/>
      <c r="CN1128" s="0"/>
      <c r="CO1128" s="0"/>
      <c r="CP1128" s="0"/>
      <c r="CQ1128" s="0"/>
      <c r="CR1128" s="0"/>
      <c r="CS1128" s="0"/>
      <c r="CT1128" s="0"/>
      <c r="CU1128" s="0"/>
      <c r="CV1128" s="0"/>
      <c r="CW1128" s="0"/>
      <c r="CX1128" s="0"/>
      <c r="CY1128" s="0"/>
      <c r="CZ1128" s="0"/>
      <c r="DA1128" s="0"/>
      <c r="DB1128" s="0"/>
      <c r="DC1128" s="0"/>
      <c r="DD1128" s="0"/>
      <c r="DE1128" s="0"/>
      <c r="DF1128" s="0"/>
      <c r="DG1128" s="0"/>
      <c r="DH1128" s="0"/>
      <c r="DI1128" s="0"/>
      <c r="DJ1128" s="0"/>
      <c r="DK1128" s="0"/>
      <c r="DL1128" s="0"/>
      <c r="DM1128" s="0"/>
      <c r="DN1128" s="0"/>
      <c r="DO1128" s="0"/>
      <c r="DP1128" s="0"/>
      <c r="DQ1128" s="0"/>
      <c r="DR1128" s="0"/>
      <c r="DS1128" s="0"/>
      <c r="DT1128" s="0"/>
      <c r="DU1128" s="0"/>
      <c r="DV1128" s="0"/>
      <c r="DW1128" s="0"/>
      <c r="DX1128" s="0"/>
      <c r="DY1128" s="0"/>
      <c r="DZ1128" s="0"/>
      <c r="EA1128" s="0"/>
      <c r="EB1128" s="0"/>
      <c r="EC1128" s="0"/>
      <c r="ED1128" s="0"/>
      <c r="EE1128" s="0"/>
      <c r="EF1128" s="0"/>
      <c r="EG1128" s="0"/>
      <c r="EH1128" s="0"/>
      <c r="EI1128" s="0"/>
      <c r="EJ1128" s="0"/>
      <c r="EK1128" s="0"/>
      <c r="EL1128" s="0"/>
      <c r="EM1128" s="0"/>
      <c r="EN1128" s="0"/>
      <c r="EO1128" s="0"/>
      <c r="EP1128" s="0"/>
      <c r="EQ1128" s="0"/>
      <c r="ER1128" s="0"/>
      <c r="ES1128" s="0"/>
      <c r="ET1128" s="0"/>
      <c r="EU1128" s="0"/>
      <c r="EV1128" s="0"/>
      <c r="EW1128" s="0"/>
      <c r="EX1128" s="0"/>
      <c r="EY1128" s="0"/>
      <c r="EZ1128" s="0"/>
      <c r="FA1128" s="0"/>
      <c r="FB1128" s="0"/>
      <c r="FC1128" s="0"/>
      <c r="FD1128" s="0"/>
      <c r="FE1128" s="0"/>
      <c r="FF1128" s="0"/>
      <c r="FG1128" s="0"/>
      <c r="FH1128" s="0"/>
      <c r="FI1128" s="0"/>
      <c r="FJ1128" s="0"/>
      <c r="FK1128" s="0"/>
      <c r="FL1128" s="0"/>
      <c r="FM1128" s="0"/>
      <c r="FN1128" s="0"/>
      <c r="FO1128" s="0"/>
      <c r="FP1128" s="0"/>
      <c r="FQ1128" s="0"/>
      <c r="FR1128" s="0"/>
      <c r="FS1128" s="0"/>
      <c r="FT1128" s="0"/>
      <c r="FU1128" s="0"/>
      <c r="FV1128" s="0"/>
      <c r="FW1128" s="0"/>
      <c r="FX1128" s="0"/>
      <c r="FY1128" s="0"/>
      <c r="FZ1128" s="0"/>
      <c r="GA1128" s="0"/>
      <c r="GB1128" s="0"/>
      <c r="GC1128" s="0"/>
      <c r="GD1128" s="0"/>
      <c r="GE1128" s="0"/>
      <c r="GF1128" s="0"/>
      <c r="GG1128" s="0"/>
      <c r="GH1128" s="0"/>
      <c r="GI1128" s="0"/>
      <c r="GJ1128" s="0"/>
      <c r="GK1128" s="0"/>
      <c r="GL1128" s="0"/>
      <c r="GM1128" s="0"/>
      <c r="GN1128" s="0"/>
      <c r="GO1128" s="0"/>
      <c r="GP1128" s="0"/>
      <c r="GQ1128" s="0"/>
      <c r="GR1128" s="0"/>
      <c r="GS1128" s="0"/>
      <c r="GT1128" s="0"/>
      <c r="GU1128" s="0"/>
      <c r="GV1128" s="0"/>
      <c r="GW1128" s="0"/>
      <c r="GX1128" s="0"/>
      <c r="GY1128" s="0"/>
      <c r="GZ1128" s="0"/>
      <c r="HA1128" s="0"/>
      <c r="HB1128" s="0"/>
      <c r="HC1128" s="0"/>
      <c r="HD1128" s="0"/>
      <c r="HE1128" s="0"/>
      <c r="HF1128" s="0"/>
      <c r="HG1128" s="0"/>
      <c r="HH1128" s="0"/>
      <c r="HI1128" s="0"/>
      <c r="HJ1128" s="0"/>
      <c r="HK1128" s="0"/>
      <c r="HL1128" s="0"/>
      <c r="HM1128" s="0"/>
      <c r="HN1128" s="0"/>
      <c r="HO1128" s="0"/>
      <c r="HP1128" s="0"/>
      <c r="HQ1128" s="0"/>
      <c r="HR1128" s="0"/>
      <c r="HS1128" s="0"/>
      <c r="HT1128" s="0"/>
      <c r="HU1128" s="0"/>
      <c r="HV1128" s="0"/>
      <c r="HW1128" s="0"/>
      <c r="HX1128" s="0"/>
      <c r="HY1128" s="0"/>
      <c r="HZ1128" s="0"/>
      <c r="IA1128" s="0"/>
      <c r="IB1128" s="0"/>
      <c r="IC1128" s="0"/>
      <c r="ID1128" s="0"/>
      <c r="IE1128" s="0"/>
      <c r="IF1128" s="0"/>
      <c r="IG1128" s="0"/>
      <c r="IH1128" s="0"/>
      <c r="II1128" s="0"/>
      <c r="IJ1128" s="0"/>
      <c r="IK1128" s="0"/>
      <c r="IL1128" s="0"/>
      <c r="IM1128" s="0"/>
      <c r="IN1128" s="0"/>
      <c r="IO1128" s="0"/>
      <c r="IP1128" s="0"/>
      <c r="IQ1128" s="0"/>
      <c r="IR1128" s="0"/>
      <c r="IS1128" s="0"/>
      <c r="IT1128" s="0"/>
      <c r="IU1128" s="0"/>
      <c r="IV1128" s="0"/>
    </row>
    <row r="1129" customFormat="false" ht="15" hidden="false" customHeight="true" outlineLevel="0" collapsed="false">
      <c r="A1129" s="1040"/>
      <c r="B1129" s="1040"/>
      <c r="C1129" s="1040"/>
      <c r="D1129" s="1327"/>
      <c r="E1129" s="1321"/>
      <c r="F1129" s="1040" t="s">
        <v>636</v>
      </c>
      <c r="G1129" s="1040"/>
      <c r="H1129" s="1040"/>
      <c r="I1129" s="431" t="s">
        <v>253</v>
      </c>
      <c r="J1129" s="1321" t="n">
        <f aca="false">IF(I1129="oui",1,0)</f>
        <v>1</v>
      </c>
      <c r="K1129" s="0"/>
      <c r="L1129" s="0"/>
      <c r="M1129" s="0"/>
      <c r="N1129" s="0"/>
      <c r="O1129" s="0"/>
      <c r="P1129" s="0"/>
      <c r="Q1129" s="0"/>
      <c r="R1129" s="0"/>
      <c r="S1129" s="0"/>
      <c r="T1129" s="0"/>
      <c r="U1129" s="0"/>
      <c r="V1129" s="0"/>
      <c r="W1129" s="0"/>
      <c r="X1129" s="0"/>
      <c r="Y1129" s="0"/>
      <c r="Z1129" s="0"/>
      <c r="AA1129" s="0"/>
      <c r="AB1129" s="0"/>
      <c r="AC1129" s="0"/>
      <c r="AD1129" s="0"/>
      <c r="AE1129" s="0"/>
      <c r="AF1129" s="0"/>
      <c r="AG1129" s="0"/>
      <c r="AH1129" s="0"/>
      <c r="AI1129" s="0"/>
      <c r="AJ1129" s="0"/>
      <c r="AK1129" s="0"/>
      <c r="AL1129" s="0"/>
      <c r="AM1129" s="0"/>
      <c r="AN1129" s="0"/>
      <c r="AO1129" s="0"/>
      <c r="AP1129" s="0"/>
      <c r="AQ1129" s="0"/>
      <c r="AR1129" s="0"/>
      <c r="AS1129" s="0"/>
      <c r="AT1129" s="0"/>
      <c r="AU1129" s="0"/>
      <c r="AV1129" s="0"/>
      <c r="AW1129" s="0"/>
      <c r="AX1129" s="0"/>
      <c r="AY1129" s="0"/>
      <c r="AZ1129" s="0"/>
      <c r="BA1129" s="0"/>
      <c r="BB1129" s="0"/>
      <c r="BC1129" s="0"/>
      <c r="BD1129" s="0"/>
      <c r="BE1129" s="0"/>
      <c r="BF1129" s="0"/>
      <c r="BG1129" s="0"/>
      <c r="BH1129" s="0"/>
      <c r="BI1129" s="0"/>
      <c r="BJ1129" s="0"/>
      <c r="BK1129" s="0"/>
      <c r="BL1129" s="0"/>
      <c r="BM1129" s="0"/>
      <c r="BN1129" s="0"/>
      <c r="BO1129" s="0"/>
      <c r="BP1129" s="0"/>
      <c r="BQ1129" s="0"/>
      <c r="BR1129" s="0"/>
      <c r="BS1129" s="0"/>
      <c r="BT1129" s="0"/>
      <c r="BU1129" s="0"/>
      <c r="BV1129" s="0"/>
      <c r="BW1129" s="0"/>
      <c r="BX1129" s="0"/>
      <c r="BY1129" s="0"/>
      <c r="BZ1129" s="0"/>
      <c r="CA1129" s="0"/>
      <c r="CB1129" s="0"/>
      <c r="CC1129" s="0"/>
      <c r="CD1129" s="0"/>
      <c r="CE1129" s="0"/>
      <c r="CF1129" s="0"/>
      <c r="CG1129" s="0"/>
      <c r="CH1129" s="0"/>
      <c r="CI1129" s="0"/>
      <c r="CJ1129" s="0"/>
      <c r="CK1129" s="0"/>
      <c r="CL1129" s="0"/>
      <c r="CM1129" s="0"/>
      <c r="CN1129" s="0"/>
      <c r="CO1129" s="0"/>
      <c r="CP1129" s="0"/>
      <c r="CQ1129" s="0"/>
      <c r="CR1129" s="0"/>
      <c r="CS1129" s="0"/>
      <c r="CT1129" s="0"/>
      <c r="CU1129" s="0"/>
      <c r="CV1129" s="0"/>
      <c r="CW1129" s="0"/>
      <c r="CX1129" s="0"/>
      <c r="CY1129" s="0"/>
      <c r="CZ1129" s="0"/>
      <c r="DA1129" s="0"/>
      <c r="DB1129" s="0"/>
      <c r="DC1129" s="0"/>
      <c r="DD1129" s="0"/>
      <c r="DE1129" s="0"/>
      <c r="DF1129" s="0"/>
      <c r="DG1129" s="0"/>
      <c r="DH1129" s="0"/>
      <c r="DI1129" s="0"/>
      <c r="DJ1129" s="0"/>
      <c r="DK1129" s="0"/>
      <c r="DL1129" s="0"/>
      <c r="DM1129" s="0"/>
      <c r="DN1129" s="0"/>
      <c r="DO1129" s="0"/>
      <c r="DP1129" s="0"/>
      <c r="DQ1129" s="0"/>
      <c r="DR1129" s="0"/>
      <c r="DS1129" s="0"/>
      <c r="DT1129" s="0"/>
      <c r="DU1129" s="0"/>
      <c r="DV1129" s="0"/>
      <c r="DW1129" s="0"/>
      <c r="DX1129" s="0"/>
      <c r="DY1129" s="0"/>
      <c r="DZ1129" s="0"/>
      <c r="EA1129" s="0"/>
      <c r="EB1129" s="0"/>
      <c r="EC1129" s="0"/>
      <c r="ED1129" s="0"/>
      <c r="EE1129" s="0"/>
      <c r="EF1129" s="0"/>
      <c r="EG1129" s="0"/>
      <c r="EH1129" s="0"/>
      <c r="EI1129" s="0"/>
      <c r="EJ1129" s="0"/>
      <c r="EK1129" s="0"/>
      <c r="EL1129" s="0"/>
      <c r="EM1129" s="0"/>
      <c r="EN1129" s="0"/>
      <c r="EO1129" s="0"/>
      <c r="EP1129" s="0"/>
      <c r="EQ1129" s="0"/>
      <c r="ER1129" s="0"/>
      <c r="ES1129" s="0"/>
      <c r="ET1129" s="0"/>
      <c r="EU1129" s="0"/>
      <c r="EV1129" s="0"/>
      <c r="EW1129" s="0"/>
      <c r="EX1129" s="0"/>
      <c r="EY1129" s="0"/>
      <c r="EZ1129" s="0"/>
      <c r="FA1129" s="0"/>
      <c r="FB1129" s="0"/>
      <c r="FC1129" s="0"/>
      <c r="FD1129" s="0"/>
      <c r="FE1129" s="0"/>
      <c r="FF1129" s="0"/>
      <c r="FG1129" s="0"/>
      <c r="FH1129" s="0"/>
      <c r="FI1129" s="0"/>
      <c r="FJ1129" s="0"/>
      <c r="FK1129" s="0"/>
      <c r="FL1129" s="0"/>
      <c r="FM1129" s="0"/>
      <c r="FN1129" s="0"/>
      <c r="FO1129" s="0"/>
      <c r="FP1129" s="0"/>
      <c r="FQ1129" s="0"/>
      <c r="FR1129" s="0"/>
      <c r="FS1129" s="0"/>
      <c r="FT1129" s="0"/>
      <c r="FU1129" s="0"/>
      <c r="FV1129" s="0"/>
      <c r="FW1129" s="0"/>
      <c r="FX1129" s="0"/>
      <c r="FY1129" s="0"/>
      <c r="FZ1129" s="0"/>
      <c r="GA1129" s="0"/>
      <c r="GB1129" s="0"/>
      <c r="GC1129" s="0"/>
      <c r="GD1129" s="0"/>
      <c r="GE1129" s="0"/>
      <c r="GF1129" s="0"/>
      <c r="GG1129" s="0"/>
      <c r="GH1129" s="0"/>
      <c r="GI1129" s="0"/>
      <c r="GJ1129" s="0"/>
      <c r="GK1129" s="0"/>
      <c r="GL1129" s="0"/>
      <c r="GM1129" s="0"/>
      <c r="GN1129" s="0"/>
      <c r="GO1129" s="0"/>
      <c r="GP1129" s="0"/>
      <c r="GQ1129" s="0"/>
      <c r="GR1129" s="0"/>
      <c r="GS1129" s="0"/>
      <c r="GT1129" s="0"/>
      <c r="GU1129" s="0"/>
      <c r="GV1129" s="0"/>
      <c r="GW1129" s="0"/>
      <c r="GX1129" s="0"/>
      <c r="GY1129" s="0"/>
      <c r="GZ1129" s="0"/>
      <c r="HA1129" s="0"/>
      <c r="HB1129" s="0"/>
      <c r="HC1129" s="0"/>
      <c r="HD1129" s="0"/>
      <c r="HE1129" s="0"/>
      <c r="HF1129" s="0"/>
      <c r="HG1129" s="0"/>
      <c r="HH1129" s="0"/>
      <c r="HI1129" s="0"/>
      <c r="HJ1129" s="0"/>
      <c r="HK1129" s="0"/>
      <c r="HL1129" s="0"/>
      <c r="HM1129" s="0"/>
      <c r="HN1129" s="0"/>
      <c r="HO1129" s="0"/>
      <c r="HP1129" s="0"/>
      <c r="HQ1129" s="0"/>
      <c r="HR1129" s="0"/>
      <c r="HS1129" s="0"/>
      <c r="HT1129" s="0"/>
      <c r="HU1129" s="0"/>
      <c r="HV1129" s="0"/>
      <c r="HW1129" s="0"/>
      <c r="HX1129" s="0"/>
      <c r="HY1129" s="0"/>
      <c r="HZ1129" s="0"/>
      <c r="IA1129" s="0"/>
      <c r="IB1129" s="0"/>
      <c r="IC1129" s="0"/>
      <c r="ID1129" s="0"/>
      <c r="IE1129" s="0"/>
      <c r="IF1129" s="0"/>
      <c r="IG1129" s="0"/>
      <c r="IH1129" s="0"/>
      <c r="II1129" s="0"/>
      <c r="IJ1129" s="0"/>
      <c r="IK1129" s="0"/>
      <c r="IL1129" s="0"/>
      <c r="IM1129" s="0"/>
      <c r="IN1129" s="0"/>
      <c r="IO1129" s="0"/>
      <c r="IP1129" s="0"/>
      <c r="IQ1129" s="0"/>
      <c r="IR1129" s="0"/>
      <c r="IS1129" s="0"/>
      <c r="IT1129" s="0"/>
      <c r="IU1129" s="0"/>
      <c r="IV1129" s="0"/>
    </row>
    <row r="1130" customFormat="false" ht="15" hidden="false" customHeight="true" outlineLevel="0" collapsed="false">
      <c r="A1130" s="1040" t="s">
        <v>629</v>
      </c>
      <c r="B1130" s="1040"/>
      <c r="C1130" s="1040"/>
      <c r="D1130" s="1327" t="s">
        <v>254</v>
      </c>
      <c r="E1130" s="1321" t="n">
        <f aca="false">IF(D1130="oui",1,0)</f>
        <v>0</v>
      </c>
      <c r="F1130" s="1040"/>
      <c r="G1130" s="1040"/>
      <c r="H1130" s="1040"/>
      <c r="I1130" s="431"/>
      <c r="J1130" s="1321"/>
      <c r="K1130" s="0"/>
      <c r="L1130" s="0"/>
      <c r="M1130" s="0"/>
      <c r="N1130" s="0"/>
      <c r="O1130" s="0"/>
      <c r="P1130" s="0"/>
      <c r="Q1130" s="0"/>
      <c r="R1130" s="0"/>
      <c r="S1130" s="0"/>
      <c r="T1130" s="0"/>
      <c r="U1130" s="0"/>
      <c r="V1130" s="0"/>
      <c r="W1130" s="0"/>
      <c r="X1130" s="0"/>
      <c r="Y1130" s="0"/>
      <c r="Z1130" s="0"/>
      <c r="AA1130" s="0"/>
      <c r="AB1130" s="0"/>
      <c r="AC1130" s="0"/>
      <c r="AD1130" s="0"/>
      <c r="AE1130" s="0"/>
      <c r="AF1130" s="0"/>
      <c r="AG1130" s="0"/>
      <c r="AH1130" s="0"/>
      <c r="AI1130" s="0"/>
      <c r="AJ1130" s="0"/>
      <c r="AK1130" s="0"/>
      <c r="AL1130" s="0"/>
      <c r="AM1130" s="0"/>
      <c r="AN1130" s="0"/>
      <c r="AO1130" s="0"/>
      <c r="AP1130" s="0"/>
      <c r="AQ1130" s="0"/>
      <c r="AR1130" s="0"/>
      <c r="AS1130" s="0"/>
      <c r="AT1130" s="0"/>
      <c r="AU1130" s="0"/>
      <c r="AV1130" s="0"/>
      <c r="AW1130" s="0"/>
      <c r="AX1130" s="0"/>
      <c r="AY1130" s="0"/>
      <c r="AZ1130" s="0"/>
      <c r="BA1130" s="0"/>
      <c r="BB1130" s="0"/>
      <c r="BC1130" s="0"/>
      <c r="BD1130" s="0"/>
      <c r="BE1130" s="0"/>
      <c r="BF1130" s="0"/>
      <c r="BG1130" s="0"/>
      <c r="BH1130" s="0"/>
      <c r="BI1130" s="0"/>
      <c r="BJ1130" s="0"/>
      <c r="BK1130" s="0"/>
      <c r="BL1130" s="0"/>
      <c r="BM1130" s="0"/>
      <c r="BN1130" s="0"/>
      <c r="BO1130" s="0"/>
      <c r="BP1130" s="0"/>
      <c r="BQ1130" s="0"/>
      <c r="BR1130" s="0"/>
      <c r="BS1130" s="0"/>
      <c r="BT1130" s="0"/>
      <c r="BU1130" s="0"/>
      <c r="BV1130" s="0"/>
      <c r="BW1130" s="0"/>
      <c r="BX1130" s="0"/>
      <c r="BY1130" s="0"/>
      <c r="BZ1130" s="0"/>
      <c r="CA1130" s="0"/>
      <c r="CB1130" s="0"/>
      <c r="CC1130" s="0"/>
      <c r="CD1130" s="0"/>
      <c r="CE1130" s="0"/>
      <c r="CF1130" s="0"/>
      <c r="CG1130" s="0"/>
      <c r="CH1130" s="0"/>
      <c r="CI1130" s="0"/>
      <c r="CJ1130" s="0"/>
      <c r="CK1130" s="0"/>
      <c r="CL1130" s="0"/>
      <c r="CM1130" s="0"/>
      <c r="CN1130" s="0"/>
      <c r="CO1130" s="0"/>
      <c r="CP1130" s="0"/>
      <c r="CQ1130" s="0"/>
      <c r="CR1130" s="0"/>
      <c r="CS1130" s="0"/>
      <c r="CT1130" s="0"/>
      <c r="CU1130" s="0"/>
      <c r="CV1130" s="0"/>
      <c r="CW1130" s="0"/>
      <c r="CX1130" s="0"/>
      <c r="CY1130" s="0"/>
      <c r="CZ1130" s="0"/>
      <c r="DA1130" s="0"/>
      <c r="DB1130" s="0"/>
      <c r="DC1130" s="0"/>
      <c r="DD1130" s="0"/>
      <c r="DE1130" s="0"/>
      <c r="DF1130" s="0"/>
      <c r="DG1130" s="0"/>
      <c r="DH1130" s="0"/>
      <c r="DI1130" s="0"/>
      <c r="DJ1130" s="0"/>
      <c r="DK1130" s="0"/>
      <c r="DL1130" s="0"/>
      <c r="DM1130" s="0"/>
      <c r="DN1130" s="0"/>
      <c r="DO1130" s="0"/>
      <c r="DP1130" s="0"/>
      <c r="DQ1130" s="0"/>
      <c r="DR1130" s="0"/>
      <c r="DS1130" s="0"/>
      <c r="DT1130" s="0"/>
      <c r="DU1130" s="0"/>
      <c r="DV1130" s="0"/>
      <c r="DW1130" s="0"/>
      <c r="DX1130" s="0"/>
      <c r="DY1130" s="0"/>
      <c r="DZ1130" s="0"/>
      <c r="EA1130" s="0"/>
      <c r="EB1130" s="0"/>
      <c r="EC1130" s="0"/>
      <c r="ED1130" s="0"/>
      <c r="EE1130" s="0"/>
      <c r="EF1130" s="0"/>
      <c r="EG1130" s="0"/>
      <c r="EH1130" s="0"/>
      <c r="EI1130" s="0"/>
      <c r="EJ1130" s="0"/>
      <c r="EK1130" s="0"/>
      <c r="EL1130" s="0"/>
      <c r="EM1130" s="0"/>
      <c r="EN1130" s="0"/>
      <c r="EO1130" s="0"/>
      <c r="EP1130" s="0"/>
      <c r="EQ1130" s="0"/>
      <c r="ER1130" s="0"/>
      <c r="ES1130" s="0"/>
      <c r="ET1130" s="0"/>
      <c r="EU1130" s="0"/>
      <c r="EV1130" s="0"/>
      <c r="EW1130" s="0"/>
      <c r="EX1130" s="0"/>
      <c r="EY1130" s="0"/>
      <c r="EZ1130" s="0"/>
      <c r="FA1130" s="0"/>
      <c r="FB1130" s="0"/>
      <c r="FC1130" s="0"/>
      <c r="FD1130" s="0"/>
      <c r="FE1130" s="0"/>
      <c r="FF1130" s="0"/>
      <c r="FG1130" s="0"/>
      <c r="FH1130" s="0"/>
      <c r="FI1130" s="0"/>
      <c r="FJ1130" s="0"/>
      <c r="FK1130" s="0"/>
      <c r="FL1130" s="0"/>
      <c r="FM1130" s="0"/>
      <c r="FN1130" s="0"/>
      <c r="FO1130" s="0"/>
      <c r="FP1130" s="0"/>
      <c r="FQ1130" s="0"/>
      <c r="FR1130" s="0"/>
      <c r="FS1130" s="0"/>
      <c r="FT1130" s="0"/>
      <c r="FU1130" s="0"/>
      <c r="FV1130" s="0"/>
      <c r="FW1130" s="0"/>
      <c r="FX1130" s="0"/>
      <c r="FY1130" s="0"/>
      <c r="FZ1130" s="0"/>
      <c r="GA1130" s="0"/>
      <c r="GB1130" s="0"/>
      <c r="GC1130" s="0"/>
      <c r="GD1130" s="0"/>
      <c r="GE1130" s="0"/>
      <c r="GF1130" s="0"/>
      <c r="GG1130" s="0"/>
      <c r="GH1130" s="0"/>
      <c r="GI1130" s="0"/>
      <c r="GJ1130" s="0"/>
      <c r="GK1130" s="0"/>
      <c r="GL1130" s="0"/>
      <c r="GM1130" s="0"/>
      <c r="GN1130" s="0"/>
      <c r="GO1130" s="0"/>
      <c r="GP1130" s="0"/>
      <c r="GQ1130" s="0"/>
      <c r="GR1130" s="0"/>
      <c r="GS1130" s="0"/>
      <c r="GT1130" s="0"/>
      <c r="GU1130" s="0"/>
      <c r="GV1130" s="0"/>
      <c r="GW1130" s="0"/>
      <c r="GX1130" s="0"/>
      <c r="GY1130" s="0"/>
      <c r="GZ1130" s="0"/>
      <c r="HA1130" s="0"/>
      <c r="HB1130" s="0"/>
      <c r="HC1130" s="0"/>
      <c r="HD1130" s="0"/>
      <c r="HE1130" s="0"/>
      <c r="HF1130" s="0"/>
      <c r="HG1130" s="0"/>
      <c r="HH1130" s="0"/>
      <c r="HI1130" s="0"/>
      <c r="HJ1130" s="0"/>
      <c r="HK1130" s="0"/>
      <c r="HL1130" s="0"/>
      <c r="HM1130" s="0"/>
      <c r="HN1130" s="0"/>
      <c r="HO1130" s="0"/>
      <c r="HP1130" s="0"/>
      <c r="HQ1130" s="0"/>
      <c r="HR1130" s="0"/>
      <c r="HS1130" s="0"/>
      <c r="HT1130" s="0"/>
      <c r="HU1130" s="0"/>
      <c r="HV1130" s="0"/>
      <c r="HW1130" s="0"/>
      <c r="HX1130" s="0"/>
      <c r="HY1130" s="0"/>
      <c r="HZ1130" s="0"/>
      <c r="IA1130" s="0"/>
      <c r="IB1130" s="0"/>
      <c r="IC1130" s="0"/>
      <c r="ID1130" s="0"/>
      <c r="IE1130" s="0"/>
      <c r="IF1130" s="0"/>
      <c r="IG1130" s="0"/>
      <c r="IH1130" s="0"/>
      <c r="II1130" s="0"/>
      <c r="IJ1130" s="0"/>
      <c r="IK1130" s="0"/>
      <c r="IL1130" s="0"/>
      <c r="IM1130" s="0"/>
      <c r="IN1130" s="0"/>
      <c r="IO1130" s="0"/>
      <c r="IP1130" s="0"/>
      <c r="IQ1130" s="0"/>
      <c r="IR1130" s="0"/>
      <c r="IS1130" s="0"/>
      <c r="IT1130" s="0"/>
      <c r="IU1130" s="0"/>
      <c r="IV1130" s="0"/>
    </row>
    <row r="1131" customFormat="false" ht="15" hidden="false" customHeight="true" outlineLevel="0" collapsed="false">
      <c r="A1131" s="1320" t="s">
        <v>630</v>
      </c>
      <c r="B1131" s="307"/>
      <c r="D1131" s="1327" t="s">
        <v>253</v>
      </c>
      <c r="E1131" s="1321" t="n">
        <f aca="false">IF(D1131="oui",1,0)</f>
        <v>1</v>
      </c>
      <c r="F1131" s="11" t="s">
        <v>637</v>
      </c>
      <c r="G1131" s="19"/>
      <c r="H1131" s="19"/>
      <c r="I1131" s="1328" t="s">
        <v>253</v>
      </c>
      <c r="J1131" s="1323" t="n">
        <f aca="false">IF(I1131="oui",1,0)</f>
        <v>1</v>
      </c>
      <c r="K1131" s="0"/>
      <c r="L1131" s="0"/>
      <c r="M1131" s="0"/>
      <c r="N1131" s="0"/>
      <c r="O1131" s="0"/>
      <c r="P1131" s="0"/>
      <c r="Q1131" s="0"/>
      <c r="R1131" s="0"/>
      <c r="S1131" s="0"/>
      <c r="T1131" s="0"/>
      <c r="U1131" s="0"/>
      <c r="V1131" s="0"/>
      <c r="W1131" s="0"/>
      <c r="X1131" s="0"/>
      <c r="Y1131" s="0"/>
      <c r="Z1131" s="0"/>
      <c r="AA1131" s="0"/>
      <c r="AB1131" s="0"/>
      <c r="AC1131" s="0"/>
      <c r="AD1131" s="0"/>
      <c r="AE1131" s="0"/>
      <c r="AF1131" s="0"/>
      <c r="AG1131" s="0"/>
      <c r="AH1131" s="0"/>
      <c r="AI1131" s="0"/>
      <c r="AJ1131" s="0"/>
      <c r="AK1131" s="0"/>
      <c r="AL1131" s="0"/>
      <c r="AM1131" s="0"/>
      <c r="AN1131" s="0"/>
      <c r="AO1131" s="0"/>
      <c r="AP1131" s="0"/>
      <c r="AQ1131" s="0"/>
      <c r="AR1131" s="0"/>
      <c r="AS1131" s="0"/>
      <c r="AT1131" s="0"/>
      <c r="AU1131" s="0"/>
      <c r="AV1131" s="0"/>
      <c r="AW1131" s="0"/>
      <c r="AX1131" s="0"/>
      <c r="AY1131" s="0"/>
      <c r="AZ1131" s="0"/>
      <c r="BA1131" s="0"/>
      <c r="BB1131" s="0"/>
      <c r="BC1131" s="0"/>
      <c r="BD1131" s="0"/>
      <c r="BE1131" s="0"/>
      <c r="BF1131" s="0"/>
      <c r="BG1131" s="0"/>
      <c r="BH1131" s="0"/>
      <c r="BI1131" s="0"/>
      <c r="BJ1131" s="0"/>
      <c r="BK1131" s="0"/>
      <c r="BL1131" s="0"/>
      <c r="BM1131" s="0"/>
      <c r="BN1131" s="0"/>
      <c r="BO1131" s="0"/>
      <c r="BP1131" s="0"/>
      <c r="BQ1131" s="0"/>
      <c r="BR1131" s="0"/>
      <c r="BS1131" s="0"/>
      <c r="BT1131" s="0"/>
      <c r="BU1131" s="0"/>
      <c r="BV1131" s="0"/>
      <c r="BW1131" s="0"/>
      <c r="BX1131" s="0"/>
      <c r="BY1131" s="0"/>
      <c r="BZ1131" s="0"/>
      <c r="CA1131" s="0"/>
      <c r="CB1131" s="0"/>
      <c r="CC1131" s="0"/>
      <c r="CD1131" s="0"/>
      <c r="CE1131" s="0"/>
      <c r="CF1131" s="0"/>
      <c r="CG1131" s="0"/>
      <c r="CH1131" s="0"/>
      <c r="CI1131" s="0"/>
      <c r="CJ1131" s="0"/>
      <c r="CK1131" s="0"/>
      <c r="CL1131" s="0"/>
      <c r="CM1131" s="0"/>
      <c r="CN1131" s="0"/>
      <c r="CO1131" s="0"/>
      <c r="CP1131" s="0"/>
      <c r="CQ1131" s="0"/>
      <c r="CR1131" s="0"/>
      <c r="CS1131" s="0"/>
      <c r="CT1131" s="0"/>
      <c r="CU1131" s="0"/>
      <c r="CV1131" s="0"/>
      <c r="CW1131" s="0"/>
      <c r="CX1131" s="0"/>
      <c r="CY1131" s="0"/>
      <c r="CZ1131" s="0"/>
      <c r="DA1131" s="0"/>
      <c r="DB1131" s="0"/>
      <c r="DC1131" s="0"/>
      <c r="DD1131" s="0"/>
      <c r="DE1131" s="0"/>
      <c r="DF1131" s="0"/>
      <c r="DG1131" s="0"/>
      <c r="DH1131" s="0"/>
      <c r="DI1131" s="0"/>
      <c r="DJ1131" s="0"/>
      <c r="DK1131" s="0"/>
      <c r="DL1131" s="0"/>
      <c r="DM1131" s="0"/>
      <c r="DN1131" s="0"/>
      <c r="DO1131" s="0"/>
      <c r="DP1131" s="0"/>
      <c r="DQ1131" s="0"/>
      <c r="DR1131" s="0"/>
      <c r="DS1131" s="0"/>
      <c r="DT1131" s="0"/>
      <c r="DU1131" s="0"/>
      <c r="DV1131" s="0"/>
      <c r="DW1131" s="0"/>
      <c r="DX1131" s="0"/>
      <c r="DY1131" s="0"/>
      <c r="DZ1131" s="0"/>
      <c r="EA1131" s="0"/>
      <c r="EB1131" s="0"/>
      <c r="EC1131" s="0"/>
      <c r="ED1131" s="0"/>
      <c r="EE1131" s="0"/>
      <c r="EF1131" s="0"/>
      <c r="EG1131" s="0"/>
      <c r="EH1131" s="0"/>
      <c r="EI1131" s="0"/>
      <c r="EJ1131" s="0"/>
      <c r="EK1131" s="0"/>
      <c r="EL1131" s="0"/>
      <c r="EM1131" s="0"/>
      <c r="EN1131" s="0"/>
      <c r="EO1131" s="0"/>
      <c r="EP1131" s="0"/>
      <c r="EQ1131" s="0"/>
      <c r="ER1131" s="0"/>
      <c r="ES1131" s="0"/>
      <c r="ET1131" s="0"/>
      <c r="EU1131" s="0"/>
      <c r="EV1131" s="0"/>
      <c r="EW1131" s="0"/>
      <c r="EX1131" s="0"/>
      <c r="EY1131" s="0"/>
      <c r="EZ1131" s="0"/>
      <c r="FA1131" s="0"/>
      <c r="FB1131" s="0"/>
      <c r="FC1131" s="0"/>
      <c r="FD1131" s="0"/>
      <c r="FE1131" s="0"/>
      <c r="FF1131" s="0"/>
      <c r="FG1131" s="0"/>
      <c r="FH1131" s="0"/>
      <c r="FI1131" s="0"/>
      <c r="FJ1131" s="0"/>
      <c r="FK1131" s="0"/>
      <c r="FL1131" s="0"/>
      <c r="FM1131" s="0"/>
      <c r="FN1131" s="0"/>
      <c r="FO1131" s="0"/>
      <c r="FP1131" s="0"/>
      <c r="FQ1131" s="0"/>
      <c r="FR1131" s="0"/>
      <c r="FS1131" s="0"/>
      <c r="FT1131" s="0"/>
      <c r="FU1131" s="0"/>
      <c r="FV1131" s="0"/>
      <c r="FW1131" s="0"/>
      <c r="FX1131" s="0"/>
      <c r="FY1131" s="0"/>
      <c r="FZ1131" s="0"/>
      <c r="GA1131" s="0"/>
      <c r="GB1131" s="0"/>
      <c r="GC1131" s="0"/>
      <c r="GD1131" s="0"/>
      <c r="GE1131" s="0"/>
      <c r="GF1131" s="0"/>
      <c r="GG1131" s="0"/>
      <c r="GH1131" s="0"/>
      <c r="GI1131" s="0"/>
      <c r="GJ1131" s="0"/>
      <c r="GK1131" s="0"/>
      <c r="GL1131" s="0"/>
      <c r="GM1131" s="0"/>
      <c r="GN1131" s="0"/>
      <c r="GO1131" s="0"/>
      <c r="GP1131" s="0"/>
      <c r="GQ1131" s="0"/>
      <c r="GR1131" s="0"/>
      <c r="GS1131" s="0"/>
      <c r="GT1131" s="0"/>
      <c r="GU1131" s="0"/>
      <c r="GV1131" s="0"/>
      <c r="GW1131" s="0"/>
      <c r="GX1131" s="0"/>
      <c r="GY1131" s="0"/>
      <c r="GZ1131" s="0"/>
      <c r="HA1131" s="0"/>
      <c r="HB1131" s="0"/>
      <c r="HC1131" s="0"/>
      <c r="HD1131" s="0"/>
      <c r="HE1131" s="0"/>
      <c r="HF1131" s="0"/>
      <c r="HG1131" s="0"/>
      <c r="HH1131" s="0"/>
      <c r="HI1131" s="0"/>
      <c r="HJ1131" s="0"/>
      <c r="HK1131" s="0"/>
      <c r="HL1131" s="0"/>
      <c r="HM1131" s="0"/>
      <c r="HN1131" s="0"/>
      <c r="HO1131" s="0"/>
      <c r="HP1131" s="0"/>
      <c r="HQ1131" s="0"/>
      <c r="HR1131" s="0"/>
      <c r="HS1131" s="0"/>
      <c r="HT1131" s="0"/>
      <c r="HU1131" s="0"/>
      <c r="HV1131" s="0"/>
      <c r="HW1131" s="0"/>
      <c r="HX1131" s="0"/>
      <c r="HY1131" s="0"/>
      <c r="HZ1131" s="0"/>
      <c r="IA1131" s="0"/>
      <c r="IB1131" s="0"/>
      <c r="IC1131" s="0"/>
      <c r="ID1131" s="0"/>
      <c r="IE1131" s="0"/>
      <c r="IF1131" s="0"/>
      <c r="IG1131" s="0"/>
      <c r="IH1131" s="0"/>
      <c r="II1131" s="0"/>
      <c r="IJ1131" s="0"/>
      <c r="IK1131" s="0"/>
      <c r="IL1131" s="0"/>
      <c r="IM1131" s="0"/>
      <c r="IN1131" s="0"/>
      <c r="IO1131" s="0"/>
      <c r="IP1131" s="0"/>
      <c r="IQ1131" s="0"/>
      <c r="IR1131" s="0"/>
      <c r="IS1131" s="0"/>
      <c r="IT1131" s="0"/>
      <c r="IU1131" s="0"/>
      <c r="IV1131" s="0"/>
    </row>
    <row r="1132" customFormat="false" ht="15" hidden="false" customHeight="true" outlineLevel="0" collapsed="false">
      <c r="A1132" s="1040" t="s">
        <v>1733</v>
      </c>
      <c r="B1132" s="1040"/>
      <c r="C1132" s="1040"/>
      <c r="D1132" s="1327" t="s">
        <v>253</v>
      </c>
      <c r="E1132" s="1321" t="n">
        <f aca="false">IF(D1132="oui",1,0)</f>
        <v>1</v>
      </c>
      <c r="F1132" s="1259" t="s">
        <v>638</v>
      </c>
      <c r="G1132" s="19"/>
      <c r="H1132" s="19"/>
      <c r="I1132" s="1328" t="s">
        <v>254</v>
      </c>
      <c r="J1132" s="1323" t="n">
        <f aca="false">IF(I1132="oui",1,0)</f>
        <v>0</v>
      </c>
      <c r="K1132" s="0"/>
      <c r="L1132" s="0"/>
      <c r="M1132" s="0"/>
      <c r="N1132" s="0"/>
      <c r="O1132" s="0"/>
      <c r="P1132" s="0"/>
      <c r="Q1132" s="0"/>
      <c r="R1132" s="0"/>
      <c r="S1132" s="0"/>
      <c r="T1132" s="0"/>
      <c r="U1132" s="0"/>
      <c r="V1132" s="0"/>
      <c r="W1132" s="0"/>
      <c r="X1132" s="0"/>
      <c r="Y1132" s="0"/>
      <c r="Z1132" s="0"/>
      <c r="AA1132" s="0"/>
      <c r="AB1132" s="0"/>
      <c r="AC1132" s="0"/>
      <c r="AD1132" s="0"/>
      <c r="AE1132" s="0"/>
      <c r="AF1132" s="0"/>
      <c r="AG1132" s="0"/>
      <c r="AH1132" s="0"/>
      <c r="AI1132" s="0"/>
      <c r="AJ1132" s="0"/>
      <c r="AK1132" s="0"/>
      <c r="AL1132" s="0"/>
      <c r="AM1132" s="0"/>
      <c r="AN1132" s="0"/>
      <c r="AO1132" s="0"/>
      <c r="AP1132" s="0"/>
      <c r="AQ1132" s="0"/>
      <c r="AR1132" s="0"/>
      <c r="AS1132" s="0"/>
      <c r="AT1132" s="0"/>
      <c r="AU1132" s="0"/>
      <c r="AV1132" s="0"/>
      <c r="AW1132" s="0"/>
      <c r="AX1132" s="0"/>
      <c r="AY1132" s="0"/>
      <c r="AZ1132" s="0"/>
      <c r="BA1132" s="0"/>
      <c r="BB1132" s="0"/>
      <c r="BC1132" s="0"/>
      <c r="BD1132" s="0"/>
      <c r="BE1132" s="0"/>
      <c r="BF1132" s="0"/>
      <c r="BG1132" s="0"/>
      <c r="BH1132" s="0"/>
      <c r="BI1132" s="0"/>
      <c r="BJ1132" s="0"/>
      <c r="BK1132" s="0"/>
      <c r="BL1132" s="0"/>
      <c r="BM1132" s="0"/>
      <c r="BN1132" s="0"/>
      <c r="BO1132" s="0"/>
      <c r="BP1132" s="0"/>
      <c r="BQ1132" s="0"/>
      <c r="BR1132" s="0"/>
      <c r="BS1132" s="0"/>
      <c r="BT1132" s="0"/>
      <c r="BU1132" s="0"/>
      <c r="BV1132" s="0"/>
      <c r="BW1132" s="0"/>
      <c r="BX1132" s="0"/>
      <c r="BY1132" s="0"/>
      <c r="BZ1132" s="0"/>
      <c r="CA1132" s="0"/>
      <c r="CB1132" s="0"/>
      <c r="CC1132" s="0"/>
      <c r="CD1132" s="0"/>
      <c r="CE1132" s="0"/>
      <c r="CF1132" s="0"/>
      <c r="CG1132" s="0"/>
      <c r="CH1132" s="0"/>
      <c r="CI1132" s="0"/>
      <c r="CJ1132" s="0"/>
      <c r="CK1132" s="0"/>
      <c r="CL1132" s="0"/>
      <c r="CM1132" s="0"/>
      <c r="CN1132" s="0"/>
      <c r="CO1132" s="0"/>
      <c r="CP1132" s="0"/>
      <c r="CQ1132" s="0"/>
      <c r="CR1132" s="0"/>
      <c r="CS1132" s="0"/>
      <c r="CT1132" s="0"/>
      <c r="CU1132" s="0"/>
      <c r="CV1132" s="0"/>
      <c r="CW1132" s="0"/>
      <c r="CX1132" s="0"/>
      <c r="CY1132" s="0"/>
      <c r="CZ1132" s="0"/>
      <c r="DA1132" s="0"/>
      <c r="DB1132" s="0"/>
      <c r="DC1132" s="0"/>
      <c r="DD1132" s="0"/>
      <c r="DE1132" s="0"/>
      <c r="DF1132" s="0"/>
      <c r="DG1132" s="0"/>
      <c r="DH1132" s="0"/>
      <c r="DI1132" s="0"/>
      <c r="DJ1132" s="0"/>
      <c r="DK1132" s="0"/>
      <c r="DL1132" s="0"/>
      <c r="DM1132" s="0"/>
      <c r="DN1132" s="0"/>
      <c r="DO1132" s="0"/>
      <c r="DP1132" s="0"/>
      <c r="DQ1132" s="0"/>
      <c r="DR1132" s="0"/>
      <c r="DS1132" s="0"/>
      <c r="DT1132" s="0"/>
      <c r="DU1132" s="0"/>
      <c r="DV1132" s="0"/>
      <c r="DW1132" s="0"/>
      <c r="DX1132" s="0"/>
      <c r="DY1132" s="0"/>
      <c r="DZ1132" s="0"/>
      <c r="EA1132" s="0"/>
      <c r="EB1132" s="0"/>
      <c r="EC1132" s="0"/>
      <c r="ED1132" s="0"/>
      <c r="EE1132" s="0"/>
      <c r="EF1132" s="0"/>
      <c r="EG1132" s="0"/>
      <c r="EH1132" s="0"/>
      <c r="EI1132" s="0"/>
      <c r="EJ1132" s="0"/>
      <c r="EK1132" s="0"/>
      <c r="EL1132" s="0"/>
      <c r="EM1132" s="0"/>
      <c r="EN1132" s="0"/>
      <c r="EO1132" s="0"/>
      <c r="EP1132" s="0"/>
      <c r="EQ1132" s="0"/>
      <c r="ER1132" s="0"/>
      <c r="ES1132" s="0"/>
      <c r="ET1132" s="0"/>
      <c r="EU1132" s="0"/>
      <c r="EV1132" s="0"/>
      <c r="EW1132" s="0"/>
      <c r="EX1132" s="0"/>
      <c r="EY1132" s="0"/>
      <c r="EZ1132" s="0"/>
      <c r="FA1132" s="0"/>
      <c r="FB1132" s="0"/>
      <c r="FC1132" s="0"/>
      <c r="FD1132" s="0"/>
      <c r="FE1132" s="0"/>
      <c r="FF1132" s="0"/>
      <c r="FG1132" s="0"/>
      <c r="FH1132" s="0"/>
      <c r="FI1132" s="0"/>
      <c r="FJ1132" s="0"/>
      <c r="FK1132" s="0"/>
      <c r="FL1132" s="0"/>
      <c r="FM1132" s="0"/>
      <c r="FN1132" s="0"/>
      <c r="FO1132" s="0"/>
      <c r="FP1132" s="0"/>
      <c r="FQ1132" s="0"/>
      <c r="FR1132" s="0"/>
      <c r="FS1132" s="0"/>
      <c r="FT1132" s="0"/>
      <c r="FU1132" s="0"/>
      <c r="FV1132" s="0"/>
      <c r="FW1132" s="0"/>
      <c r="FX1132" s="0"/>
      <c r="FY1132" s="0"/>
      <c r="FZ1132" s="0"/>
      <c r="GA1132" s="0"/>
      <c r="GB1132" s="0"/>
      <c r="GC1132" s="0"/>
      <c r="GD1132" s="0"/>
      <c r="GE1132" s="0"/>
      <c r="GF1132" s="0"/>
      <c r="GG1132" s="0"/>
      <c r="GH1132" s="0"/>
      <c r="GI1132" s="0"/>
      <c r="GJ1132" s="0"/>
      <c r="GK1132" s="0"/>
      <c r="GL1132" s="0"/>
      <c r="GM1132" s="0"/>
      <c r="GN1132" s="0"/>
      <c r="GO1132" s="0"/>
      <c r="GP1132" s="0"/>
      <c r="GQ1132" s="0"/>
      <c r="GR1132" s="0"/>
      <c r="GS1132" s="0"/>
      <c r="GT1132" s="0"/>
      <c r="GU1132" s="0"/>
      <c r="GV1132" s="0"/>
      <c r="GW1132" s="0"/>
      <c r="GX1132" s="0"/>
      <c r="GY1132" s="0"/>
      <c r="GZ1132" s="0"/>
      <c r="HA1132" s="0"/>
      <c r="HB1132" s="0"/>
      <c r="HC1132" s="0"/>
      <c r="HD1132" s="0"/>
      <c r="HE1132" s="0"/>
      <c r="HF1132" s="0"/>
      <c r="HG1132" s="0"/>
      <c r="HH1132" s="0"/>
      <c r="HI1132" s="0"/>
      <c r="HJ1132" s="0"/>
      <c r="HK1132" s="0"/>
      <c r="HL1132" s="0"/>
      <c r="HM1132" s="0"/>
      <c r="HN1132" s="0"/>
      <c r="HO1132" s="0"/>
      <c r="HP1132" s="0"/>
      <c r="HQ1132" s="0"/>
      <c r="HR1132" s="0"/>
      <c r="HS1132" s="0"/>
      <c r="HT1132" s="0"/>
      <c r="HU1132" s="0"/>
      <c r="HV1132" s="0"/>
      <c r="HW1132" s="0"/>
      <c r="HX1132" s="0"/>
      <c r="HY1132" s="0"/>
      <c r="HZ1132" s="0"/>
      <c r="IA1132" s="0"/>
      <c r="IB1132" s="0"/>
      <c r="IC1132" s="0"/>
      <c r="ID1132" s="0"/>
      <c r="IE1132" s="0"/>
      <c r="IF1132" s="0"/>
      <c r="IG1132" s="0"/>
      <c r="IH1132" s="0"/>
      <c r="II1132" s="0"/>
      <c r="IJ1132" s="0"/>
      <c r="IK1132" s="0"/>
      <c r="IL1132" s="0"/>
      <c r="IM1132" s="0"/>
      <c r="IN1132" s="0"/>
      <c r="IO1132" s="0"/>
      <c r="IP1132" s="0"/>
      <c r="IQ1132" s="0"/>
      <c r="IR1132" s="0"/>
      <c r="IS1132" s="0"/>
      <c r="IT1132" s="0"/>
      <c r="IU1132" s="0"/>
      <c r="IV1132" s="0"/>
    </row>
    <row r="1133" customFormat="false" ht="15" hidden="false" customHeight="true" outlineLevel="0" collapsed="false">
      <c r="A1133" s="1040"/>
      <c r="B1133" s="1040"/>
      <c r="C1133" s="1040"/>
      <c r="D1133" s="1327"/>
      <c r="E1133" s="1321"/>
      <c r="F1133" s="1040" t="s">
        <v>1734</v>
      </c>
      <c r="G1133" s="1040"/>
      <c r="H1133" s="1040"/>
      <c r="I1133" s="431" t="s">
        <v>254</v>
      </c>
      <c r="J1133" s="1321" t="n">
        <f aca="false">IF(I1133="oui",1,0)</f>
        <v>0</v>
      </c>
      <c r="K1133" s="0"/>
      <c r="L1133" s="0"/>
      <c r="M1133" s="0"/>
      <c r="N1133" s="0"/>
      <c r="O1133" s="0"/>
      <c r="P1133" s="0"/>
      <c r="Q1133" s="0"/>
      <c r="R1133" s="0"/>
      <c r="S1133" s="0"/>
      <c r="T1133" s="0"/>
      <c r="U1133" s="0"/>
      <c r="V1133" s="0"/>
      <c r="W1133" s="0"/>
      <c r="X1133" s="0"/>
      <c r="Y1133" s="0"/>
      <c r="Z1133" s="0"/>
      <c r="AA1133" s="0"/>
      <c r="AB1133" s="0"/>
      <c r="AC1133" s="0"/>
      <c r="AD1133" s="0"/>
      <c r="AE1133" s="0"/>
      <c r="AF1133" s="0"/>
      <c r="AG1133" s="0"/>
      <c r="AH1133" s="0"/>
      <c r="AI1133" s="0"/>
      <c r="AJ1133" s="0"/>
      <c r="AK1133" s="0"/>
      <c r="AL1133" s="0"/>
      <c r="AM1133" s="0"/>
      <c r="AN1133" s="0"/>
      <c r="AO1133" s="0"/>
      <c r="AP1133" s="0"/>
      <c r="AQ1133" s="0"/>
      <c r="AR1133" s="0"/>
      <c r="AS1133" s="0"/>
      <c r="AT1133" s="0"/>
      <c r="AU1133" s="0"/>
      <c r="AV1133" s="0"/>
      <c r="AW1133" s="0"/>
      <c r="AX1133" s="0"/>
      <c r="AY1133" s="0"/>
      <c r="AZ1133" s="0"/>
      <c r="BA1133" s="0"/>
      <c r="BB1133" s="0"/>
      <c r="BC1133" s="0"/>
      <c r="BD1133" s="0"/>
      <c r="BE1133" s="0"/>
      <c r="BF1133" s="0"/>
      <c r="BG1133" s="0"/>
      <c r="BH1133" s="0"/>
      <c r="BI1133" s="0"/>
      <c r="BJ1133" s="0"/>
      <c r="BK1133" s="0"/>
      <c r="BL1133" s="0"/>
      <c r="BM1133" s="0"/>
      <c r="BN1133" s="0"/>
      <c r="BO1133" s="0"/>
      <c r="BP1133" s="0"/>
      <c r="BQ1133" s="0"/>
      <c r="BR1133" s="0"/>
      <c r="BS1133" s="0"/>
      <c r="BT1133" s="0"/>
      <c r="BU1133" s="0"/>
      <c r="BV1133" s="0"/>
      <c r="BW1133" s="0"/>
      <c r="BX1133" s="0"/>
      <c r="BY1133" s="0"/>
      <c r="BZ1133" s="0"/>
      <c r="CA1133" s="0"/>
      <c r="CB1133" s="0"/>
      <c r="CC1133" s="0"/>
      <c r="CD1133" s="0"/>
      <c r="CE1133" s="0"/>
      <c r="CF1133" s="0"/>
      <c r="CG1133" s="0"/>
      <c r="CH1133" s="0"/>
      <c r="CI1133" s="0"/>
      <c r="CJ1133" s="0"/>
      <c r="CK1133" s="0"/>
      <c r="CL1133" s="0"/>
      <c r="CM1133" s="0"/>
      <c r="CN1133" s="0"/>
      <c r="CO1133" s="0"/>
      <c r="CP1133" s="0"/>
      <c r="CQ1133" s="0"/>
      <c r="CR1133" s="0"/>
      <c r="CS1133" s="0"/>
      <c r="CT1133" s="0"/>
      <c r="CU1133" s="0"/>
      <c r="CV1133" s="0"/>
      <c r="CW1133" s="0"/>
      <c r="CX1133" s="0"/>
      <c r="CY1133" s="0"/>
      <c r="CZ1133" s="0"/>
      <c r="DA1133" s="0"/>
      <c r="DB1133" s="0"/>
      <c r="DC1133" s="0"/>
      <c r="DD1133" s="0"/>
      <c r="DE1133" s="0"/>
      <c r="DF1133" s="0"/>
      <c r="DG1133" s="0"/>
      <c r="DH1133" s="0"/>
      <c r="DI1133" s="0"/>
      <c r="DJ1133" s="0"/>
      <c r="DK1133" s="0"/>
      <c r="DL1133" s="0"/>
      <c r="DM1133" s="0"/>
      <c r="DN1133" s="0"/>
      <c r="DO1133" s="0"/>
      <c r="DP1133" s="0"/>
      <c r="DQ1133" s="0"/>
      <c r="DR1133" s="0"/>
      <c r="DS1133" s="0"/>
      <c r="DT1133" s="0"/>
      <c r="DU1133" s="0"/>
      <c r="DV1133" s="0"/>
      <c r="DW1133" s="0"/>
      <c r="DX1133" s="0"/>
      <c r="DY1133" s="0"/>
      <c r="DZ1133" s="0"/>
      <c r="EA1133" s="0"/>
      <c r="EB1133" s="0"/>
      <c r="EC1133" s="0"/>
      <c r="ED1133" s="0"/>
      <c r="EE1133" s="0"/>
      <c r="EF1133" s="0"/>
      <c r="EG1133" s="0"/>
      <c r="EH1133" s="0"/>
      <c r="EI1133" s="0"/>
      <c r="EJ1133" s="0"/>
      <c r="EK1133" s="0"/>
      <c r="EL1133" s="0"/>
      <c r="EM1133" s="0"/>
      <c r="EN1133" s="0"/>
      <c r="EO1133" s="0"/>
      <c r="EP1133" s="0"/>
      <c r="EQ1133" s="0"/>
      <c r="ER1133" s="0"/>
      <c r="ES1133" s="0"/>
      <c r="ET1133" s="0"/>
      <c r="EU1133" s="0"/>
      <c r="EV1133" s="0"/>
      <c r="EW1133" s="0"/>
      <c r="EX1133" s="0"/>
      <c r="EY1133" s="0"/>
      <c r="EZ1133" s="0"/>
      <c r="FA1133" s="0"/>
      <c r="FB1133" s="0"/>
      <c r="FC1133" s="0"/>
      <c r="FD1133" s="0"/>
      <c r="FE1133" s="0"/>
      <c r="FF1133" s="0"/>
      <c r="FG1133" s="0"/>
      <c r="FH1133" s="0"/>
      <c r="FI1133" s="0"/>
      <c r="FJ1133" s="0"/>
      <c r="FK1133" s="0"/>
      <c r="FL1133" s="0"/>
      <c r="FM1133" s="0"/>
      <c r="FN1133" s="0"/>
      <c r="FO1133" s="0"/>
      <c r="FP1133" s="0"/>
      <c r="FQ1133" s="0"/>
      <c r="FR1133" s="0"/>
      <c r="FS1133" s="0"/>
      <c r="FT1133" s="0"/>
      <c r="FU1133" s="0"/>
      <c r="FV1133" s="0"/>
      <c r="FW1133" s="0"/>
      <c r="FX1133" s="0"/>
      <c r="FY1133" s="0"/>
      <c r="FZ1133" s="0"/>
      <c r="GA1133" s="0"/>
      <c r="GB1133" s="0"/>
      <c r="GC1133" s="0"/>
      <c r="GD1133" s="0"/>
      <c r="GE1133" s="0"/>
      <c r="GF1133" s="0"/>
      <c r="GG1133" s="0"/>
      <c r="GH1133" s="0"/>
      <c r="GI1133" s="0"/>
      <c r="GJ1133" s="0"/>
      <c r="GK1133" s="0"/>
      <c r="GL1133" s="0"/>
      <c r="GM1133" s="0"/>
      <c r="GN1133" s="0"/>
      <c r="GO1133" s="0"/>
      <c r="GP1133" s="0"/>
      <c r="GQ1133" s="0"/>
      <c r="GR1133" s="0"/>
      <c r="GS1133" s="0"/>
      <c r="GT1133" s="0"/>
      <c r="GU1133" s="0"/>
      <c r="GV1133" s="0"/>
      <c r="GW1133" s="0"/>
      <c r="GX1133" s="0"/>
      <c r="GY1133" s="0"/>
      <c r="GZ1133" s="0"/>
      <c r="HA1133" s="0"/>
      <c r="HB1133" s="0"/>
      <c r="HC1133" s="0"/>
      <c r="HD1133" s="0"/>
      <c r="HE1133" s="0"/>
      <c r="HF1133" s="0"/>
      <c r="HG1133" s="0"/>
      <c r="HH1133" s="0"/>
      <c r="HI1133" s="0"/>
      <c r="HJ1133" s="0"/>
      <c r="HK1133" s="0"/>
      <c r="HL1133" s="0"/>
      <c r="HM1133" s="0"/>
      <c r="HN1133" s="0"/>
      <c r="HO1133" s="0"/>
      <c r="HP1133" s="0"/>
      <c r="HQ1133" s="0"/>
      <c r="HR1133" s="0"/>
      <c r="HS1133" s="0"/>
      <c r="HT1133" s="0"/>
      <c r="HU1133" s="0"/>
      <c r="HV1133" s="0"/>
      <c r="HW1133" s="0"/>
      <c r="HX1133" s="0"/>
      <c r="HY1133" s="0"/>
      <c r="HZ1133" s="0"/>
      <c r="IA1133" s="0"/>
      <c r="IB1133" s="0"/>
      <c r="IC1133" s="0"/>
      <c r="ID1133" s="0"/>
      <c r="IE1133" s="0"/>
      <c r="IF1133" s="0"/>
      <c r="IG1133" s="0"/>
      <c r="IH1133" s="0"/>
      <c r="II1133" s="0"/>
      <c r="IJ1133" s="0"/>
      <c r="IK1133" s="0"/>
      <c r="IL1133" s="0"/>
      <c r="IM1133" s="0"/>
      <c r="IN1133" s="0"/>
      <c r="IO1133" s="0"/>
      <c r="IP1133" s="0"/>
      <c r="IQ1133" s="0"/>
      <c r="IR1133" s="0"/>
      <c r="IS1133" s="0"/>
      <c r="IT1133" s="0"/>
      <c r="IU1133" s="0"/>
      <c r="IV1133" s="0"/>
    </row>
    <row r="1134" customFormat="false" ht="15" hidden="false" customHeight="true" outlineLevel="0" collapsed="false">
      <c r="A1134" s="1320" t="s">
        <v>632</v>
      </c>
      <c r="B1134" s="307"/>
      <c r="D1134" s="1327" t="s">
        <v>253</v>
      </c>
      <c r="E1134" s="1321" t="n">
        <f aca="false">IF(D1134="oui",1,0)</f>
        <v>1</v>
      </c>
      <c r="F1134" s="1040"/>
      <c r="G1134" s="1040"/>
      <c r="H1134" s="1040"/>
      <c r="I1134" s="431"/>
      <c r="J1134" s="1321"/>
      <c r="K1134" s="0"/>
      <c r="L1134" s="0"/>
      <c r="M1134" s="0"/>
      <c r="N1134" s="0"/>
      <c r="O1134" s="0"/>
      <c r="P1134" s="0"/>
      <c r="Q1134" s="0"/>
      <c r="R1134" s="0"/>
      <c r="S1134" s="0"/>
      <c r="T1134" s="0"/>
      <c r="U1134" s="0"/>
      <c r="V1134" s="0"/>
      <c r="W1134" s="0"/>
      <c r="X1134" s="0"/>
      <c r="Y1134" s="0"/>
      <c r="Z1134" s="0"/>
      <c r="AA1134" s="0"/>
      <c r="AB1134" s="0"/>
      <c r="AC1134" s="0"/>
      <c r="AD1134" s="0"/>
      <c r="AE1134" s="0"/>
      <c r="AF1134" s="0"/>
      <c r="AG1134" s="0"/>
      <c r="AH1134" s="0"/>
      <c r="AI1134" s="0"/>
      <c r="AJ1134" s="0"/>
      <c r="AK1134" s="0"/>
      <c r="AL1134" s="0"/>
      <c r="AM1134" s="0"/>
      <c r="AN1134" s="0"/>
      <c r="AO1134" s="0"/>
      <c r="AP1134" s="0"/>
      <c r="AQ1134" s="0"/>
      <c r="AR1134" s="0"/>
      <c r="AS1134" s="0"/>
      <c r="AT1134" s="0"/>
      <c r="AU1134" s="0"/>
      <c r="AV1134" s="0"/>
      <c r="AW1134" s="0"/>
      <c r="AX1134" s="0"/>
      <c r="AY1134" s="0"/>
      <c r="AZ1134" s="0"/>
      <c r="BA1134" s="0"/>
      <c r="BB1134" s="0"/>
      <c r="BC1134" s="0"/>
      <c r="BD1134" s="0"/>
      <c r="BE1134" s="0"/>
      <c r="BF1134" s="0"/>
      <c r="BG1134" s="0"/>
      <c r="BH1134" s="0"/>
      <c r="BI1134" s="0"/>
      <c r="BJ1134" s="0"/>
      <c r="BK1134" s="0"/>
      <c r="BL1134" s="0"/>
      <c r="BM1134" s="0"/>
      <c r="BN1134" s="0"/>
      <c r="BO1134" s="0"/>
      <c r="BP1134" s="0"/>
      <c r="BQ1134" s="0"/>
      <c r="BR1134" s="0"/>
      <c r="BS1134" s="0"/>
      <c r="BT1134" s="0"/>
      <c r="BU1134" s="0"/>
      <c r="BV1134" s="0"/>
      <c r="BW1134" s="0"/>
      <c r="BX1134" s="0"/>
      <c r="BY1134" s="0"/>
      <c r="BZ1134" s="0"/>
      <c r="CA1134" s="0"/>
      <c r="CB1134" s="0"/>
      <c r="CC1134" s="0"/>
      <c r="CD1134" s="0"/>
      <c r="CE1134" s="0"/>
      <c r="CF1134" s="0"/>
      <c r="CG1134" s="0"/>
      <c r="CH1134" s="0"/>
      <c r="CI1134" s="0"/>
      <c r="CJ1134" s="0"/>
      <c r="CK1134" s="0"/>
      <c r="CL1134" s="0"/>
      <c r="CM1134" s="0"/>
      <c r="CN1134" s="0"/>
      <c r="CO1134" s="0"/>
      <c r="CP1134" s="0"/>
      <c r="CQ1134" s="0"/>
      <c r="CR1134" s="0"/>
      <c r="CS1134" s="0"/>
      <c r="CT1134" s="0"/>
      <c r="CU1134" s="0"/>
      <c r="CV1134" s="0"/>
      <c r="CW1134" s="0"/>
      <c r="CX1134" s="0"/>
      <c r="CY1134" s="0"/>
      <c r="CZ1134" s="0"/>
      <c r="DA1134" s="0"/>
      <c r="DB1134" s="0"/>
      <c r="DC1134" s="0"/>
      <c r="DD1134" s="0"/>
      <c r="DE1134" s="0"/>
      <c r="DF1134" s="0"/>
      <c r="DG1134" s="0"/>
      <c r="DH1134" s="0"/>
      <c r="DI1134" s="0"/>
      <c r="DJ1134" s="0"/>
      <c r="DK1134" s="0"/>
      <c r="DL1134" s="0"/>
      <c r="DM1134" s="0"/>
      <c r="DN1134" s="0"/>
      <c r="DO1134" s="0"/>
      <c r="DP1134" s="0"/>
      <c r="DQ1134" s="0"/>
      <c r="DR1134" s="0"/>
      <c r="DS1134" s="0"/>
      <c r="DT1134" s="0"/>
      <c r="DU1134" s="0"/>
      <c r="DV1134" s="0"/>
      <c r="DW1134" s="0"/>
      <c r="DX1134" s="0"/>
      <c r="DY1134" s="0"/>
      <c r="DZ1134" s="0"/>
      <c r="EA1134" s="0"/>
      <c r="EB1134" s="0"/>
      <c r="EC1134" s="0"/>
      <c r="ED1134" s="0"/>
      <c r="EE1134" s="0"/>
      <c r="EF1134" s="0"/>
      <c r="EG1134" s="0"/>
      <c r="EH1134" s="0"/>
      <c r="EI1134" s="0"/>
      <c r="EJ1134" s="0"/>
      <c r="EK1134" s="0"/>
      <c r="EL1134" s="0"/>
      <c r="EM1134" s="0"/>
      <c r="EN1134" s="0"/>
      <c r="EO1134" s="0"/>
      <c r="EP1134" s="0"/>
      <c r="EQ1134" s="0"/>
      <c r="ER1134" s="0"/>
      <c r="ES1134" s="0"/>
      <c r="ET1134" s="0"/>
      <c r="EU1134" s="0"/>
      <c r="EV1134" s="0"/>
      <c r="EW1134" s="0"/>
      <c r="EX1134" s="0"/>
      <c r="EY1134" s="0"/>
      <c r="EZ1134" s="0"/>
      <c r="FA1134" s="0"/>
      <c r="FB1134" s="0"/>
      <c r="FC1134" s="0"/>
      <c r="FD1134" s="0"/>
      <c r="FE1134" s="0"/>
      <c r="FF1134" s="0"/>
      <c r="FG1134" s="0"/>
      <c r="FH1134" s="0"/>
      <c r="FI1134" s="0"/>
      <c r="FJ1134" s="0"/>
      <c r="FK1134" s="0"/>
      <c r="FL1134" s="0"/>
      <c r="FM1134" s="0"/>
      <c r="FN1134" s="0"/>
      <c r="FO1134" s="0"/>
      <c r="FP1134" s="0"/>
      <c r="FQ1134" s="0"/>
      <c r="FR1134" s="0"/>
      <c r="FS1134" s="0"/>
      <c r="FT1134" s="0"/>
      <c r="FU1134" s="0"/>
      <c r="FV1134" s="0"/>
      <c r="FW1134" s="0"/>
      <c r="FX1134" s="0"/>
      <c r="FY1134" s="0"/>
      <c r="FZ1134" s="0"/>
      <c r="GA1134" s="0"/>
      <c r="GB1134" s="0"/>
      <c r="GC1134" s="0"/>
      <c r="GD1134" s="0"/>
      <c r="GE1134" s="0"/>
      <c r="GF1134" s="0"/>
      <c r="GG1134" s="0"/>
      <c r="GH1134" s="0"/>
      <c r="GI1134" s="0"/>
      <c r="GJ1134" s="0"/>
      <c r="GK1134" s="0"/>
      <c r="GL1134" s="0"/>
      <c r="GM1134" s="0"/>
      <c r="GN1134" s="0"/>
      <c r="GO1134" s="0"/>
      <c r="GP1134" s="0"/>
      <c r="GQ1134" s="0"/>
      <c r="GR1134" s="0"/>
      <c r="GS1134" s="0"/>
      <c r="GT1134" s="0"/>
      <c r="GU1134" s="0"/>
      <c r="GV1134" s="0"/>
      <c r="GW1134" s="0"/>
      <c r="GX1134" s="0"/>
      <c r="GY1134" s="0"/>
      <c r="GZ1134" s="0"/>
      <c r="HA1134" s="0"/>
      <c r="HB1134" s="0"/>
      <c r="HC1134" s="0"/>
      <c r="HD1134" s="0"/>
      <c r="HE1134" s="0"/>
      <c r="HF1134" s="0"/>
      <c r="HG1134" s="0"/>
      <c r="HH1134" s="0"/>
      <c r="HI1134" s="0"/>
      <c r="HJ1134" s="0"/>
      <c r="HK1134" s="0"/>
      <c r="HL1134" s="0"/>
      <c r="HM1134" s="0"/>
      <c r="HN1134" s="0"/>
      <c r="HO1134" s="0"/>
      <c r="HP1134" s="0"/>
      <c r="HQ1134" s="0"/>
      <c r="HR1134" s="0"/>
      <c r="HS1134" s="0"/>
      <c r="HT1134" s="0"/>
      <c r="HU1134" s="0"/>
      <c r="HV1134" s="0"/>
      <c r="HW1134" s="0"/>
      <c r="HX1134" s="0"/>
      <c r="HY1134" s="0"/>
      <c r="HZ1134" s="0"/>
      <c r="IA1134" s="0"/>
      <c r="IB1134" s="0"/>
      <c r="IC1134" s="0"/>
      <c r="ID1134" s="0"/>
      <c r="IE1134" s="0"/>
      <c r="IF1134" s="0"/>
      <c r="IG1134" s="0"/>
      <c r="IH1134" s="0"/>
      <c r="II1134" s="0"/>
      <c r="IJ1134" s="0"/>
      <c r="IK1134" s="0"/>
      <c r="IL1134" s="0"/>
      <c r="IM1134" s="0"/>
      <c r="IN1134" s="0"/>
      <c r="IO1134" s="0"/>
      <c r="IP1134" s="0"/>
      <c r="IQ1134" s="0"/>
      <c r="IR1134" s="0"/>
      <c r="IS1134" s="0"/>
      <c r="IT1134" s="0"/>
      <c r="IU1134" s="0"/>
      <c r="IV1134" s="0"/>
    </row>
    <row r="1135" customFormat="false" ht="15" hidden="false" customHeight="true" outlineLevel="0" collapsed="false">
      <c r="A1135" s="1320" t="s">
        <v>633</v>
      </c>
      <c r="B1135" s="307"/>
      <c r="D1135" s="1327" t="s">
        <v>254</v>
      </c>
      <c r="E1135" s="1321" t="n">
        <f aca="false">IF(D1135="oui",1,0)</f>
        <v>0</v>
      </c>
      <c r="F1135" s="0"/>
      <c r="G1135" s="0"/>
      <c r="H1135" s="0"/>
      <c r="I1135" s="1329"/>
      <c r="J1135" s="0"/>
      <c r="K1135" s="0"/>
      <c r="L1135" s="0"/>
      <c r="M1135" s="0"/>
      <c r="N1135" s="0"/>
      <c r="O1135" s="0"/>
      <c r="P1135" s="0"/>
      <c r="Q1135" s="0"/>
      <c r="R1135" s="0"/>
      <c r="S1135" s="0"/>
      <c r="T1135" s="0"/>
      <c r="U1135" s="0"/>
      <c r="V1135" s="0"/>
      <c r="W1135" s="0"/>
      <c r="X1135" s="0"/>
      <c r="Y1135" s="0"/>
      <c r="Z1135" s="0"/>
      <c r="AA1135" s="0"/>
      <c r="AB1135" s="0"/>
      <c r="AC1135" s="0"/>
      <c r="AD1135" s="0"/>
      <c r="AE1135" s="0"/>
      <c r="AF1135" s="0"/>
      <c r="AG1135" s="0"/>
      <c r="AH1135" s="0"/>
      <c r="AI1135" s="0"/>
      <c r="AJ1135" s="0"/>
      <c r="AK1135" s="0"/>
      <c r="AL1135" s="0"/>
      <c r="AM1135" s="0"/>
      <c r="AN1135" s="0"/>
      <c r="AO1135" s="0"/>
      <c r="AP1135" s="0"/>
      <c r="AQ1135" s="0"/>
      <c r="AR1135" s="0"/>
      <c r="AS1135" s="0"/>
      <c r="AT1135" s="0"/>
      <c r="AU1135" s="0"/>
      <c r="AV1135" s="0"/>
      <c r="AW1135" s="0"/>
      <c r="AX1135" s="0"/>
      <c r="AY1135" s="0"/>
      <c r="AZ1135" s="0"/>
      <c r="BA1135" s="0"/>
      <c r="BB1135" s="0"/>
      <c r="BC1135" s="0"/>
      <c r="BD1135" s="0"/>
      <c r="BE1135" s="0"/>
      <c r="BF1135" s="0"/>
      <c r="BG1135" s="0"/>
      <c r="BH1135" s="0"/>
      <c r="BI1135" s="0"/>
      <c r="BJ1135" s="0"/>
      <c r="BK1135" s="0"/>
      <c r="BL1135" s="0"/>
      <c r="BM1135" s="0"/>
      <c r="BN1135" s="0"/>
      <c r="BO1135" s="0"/>
      <c r="BP1135" s="0"/>
      <c r="BQ1135" s="0"/>
      <c r="BR1135" s="0"/>
      <c r="BS1135" s="0"/>
      <c r="BT1135" s="0"/>
      <c r="BU1135" s="0"/>
      <c r="BV1135" s="0"/>
      <c r="BW1135" s="0"/>
      <c r="BX1135" s="0"/>
      <c r="BY1135" s="0"/>
      <c r="BZ1135" s="0"/>
      <c r="CA1135" s="0"/>
      <c r="CB1135" s="0"/>
      <c r="CC1135" s="0"/>
      <c r="CD1135" s="0"/>
      <c r="CE1135" s="0"/>
      <c r="CF1135" s="0"/>
      <c r="CG1135" s="0"/>
      <c r="CH1135" s="0"/>
      <c r="CI1135" s="0"/>
      <c r="CJ1135" s="0"/>
      <c r="CK1135" s="0"/>
      <c r="CL1135" s="0"/>
      <c r="CM1135" s="0"/>
      <c r="CN1135" s="0"/>
      <c r="CO1135" s="0"/>
      <c r="CP1135" s="0"/>
      <c r="CQ1135" s="0"/>
      <c r="CR1135" s="0"/>
      <c r="CS1135" s="0"/>
      <c r="CT1135" s="0"/>
      <c r="CU1135" s="0"/>
      <c r="CV1135" s="0"/>
      <c r="CW1135" s="0"/>
      <c r="CX1135" s="0"/>
      <c r="CY1135" s="0"/>
      <c r="CZ1135" s="0"/>
      <c r="DA1135" s="0"/>
      <c r="DB1135" s="0"/>
      <c r="DC1135" s="0"/>
      <c r="DD1135" s="0"/>
      <c r="DE1135" s="0"/>
      <c r="DF1135" s="0"/>
      <c r="DG1135" s="0"/>
      <c r="DH1135" s="0"/>
      <c r="DI1135" s="0"/>
      <c r="DJ1135" s="0"/>
      <c r="DK1135" s="0"/>
      <c r="DL1135" s="0"/>
      <c r="DM1135" s="0"/>
      <c r="DN1135" s="0"/>
      <c r="DO1135" s="0"/>
      <c r="DP1135" s="0"/>
      <c r="DQ1135" s="0"/>
      <c r="DR1135" s="0"/>
      <c r="DS1135" s="0"/>
      <c r="DT1135" s="0"/>
      <c r="DU1135" s="0"/>
      <c r="DV1135" s="0"/>
      <c r="DW1135" s="0"/>
      <c r="DX1135" s="0"/>
      <c r="DY1135" s="0"/>
      <c r="DZ1135" s="0"/>
      <c r="EA1135" s="0"/>
      <c r="EB1135" s="0"/>
      <c r="EC1135" s="0"/>
      <c r="ED1135" s="0"/>
      <c r="EE1135" s="0"/>
      <c r="EF1135" s="0"/>
      <c r="EG1135" s="0"/>
      <c r="EH1135" s="0"/>
      <c r="EI1135" s="0"/>
      <c r="EJ1135" s="0"/>
      <c r="EK1135" s="0"/>
      <c r="EL1135" s="0"/>
      <c r="EM1135" s="0"/>
      <c r="EN1135" s="0"/>
      <c r="EO1135" s="0"/>
      <c r="EP1135" s="0"/>
      <c r="EQ1135" s="0"/>
      <c r="ER1135" s="0"/>
      <c r="ES1135" s="0"/>
      <c r="ET1135" s="0"/>
      <c r="EU1135" s="0"/>
      <c r="EV1135" s="0"/>
      <c r="EW1135" s="0"/>
      <c r="EX1135" s="0"/>
      <c r="EY1135" s="0"/>
      <c r="EZ1135" s="0"/>
      <c r="FA1135" s="0"/>
      <c r="FB1135" s="0"/>
      <c r="FC1135" s="0"/>
      <c r="FD1135" s="0"/>
      <c r="FE1135" s="0"/>
      <c r="FF1135" s="0"/>
      <c r="FG1135" s="0"/>
      <c r="FH1135" s="0"/>
      <c r="FI1135" s="0"/>
      <c r="FJ1135" s="0"/>
      <c r="FK1135" s="0"/>
      <c r="FL1135" s="0"/>
      <c r="FM1135" s="0"/>
      <c r="FN1135" s="0"/>
      <c r="FO1135" s="0"/>
      <c r="FP1135" s="0"/>
      <c r="FQ1135" s="0"/>
      <c r="FR1135" s="0"/>
      <c r="FS1135" s="0"/>
      <c r="FT1135" s="0"/>
      <c r="FU1135" s="0"/>
      <c r="FV1135" s="0"/>
      <c r="FW1135" s="0"/>
      <c r="FX1135" s="0"/>
      <c r="FY1135" s="0"/>
      <c r="FZ1135" s="0"/>
      <c r="GA1135" s="0"/>
      <c r="GB1135" s="0"/>
      <c r="GC1135" s="0"/>
      <c r="GD1135" s="0"/>
      <c r="GE1135" s="0"/>
      <c r="GF1135" s="0"/>
      <c r="GG1135" s="0"/>
      <c r="GH1135" s="0"/>
      <c r="GI1135" s="0"/>
      <c r="GJ1135" s="0"/>
      <c r="GK1135" s="0"/>
      <c r="GL1135" s="0"/>
      <c r="GM1135" s="0"/>
      <c r="GN1135" s="0"/>
      <c r="GO1135" s="0"/>
      <c r="GP1135" s="0"/>
      <c r="GQ1135" s="0"/>
      <c r="GR1135" s="0"/>
      <c r="GS1135" s="0"/>
      <c r="GT1135" s="0"/>
      <c r="GU1135" s="0"/>
      <c r="GV1135" s="0"/>
      <c r="GW1135" s="0"/>
      <c r="GX1135" s="0"/>
      <c r="GY1135" s="0"/>
      <c r="GZ1135" s="0"/>
      <c r="HA1135" s="0"/>
      <c r="HB1135" s="0"/>
      <c r="HC1135" s="0"/>
      <c r="HD1135" s="0"/>
      <c r="HE1135" s="0"/>
      <c r="HF1135" s="0"/>
      <c r="HG1135" s="0"/>
      <c r="HH1135" s="0"/>
      <c r="HI1135" s="0"/>
      <c r="HJ1135" s="0"/>
      <c r="HK1135" s="0"/>
      <c r="HL1135" s="0"/>
      <c r="HM1135" s="0"/>
      <c r="HN1135" s="0"/>
      <c r="HO1135" s="0"/>
      <c r="HP1135" s="0"/>
      <c r="HQ1135" s="0"/>
      <c r="HR1135" s="0"/>
      <c r="HS1135" s="0"/>
      <c r="HT1135" s="0"/>
      <c r="HU1135" s="0"/>
      <c r="HV1135" s="0"/>
      <c r="HW1135" s="0"/>
      <c r="HX1135" s="0"/>
      <c r="HY1135" s="0"/>
      <c r="HZ1135" s="0"/>
      <c r="IA1135" s="0"/>
      <c r="IB1135" s="0"/>
      <c r="IC1135" s="0"/>
      <c r="ID1135" s="0"/>
      <c r="IE1135" s="0"/>
      <c r="IF1135" s="0"/>
      <c r="IG1135" s="0"/>
      <c r="IH1135" s="0"/>
      <c r="II1135" s="0"/>
      <c r="IJ1135" s="0"/>
      <c r="IK1135" s="0"/>
      <c r="IL1135" s="0"/>
      <c r="IM1135" s="0"/>
      <c r="IN1135" s="0"/>
      <c r="IO1135" s="0"/>
      <c r="IP1135" s="0"/>
      <c r="IQ1135" s="0"/>
      <c r="IR1135" s="0"/>
      <c r="IS1135" s="0"/>
      <c r="IT1135" s="0"/>
      <c r="IU1135" s="0"/>
      <c r="IV1135" s="0"/>
    </row>
    <row r="1136" customFormat="false" ht="15" hidden="false" customHeight="true" outlineLevel="0" collapsed="false">
      <c r="B1136" s="307"/>
      <c r="D1136" s="307"/>
      <c r="F1136" s="0"/>
      <c r="G1136" s="0"/>
      <c r="H1136" s="0"/>
      <c r="I1136" s="1329"/>
      <c r="J1136" s="0"/>
      <c r="K1136" s="0"/>
      <c r="L1136" s="0"/>
      <c r="M1136" s="0"/>
      <c r="N1136" s="0"/>
      <c r="O1136" s="0"/>
      <c r="P1136" s="0"/>
      <c r="Q1136" s="0"/>
      <c r="R1136" s="0"/>
      <c r="S1136" s="0"/>
      <c r="T1136" s="0"/>
      <c r="U1136" s="0"/>
      <c r="V1136" s="0"/>
      <c r="W1136" s="0"/>
      <c r="X1136" s="0"/>
      <c r="Y1136" s="0"/>
      <c r="Z1136" s="0"/>
      <c r="AA1136" s="0"/>
      <c r="AB1136" s="0"/>
      <c r="AC1136" s="0"/>
      <c r="AD1136" s="0"/>
      <c r="AE1136" s="0"/>
      <c r="AF1136" s="0"/>
      <c r="AG1136" s="0"/>
      <c r="AH1136" s="0"/>
      <c r="AI1136" s="0"/>
      <c r="AJ1136" s="0"/>
      <c r="AK1136" s="0"/>
      <c r="AL1136" s="0"/>
      <c r="AM1136" s="0"/>
      <c r="AN1136" s="0"/>
      <c r="AO1136" s="0"/>
      <c r="AP1136" s="0"/>
      <c r="AQ1136" s="0"/>
      <c r="AR1136" s="0"/>
      <c r="AS1136" s="0"/>
      <c r="AT1136" s="0"/>
      <c r="AU1136" s="0"/>
      <c r="AV1136" s="0"/>
      <c r="AW1136" s="0"/>
      <c r="AX1136" s="0"/>
      <c r="AY1136" s="0"/>
      <c r="AZ1136" s="0"/>
      <c r="BA1136" s="0"/>
      <c r="BB1136" s="0"/>
      <c r="BC1136" s="0"/>
      <c r="BD1136" s="0"/>
      <c r="BE1136" s="0"/>
      <c r="BF1136" s="0"/>
      <c r="BG1136" s="0"/>
      <c r="BH1136" s="0"/>
      <c r="BI1136" s="0"/>
      <c r="BJ1136" s="0"/>
      <c r="BK1136" s="0"/>
      <c r="BL1136" s="0"/>
      <c r="BM1136" s="0"/>
      <c r="BN1136" s="0"/>
      <c r="BO1136" s="0"/>
      <c r="BP1136" s="0"/>
      <c r="BQ1136" s="0"/>
      <c r="BR1136" s="0"/>
      <c r="BS1136" s="0"/>
      <c r="BT1136" s="0"/>
      <c r="BU1136" s="0"/>
      <c r="BV1136" s="0"/>
      <c r="BW1136" s="0"/>
      <c r="BX1136" s="0"/>
      <c r="BY1136" s="0"/>
      <c r="BZ1136" s="0"/>
      <c r="CA1136" s="0"/>
      <c r="CB1136" s="0"/>
      <c r="CC1136" s="0"/>
      <c r="CD1136" s="0"/>
      <c r="CE1136" s="0"/>
      <c r="CF1136" s="0"/>
      <c r="CG1136" s="0"/>
      <c r="CH1136" s="0"/>
      <c r="CI1136" s="0"/>
      <c r="CJ1136" s="0"/>
      <c r="CK1136" s="0"/>
      <c r="CL1136" s="0"/>
      <c r="CM1136" s="0"/>
      <c r="CN1136" s="0"/>
      <c r="CO1136" s="0"/>
      <c r="CP1136" s="0"/>
      <c r="CQ1136" s="0"/>
      <c r="CR1136" s="0"/>
      <c r="CS1136" s="0"/>
      <c r="CT1136" s="0"/>
      <c r="CU1136" s="0"/>
      <c r="CV1136" s="0"/>
      <c r="CW1136" s="0"/>
      <c r="CX1136" s="0"/>
      <c r="CY1136" s="0"/>
      <c r="CZ1136" s="0"/>
      <c r="DA1136" s="0"/>
      <c r="DB1136" s="0"/>
      <c r="DC1136" s="0"/>
      <c r="DD1136" s="0"/>
      <c r="DE1136" s="0"/>
      <c r="DF1136" s="0"/>
      <c r="DG1136" s="0"/>
      <c r="DH1136" s="0"/>
      <c r="DI1136" s="0"/>
      <c r="DJ1136" s="0"/>
      <c r="DK1136" s="0"/>
      <c r="DL1136" s="0"/>
      <c r="DM1136" s="0"/>
      <c r="DN1136" s="0"/>
      <c r="DO1136" s="0"/>
      <c r="DP1136" s="0"/>
      <c r="DQ1136" s="0"/>
      <c r="DR1136" s="0"/>
      <c r="DS1136" s="0"/>
      <c r="DT1136" s="0"/>
      <c r="DU1136" s="0"/>
      <c r="DV1136" s="0"/>
      <c r="DW1136" s="0"/>
      <c r="DX1136" s="0"/>
      <c r="DY1136" s="0"/>
      <c r="DZ1136" s="0"/>
      <c r="EA1136" s="0"/>
      <c r="EB1136" s="0"/>
      <c r="EC1136" s="0"/>
      <c r="ED1136" s="0"/>
      <c r="EE1136" s="0"/>
      <c r="EF1136" s="0"/>
      <c r="EG1136" s="0"/>
      <c r="EH1136" s="0"/>
      <c r="EI1136" s="0"/>
      <c r="EJ1136" s="0"/>
      <c r="EK1136" s="0"/>
      <c r="EL1136" s="0"/>
      <c r="EM1136" s="0"/>
      <c r="EN1136" s="0"/>
      <c r="EO1136" s="0"/>
      <c r="EP1136" s="0"/>
      <c r="EQ1136" s="0"/>
      <c r="ER1136" s="0"/>
      <c r="ES1136" s="0"/>
      <c r="ET1136" s="0"/>
      <c r="EU1136" s="0"/>
      <c r="EV1136" s="0"/>
      <c r="EW1136" s="0"/>
      <c r="EX1136" s="0"/>
      <c r="EY1136" s="0"/>
      <c r="EZ1136" s="0"/>
      <c r="FA1136" s="0"/>
      <c r="FB1136" s="0"/>
      <c r="FC1136" s="0"/>
      <c r="FD1136" s="0"/>
      <c r="FE1136" s="0"/>
      <c r="FF1136" s="0"/>
      <c r="FG1136" s="0"/>
      <c r="FH1136" s="0"/>
      <c r="FI1136" s="0"/>
      <c r="FJ1136" s="0"/>
      <c r="FK1136" s="0"/>
      <c r="FL1136" s="0"/>
      <c r="FM1136" s="0"/>
      <c r="FN1136" s="0"/>
      <c r="FO1136" s="0"/>
      <c r="FP1136" s="0"/>
      <c r="FQ1136" s="0"/>
      <c r="FR1136" s="0"/>
      <c r="FS1136" s="0"/>
      <c r="FT1136" s="0"/>
      <c r="FU1136" s="0"/>
      <c r="FV1136" s="0"/>
      <c r="FW1136" s="0"/>
      <c r="FX1136" s="0"/>
      <c r="FY1136" s="0"/>
      <c r="FZ1136" s="0"/>
      <c r="GA1136" s="0"/>
      <c r="GB1136" s="0"/>
      <c r="GC1136" s="0"/>
      <c r="GD1136" s="0"/>
      <c r="GE1136" s="0"/>
      <c r="GF1136" s="0"/>
      <c r="GG1136" s="0"/>
      <c r="GH1136" s="0"/>
      <c r="GI1136" s="0"/>
      <c r="GJ1136" s="0"/>
      <c r="GK1136" s="0"/>
      <c r="GL1136" s="0"/>
      <c r="GM1136" s="0"/>
      <c r="GN1136" s="0"/>
      <c r="GO1136" s="0"/>
      <c r="GP1136" s="0"/>
      <c r="GQ1136" s="0"/>
      <c r="GR1136" s="0"/>
      <c r="GS1136" s="0"/>
      <c r="GT1136" s="0"/>
      <c r="GU1136" s="0"/>
      <c r="GV1136" s="0"/>
      <c r="GW1136" s="0"/>
      <c r="GX1136" s="0"/>
      <c r="GY1136" s="0"/>
      <c r="GZ1136" s="0"/>
      <c r="HA1136" s="0"/>
      <c r="HB1136" s="0"/>
      <c r="HC1136" s="0"/>
      <c r="HD1136" s="0"/>
      <c r="HE1136" s="0"/>
      <c r="HF1136" s="0"/>
      <c r="HG1136" s="0"/>
      <c r="HH1136" s="0"/>
      <c r="HI1136" s="0"/>
      <c r="HJ1136" s="0"/>
      <c r="HK1136" s="0"/>
      <c r="HL1136" s="0"/>
      <c r="HM1136" s="0"/>
      <c r="HN1136" s="0"/>
      <c r="HO1136" s="0"/>
      <c r="HP1136" s="0"/>
      <c r="HQ1136" s="0"/>
      <c r="HR1136" s="0"/>
      <c r="HS1136" s="0"/>
      <c r="HT1136" s="0"/>
      <c r="HU1136" s="0"/>
      <c r="HV1136" s="0"/>
      <c r="HW1136" s="0"/>
      <c r="HX1136" s="0"/>
      <c r="HY1136" s="0"/>
      <c r="HZ1136" s="0"/>
      <c r="IA1136" s="0"/>
      <c r="IB1136" s="0"/>
      <c r="IC1136" s="0"/>
      <c r="ID1136" s="0"/>
      <c r="IE1136" s="0"/>
      <c r="IF1136" s="0"/>
      <c r="IG1136" s="0"/>
      <c r="IH1136" s="0"/>
      <c r="II1136" s="0"/>
      <c r="IJ1136" s="0"/>
      <c r="IK1136" s="0"/>
      <c r="IL1136" s="0"/>
      <c r="IM1136" s="0"/>
      <c r="IN1136" s="0"/>
      <c r="IO1136" s="0"/>
      <c r="IP1136" s="0"/>
      <c r="IQ1136" s="0"/>
      <c r="IR1136" s="0"/>
      <c r="IS1136" s="0"/>
      <c r="IT1136" s="0"/>
      <c r="IU1136" s="0"/>
      <c r="IV1136" s="0"/>
    </row>
    <row r="1137" customFormat="false" ht="15" hidden="false" customHeight="true" outlineLevel="0" collapsed="false">
      <c r="A1137" s="19"/>
      <c r="B1137" s="19"/>
      <c r="C1137" s="19"/>
      <c r="D1137" s="19"/>
      <c r="E1137" s="19"/>
      <c r="F1137" s="0"/>
      <c r="G1137" s="0"/>
      <c r="H1137" s="1325" t="s">
        <v>640</v>
      </c>
      <c r="I1137" s="1330" t="s">
        <v>254</v>
      </c>
      <c r="J1137" s="0"/>
      <c r="K1137" s="0"/>
      <c r="L1137" s="0"/>
      <c r="M1137" s="0"/>
      <c r="N1137" s="0"/>
      <c r="O1137" s="0"/>
      <c r="P1137" s="0"/>
      <c r="Q1137" s="0"/>
      <c r="R1137" s="0"/>
      <c r="S1137" s="0"/>
      <c r="T1137" s="0"/>
      <c r="U1137" s="0"/>
      <c r="V1137" s="0"/>
      <c r="W1137" s="0"/>
      <c r="X1137" s="0"/>
      <c r="Y1137" s="0"/>
      <c r="Z1137" s="0"/>
      <c r="AA1137" s="0"/>
      <c r="AB1137" s="0"/>
      <c r="AC1137" s="0"/>
      <c r="AD1137" s="0"/>
      <c r="AE1137" s="0"/>
      <c r="AF1137" s="0"/>
      <c r="AG1137" s="0"/>
      <c r="AH1137" s="0"/>
      <c r="AI1137" s="0"/>
      <c r="AJ1137" s="0"/>
      <c r="AK1137" s="0"/>
      <c r="AL1137" s="0"/>
      <c r="AM1137" s="0"/>
      <c r="AN1137" s="0"/>
      <c r="AO1137" s="0"/>
      <c r="AP1137" s="0"/>
      <c r="AQ1137" s="0"/>
      <c r="AR1137" s="0"/>
      <c r="AS1137" s="0"/>
      <c r="AT1137" s="0"/>
      <c r="AU1137" s="0"/>
      <c r="AV1137" s="0"/>
      <c r="AW1137" s="0"/>
      <c r="AX1137" s="0"/>
      <c r="AY1137" s="0"/>
      <c r="AZ1137" s="0"/>
      <c r="BA1137" s="0"/>
      <c r="BB1137" s="0"/>
      <c r="BC1137" s="0"/>
      <c r="BD1137" s="0"/>
      <c r="BE1137" s="0"/>
      <c r="BF1137" s="0"/>
      <c r="BG1137" s="0"/>
      <c r="BH1137" s="0"/>
      <c r="BI1137" s="0"/>
      <c r="BJ1137" s="0"/>
      <c r="BK1137" s="0"/>
      <c r="BL1137" s="0"/>
      <c r="BM1137" s="0"/>
      <c r="BN1137" s="0"/>
      <c r="BO1137" s="0"/>
      <c r="BP1137" s="0"/>
      <c r="BQ1137" s="0"/>
      <c r="BR1137" s="0"/>
      <c r="BS1137" s="0"/>
      <c r="BT1137" s="0"/>
      <c r="BU1137" s="0"/>
      <c r="BV1137" s="0"/>
      <c r="BW1137" s="0"/>
      <c r="BX1137" s="0"/>
      <c r="BY1137" s="0"/>
      <c r="BZ1137" s="0"/>
      <c r="CA1137" s="0"/>
      <c r="CB1137" s="0"/>
      <c r="CC1137" s="0"/>
      <c r="CD1137" s="0"/>
      <c r="CE1137" s="0"/>
      <c r="CF1137" s="0"/>
      <c r="CG1137" s="0"/>
      <c r="CH1137" s="0"/>
      <c r="CI1137" s="0"/>
      <c r="CJ1137" s="0"/>
      <c r="CK1137" s="0"/>
      <c r="CL1137" s="0"/>
      <c r="CM1137" s="0"/>
      <c r="CN1137" s="0"/>
      <c r="CO1137" s="0"/>
      <c r="CP1137" s="0"/>
      <c r="CQ1137" s="0"/>
      <c r="CR1137" s="0"/>
      <c r="CS1137" s="0"/>
      <c r="CT1137" s="0"/>
      <c r="CU1137" s="0"/>
      <c r="CV1137" s="0"/>
      <c r="CW1137" s="0"/>
      <c r="CX1137" s="0"/>
      <c r="CY1137" s="0"/>
      <c r="CZ1137" s="0"/>
      <c r="DA1137" s="0"/>
      <c r="DB1137" s="0"/>
      <c r="DC1137" s="0"/>
      <c r="DD1137" s="0"/>
      <c r="DE1137" s="0"/>
      <c r="DF1137" s="0"/>
      <c r="DG1137" s="0"/>
      <c r="DH1137" s="0"/>
      <c r="DI1137" s="0"/>
      <c r="DJ1137" s="0"/>
      <c r="DK1137" s="0"/>
      <c r="DL1137" s="0"/>
      <c r="DM1137" s="0"/>
      <c r="DN1137" s="0"/>
      <c r="DO1137" s="0"/>
      <c r="DP1137" s="0"/>
      <c r="DQ1137" s="0"/>
      <c r="DR1137" s="0"/>
      <c r="DS1137" s="0"/>
      <c r="DT1137" s="0"/>
      <c r="DU1137" s="0"/>
      <c r="DV1137" s="0"/>
      <c r="DW1137" s="0"/>
      <c r="DX1137" s="0"/>
      <c r="DY1137" s="0"/>
      <c r="DZ1137" s="0"/>
      <c r="EA1137" s="0"/>
      <c r="EB1137" s="0"/>
      <c r="EC1137" s="0"/>
      <c r="ED1137" s="0"/>
      <c r="EE1137" s="0"/>
      <c r="EF1137" s="0"/>
      <c r="EG1137" s="0"/>
      <c r="EH1137" s="0"/>
      <c r="EI1137" s="0"/>
      <c r="EJ1137" s="0"/>
      <c r="EK1137" s="0"/>
      <c r="EL1137" s="0"/>
      <c r="EM1137" s="0"/>
      <c r="EN1137" s="0"/>
      <c r="EO1137" s="0"/>
      <c r="EP1137" s="0"/>
      <c r="EQ1137" s="0"/>
      <c r="ER1137" s="0"/>
      <c r="ES1137" s="0"/>
      <c r="ET1137" s="0"/>
      <c r="EU1137" s="0"/>
      <c r="EV1137" s="0"/>
      <c r="EW1137" s="0"/>
      <c r="EX1137" s="0"/>
      <c r="EY1137" s="0"/>
      <c r="EZ1137" s="0"/>
      <c r="FA1137" s="0"/>
      <c r="FB1137" s="0"/>
      <c r="FC1137" s="0"/>
      <c r="FD1137" s="0"/>
      <c r="FE1137" s="0"/>
      <c r="FF1137" s="0"/>
      <c r="FG1137" s="0"/>
      <c r="FH1137" s="0"/>
      <c r="FI1137" s="0"/>
      <c r="FJ1137" s="0"/>
      <c r="FK1137" s="0"/>
      <c r="FL1137" s="0"/>
      <c r="FM1137" s="0"/>
      <c r="FN1137" s="0"/>
      <c r="FO1137" s="0"/>
      <c r="FP1137" s="0"/>
      <c r="FQ1137" s="0"/>
      <c r="FR1137" s="0"/>
      <c r="FS1137" s="0"/>
      <c r="FT1137" s="0"/>
      <c r="FU1137" s="0"/>
      <c r="FV1137" s="0"/>
      <c r="FW1137" s="0"/>
      <c r="FX1137" s="0"/>
      <c r="FY1137" s="0"/>
      <c r="FZ1137" s="0"/>
      <c r="GA1137" s="0"/>
      <c r="GB1137" s="0"/>
      <c r="GC1137" s="0"/>
      <c r="GD1137" s="0"/>
      <c r="GE1137" s="0"/>
      <c r="GF1137" s="0"/>
      <c r="GG1137" s="0"/>
      <c r="GH1137" s="0"/>
      <c r="GI1137" s="0"/>
      <c r="GJ1137" s="0"/>
      <c r="GK1137" s="0"/>
      <c r="GL1137" s="0"/>
      <c r="GM1137" s="0"/>
      <c r="GN1137" s="0"/>
      <c r="GO1137" s="0"/>
      <c r="GP1137" s="0"/>
      <c r="GQ1137" s="0"/>
      <c r="GR1137" s="0"/>
      <c r="GS1137" s="0"/>
      <c r="GT1137" s="0"/>
      <c r="GU1137" s="0"/>
      <c r="GV1137" s="0"/>
      <c r="GW1137" s="0"/>
      <c r="GX1137" s="0"/>
      <c r="GY1137" s="0"/>
      <c r="GZ1137" s="0"/>
      <c r="HA1137" s="0"/>
      <c r="HB1137" s="0"/>
      <c r="HC1137" s="0"/>
      <c r="HD1137" s="0"/>
      <c r="HE1137" s="0"/>
      <c r="HF1137" s="0"/>
      <c r="HG1137" s="0"/>
      <c r="HH1137" s="0"/>
      <c r="HI1137" s="0"/>
      <c r="HJ1137" s="0"/>
      <c r="HK1137" s="0"/>
      <c r="HL1137" s="0"/>
      <c r="HM1137" s="0"/>
      <c r="HN1137" s="0"/>
      <c r="HO1137" s="0"/>
      <c r="HP1137" s="0"/>
      <c r="HQ1137" s="0"/>
      <c r="HR1137" s="0"/>
      <c r="HS1137" s="0"/>
      <c r="HT1137" s="0"/>
      <c r="HU1137" s="0"/>
      <c r="HV1137" s="0"/>
      <c r="HW1137" s="0"/>
      <c r="HX1137" s="0"/>
      <c r="HY1137" s="0"/>
      <c r="HZ1137" s="0"/>
      <c r="IA1137" s="0"/>
      <c r="IB1137" s="0"/>
      <c r="IC1137" s="0"/>
      <c r="ID1137" s="0"/>
      <c r="IE1137" s="0"/>
      <c r="IF1137" s="0"/>
      <c r="IG1137" s="0"/>
      <c r="IH1137" s="0"/>
      <c r="II1137" s="0"/>
      <c r="IJ1137" s="0"/>
      <c r="IK1137" s="0"/>
      <c r="IL1137" s="0"/>
      <c r="IM1137" s="0"/>
      <c r="IN1137" s="0"/>
      <c r="IO1137" s="0"/>
      <c r="IP1137" s="0"/>
      <c r="IQ1137" s="0"/>
      <c r="IR1137" s="0"/>
      <c r="IS1137" s="0"/>
      <c r="IT1137" s="0"/>
      <c r="IU1137" s="0"/>
      <c r="IV1137" s="0"/>
    </row>
    <row r="1138" customFormat="false" ht="15" hidden="false" customHeight="true" outlineLevel="0" collapsed="false">
      <c r="C1138" s="0"/>
      <c r="D1138" s="0"/>
      <c r="E1138" s="0"/>
      <c r="F1138" s="0"/>
      <c r="G1138" s="0"/>
      <c r="H1138" s="0"/>
      <c r="I1138" s="0"/>
      <c r="J1138" s="11"/>
      <c r="K1138" s="0"/>
      <c r="L1138" s="0"/>
      <c r="M1138" s="0"/>
      <c r="N1138" s="0"/>
      <c r="O1138" s="0"/>
      <c r="P1138" s="0"/>
      <c r="Q1138" s="0"/>
      <c r="R1138" s="0"/>
      <c r="S1138" s="0"/>
      <c r="T1138" s="0"/>
      <c r="U1138" s="0"/>
      <c r="V1138" s="0"/>
      <c r="W1138" s="0"/>
      <c r="X1138" s="0"/>
      <c r="Y1138" s="0"/>
      <c r="Z1138" s="0"/>
      <c r="AA1138" s="0"/>
      <c r="AB1138" s="0"/>
      <c r="AC1138" s="0"/>
      <c r="AD1138" s="0"/>
      <c r="AE1138" s="0"/>
      <c r="AF1138" s="0"/>
      <c r="AG1138" s="0"/>
      <c r="AH1138" s="0"/>
      <c r="AI1138" s="0"/>
      <c r="AJ1138" s="0"/>
      <c r="AK1138" s="0"/>
      <c r="AL1138" s="0"/>
      <c r="AM1138" s="0"/>
      <c r="AN1138" s="0"/>
      <c r="AO1138" s="0"/>
      <c r="AP1138" s="0"/>
      <c r="AQ1138" s="0"/>
      <c r="AR1138" s="0"/>
      <c r="AS1138" s="0"/>
      <c r="AT1138" s="0"/>
      <c r="AU1138" s="0"/>
      <c r="AV1138" s="0"/>
      <c r="AW1138" s="0"/>
      <c r="AX1138" s="0"/>
      <c r="AY1138" s="0"/>
      <c r="AZ1138" s="0"/>
      <c r="BA1138" s="0"/>
      <c r="BB1138" s="0"/>
      <c r="BC1138" s="0"/>
      <c r="BD1138" s="0"/>
      <c r="BE1138" s="0"/>
      <c r="BF1138" s="0"/>
      <c r="BG1138" s="0"/>
      <c r="BH1138" s="0"/>
      <c r="BI1138" s="0"/>
      <c r="BJ1138" s="0"/>
      <c r="BK1138" s="0"/>
      <c r="BL1138" s="0"/>
      <c r="BM1138" s="0"/>
      <c r="BN1138" s="0"/>
      <c r="BO1138" s="0"/>
      <c r="BP1138" s="0"/>
      <c r="BQ1138" s="0"/>
      <c r="BR1138" s="0"/>
      <c r="BS1138" s="0"/>
      <c r="BT1138" s="0"/>
      <c r="BU1138" s="0"/>
      <c r="BV1138" s="0"/>
      <c r="BW1138" s="0"/>
      <c r="BX1138" s="0"/>
      <c r="BY1138" s="0"/>
      <c r="BZ1138" s="0"/>
      <c r="CA1138" s="0"/>
      <c r="CB1138" s="0"/>
      <c r="CC1138" s="0"/>
      <c r="CD1138" s="0"/>
      <c r="CE1138" s="0"/>
      <c r="CF1138" s="0"/>
      <c r="CG1138" s="0"/>
      <c r="CH1138" s="0"/>
      <c r="CI1138" s="0"/>
      <c r="CJ1138" s="0"/>
      <c r="CK1138" s="0"/>
      <c r="CL1138" s="0"/>
      <c r="CM1138" s="0"/>
      <c r="CN1138" s="0"/>
      <c r="CO1138" s="0"/>
      <c r="CP1138" s="0"/>
      <c r="CQ1138" s="0"/>
      <c r="CR1138" s="0"/>
      <c r="CS1138" s="0"/>
      <c r="CT1138" s="0"/>
      <c r="CU1138" s="0"/>
      <c r="CV1138" s="0"/>
      <c r="CW1138" s="0"/>
      <c r="CX1138" s="0"/>
      <c r="CY1138" s="0"/>
      <c r="CZ1138" s="0"/>
      <c r="DA1138" s="0"/>
      <c r="DB1138" s="0"/>
      <c r="DC1138" s="0"/>
      <c r="DD1138" s="0"/>
      <c r="DE1138" s="0"/>
      <c r="DF1138" s="0"/>
      <c r="DG1138" s="0"/>
      <c r="DH1138" s="0"/>
      <c r="DI1138" s="0"/>
      <c r="DJ1138" s="0"/>
      <c r="DK1138" s="0"/>
      <c r="DL1138" s="0"/>
      <c r="DM1138" s="0"/>
      <c r="DN1138" s="0"/>
      <c r="DO1138" s="0"/>
      <c r="DP1138" s="0"/>
      <c r="DQ1138" s="0"/>
      <c r="DR1138" s="0"/>
      <c r="DS1138" s="0"/>
      <c r="DT1138" s="0"/>
      <c r="DU1138" s="0"/>
      <c r="DV1138" s="0"/>
      <c r="DW1138" s="0"/>
      <c r="DX1138" s="0"/>
      <c r="DY1138" s="0"/>
      <c r="DZ1138" s="0"/>
      <c r="EA1138" s="0"/>
      <c r="EB1138" s="0"/>
      <c r="EC1138" s="0"/>
      <c r="ED1138" s="0"/>
      <c r="EE1138" s="0"/>
      <c r="EF1138" s="0"/>
      <c r="EG1138" s="0"/>
      <c r="EH1138" s="0"/>
      <c r="EI1138" s="0"/>
      <c r="EJ1138" s="0"/>
      <c r="EK1138" s="0"/>
      <c r="EL1138" s="0"/>
      <c r="EM1138" s="0"/>
      <c r="EN1138" s="0"/>
      <c r="EO1138" s="0"/>
      <c r="EP1138" s="0"/>
      <c r="EQ1138" s="0"/>
      <c r="ER1138" s="0"/>
      <c r="ES1138" s="0"/>
      <c r="ET1138" s="0"/>
      <c r="EU1138" s="0"/>
      <c r="EV1138" s="0"/>
      <c r="EW1138" s="0"/>
      <c r="EX1138" s="0"/>
      <c r="EY1138" s="0"/>
      <c r="EZ1138" s="0"/>
      <c r="FA1138" s="0"/>
      <c r="FB1138" s="0"/>
      <c r="FC1138" s="0"/>
      <c r="FD1138" s="0"/>
      <c r="FE1138" s="0"/>
      <c r="FF1138" s="0"/>
      <c r="FG1138" s="0"/>
      <c r="FH1138" s="0"/>
      <c r="FI1138" s="0"/>
      <c r="FJ1138" s="0"/>
      <c r="FK1138" s="0"/>
      <c r="FL1138" s="0"/>
      <c r="FM1138" s="0"/>
      <c r="FN1138" s="0"/>
      <c r="FO1138" s="0"/>
      <c r="FP1138" s="0"/>
      <c r="FQ1138" s="0"/>
      <c r="FR1138" s="0"/>
      <c r="FS1138" s="0"/>
      <c r="FT1138" s="0"/>
      <c r="FU1138" s="0"/>
      <c r="FV1138" s="0"/>
      <c r="FW1138" s="0"/>
      <c r="FX1138" s="0"/>
      <c r="FY1138" s="0"/>
      <c r="FZ1138" s="0"/>
      <c r="GA1138" s="0"/>
      <c r="GB1138" s="0"/>
      <c r="GC1138" s="0"/>
      <c r="GD1138" s="0"/>
      <c r="GE1138" s="0"/>
      <c r="GF1138" s="0"/>
      <c r="GG1138" s="0"/>
      <c r="GH1138" s="0"/>
      <c r="GI1138" s="0"/>
      <c r="GJ1138" s="0"/>
      <c r="GK1138" s="0"/>
      <c r="GL1138" s="0"/>
      <c r="GM1138" s="0"/>
      <c r="GN1138" s="0"/>
      <c r="GO1138" s="0"/>
      <c r="GP1138" s="0"/>
      <c r="GQ1138" s="0"/>
      <c r="GR1138" s="0"/>
      <c r="GS1138" s="0"/>
      <c r="GT1138" s="0"/>
      <c r="GU1138" s="0"/>
      <c r="GV1138" s="0"/>
      <c r="GW1138" s="0"/>
      <c r="GX1138" s="0"/>
      <c r="GY1138" s="0"/>
      <c r="GZ1138" s="0"/>
      <c r="HA1138" s="0"/>
      <c r="HB1138" s="0"/>
      <c r="HC1138" s="0"/>
      <c r="HD1138" s="0"/>
      <c r="HE1138" s="0"/>
      <c r="HF1138" s="0"/>
      <c r="HG1138" s="0"/>
      <c r="HH1138" s="0"/>
      <c r="HI1138" s="0"/>
      <c r="HJ1138" s="0"/>
      <c r="HK1138" s="0"/>
      <c r="HL1138" s="0"/>
      <c r="HM1138" s="0"/>
      <c r="HN1138" s="0"/>
      <c r="HO1138" s="0"/>
      <c r="HP1138" s="0"/>
      <c r="HQ1138" s="0"/>
      <c r="HR1138" s="0"/>
      <c r="HS1138" s="0"/>
      <c r="HT1138" s="0"/>
      <c r="HU1138" s="0"/>
      <c r="HV1138" s="0"/>
      <c r="HW1138" s="0"/>
      <c r="HX1138" s="0"/>
      <c r="HY1138" s="0"/>
      <c r="HZ1138" s="0"/>
      <c r="IA1138" s="0"/>
      <c r="IB1138" s="0"/>
      <c r="IC1138" s="0"/>
      <c r="ID1138" s="0"/>
      <c r="IE1138" s="0"/>
      <c r="IF1138" s="0"/>
      <c r="IG1138" s="0"/>
      <c r="IH1138" s="0"/>
      <c r="II1138" s="0"/>
      <c r="IJ1138" s="0"/>
      <c r="IK1138" s="0"/>
      <c r="IL1138" s="0"/>
      <c r="IM1138" s="0"/>
      <c r="IN1138" s="0"/>
      <c r="IO1138" s="0"/>
      <c r="IP1138" s="0"/>
      <c r="IQ1138" s="0"/>
      <c r="IR1138" s="0"/>
      <c r="IS1138" s="0"/>
      <c r="IT1138" s="0"/>
      <c r="IU1138" s="0"/>
      <c r="IV1138" s="0"/>
    </row>
    <row r="1139" s="19" customFormat="true" ht="18.75" hidden="false" customHeight="true" outlineLevel="0" collapsed="false">
      <c r="B1139" s="307"/>
      <c r="C1139" s="307"/>
      <c r="D1139" s="307"/>
      <c r="E1139" s="307"/>
      <c r="G1139" s="307"/>
      <c r="J1139" s="667"/>
      <c r="N1139" s="55"/>
      <c r="O1139" s="55"/>
      <c r="P1139" s="55"/>
      <c r="Q1139" s="11"/>
      <c r="R1139" s="11"/>
      <c r="S1139" s="11"/>
    </row>
    <row r="1140" customFormat="false" ht="23.25" hidden="false" customHeight="true" outlineLevel="0" collapsed="false">
      <c r="A1140" s="1331" t="s">
        <v>1735</v>
      </c>
      <c r="B1140" s="1331"/>
      <c r="C1140" s="1331"/>
      <c r="D1140" s="1331"/>
      <c r="E1140" s="1331"/>
      <c r="F1140" s="1331"/>
      <c r="G1140" s="1331"/>
      <c r="H1140" s="1331"/>
      <c r="I1140" s="1331"/>
      <c r="J1140" s="1331"/>
      <c r="K1140" s="1331"/>
      <c r="L1140" s="1331"/>
      <c r="M1140" s="0"/>
      <c r="N1140" s="55"/>
      <c r="O1140" s="0"/>
      <c r="P1140" s="0"/>
      <c r="Q1140" s="0"/>
      <c r="R1140" s="0"/>
      <c r="S1140" s="55"/>
      <c r="T1140" s="0"/>
      <c r="U1140" s="0"/>
      <c r="V1140" s="0"/>
      <c r="W1140" s="0"/>
      <c r="X1140" s="0"/>
      <c r="Y1140" s="0"/>
      <c r="Z1140" s="0"/>
      <c r="AA1140" s="0"/>
      <c r="AB1140" s="0"/>
      <c r="AC1140" s="0"/>
      <c r="AD1140" s="0"/>
      <c r="AE1140" s="0"/>
      <c r="AF1140" s="0"/>
      <c r="AG1140" s="0"/>
      <c r="AH1140" s="0"/>
      <c r="AI1140" s="0"/>
      <c r="AJ1140" s="0"/>
      <c r="AK1140" s="0"/>
      <c r="AL1140" s="0"/>
      <c r="AM1140" s="0"/>
      <c r="AN1140" s="0"/>
      <c r="AO1140" s="0"/>
      <c r="AP1140" s="0"/>
      <c r="AQ1140" s="0"/>
      <c r="AR1140" s="0"/>
      <c r="AS1140" s="0"/>
      <c r="AT1140" s="0"/>
      <c r="AU1140" s="0"/>
      <c r="AV1140" s="0"/>
      <c r="AW1140" s="0"/>
      <c r="AX1140" s="0"/>
      <c r="AY1140" s="0"/>
      <c r="AZ1140" s="0"/>
      <c r="BA1140" s="0"/>
      <c r="BB1140" s="0"/>
      <c r="BC1140" s="0"/>
      <c r="BD1140" s="0"/>
      <c r="BE1140" s="0"/>
      <c r="BF1140" s="0"/>
      <c r="BG1140" s="0"/>
      <c r="BH1140" s="0"/>
      <c r="BI1140" s="0"/>
      <c r="BJ1140" s="0"/>
      <c r="BK1140" s="0"/>
      <c r="BL1140" s="0"/>
      <c r="BM1140" s="0"/>
      <c r="BN1140" s="0"/>
      <c r="BO1140" s="0"/>
      <c r="BP1140" s="0"/>
      <c r="BQ1140" s="0"/>
      <c r="BR1140" s="0"/>
      <c r="BS1140" s="0"/>
      <c r="BT1140" s="0"/>
      <c r="BU1140" s="0"/>
      <c r="BV1140" s="0"/>
      <c r="BW1140" s="0"/>
      <c r="BX1140" s="0"/>
      <c r="BY1140" s="0"/>
      <c r="BZ1140" s="0"/>
      <c r="CA1140" s="0"/>
      <c r="CB1140" s="0"/>
      <c r="CC1140" s="0"/>
      <c r="CD1140" s="0"/>
      <c r="CE1140" s="0"/>
      <c r="CF1140" s="0"/>
      <c r="CG1140" s="0"/>
      <c r="CH1140" s="0"/>
      <c r="CI1140" s="0"/>
      <c r="CJ1140" s="0"/>
      <c r="CK1140" s="0"/>
      <c r="CL1140" s="0"/>
      <c r="CM1140" s="0"/>
      <c r="CN1140" s="0"/>
      <c r="CO1140" s="0"/>
      <c r="CP1140" s="0"/>
      <c r="CQ1140" s="0"/>
      <c r="CR1140" s="0"/>
      <c r="CS1140" s="0"/>
      <c r="CT1140" s="0"/>
      <c r="CU1140" s="0"/>
      <c r="CV1140" s="0"/>
      <c r="CW1140" s="0"/>
      <c r="CX1140" s="0"/>
      <c r="CY1140" s="0"/>
      <c r="CZ1140" s="0"/>
      <c r="DA1140" s="0"/>
      <c r="DB1140" s="0"/>
      <c r="DC1140" s="0"/>
      <c r="DD1140" s="0"/>
      <c r="DE1140" s="0"/>
      <c r="DF1140" s="0"/>
      <c r="DG1140" s="0"/>
      <c r="DH1140" s="0"/>
      <c r="DI1140" s="0"/>
      <c r="DJ1140" s="0"/>
      <c r="DK1140" s="0"/>
      <c r="DL1140" s="0"/>
      <c r="DM1140" s="0"/>
      <c r="DN1140" s="0"/>
      <c r="DO1140" s="0"/>
      <c r="DP1140" s="0"/>
      <c r="DQ1140" s="0"/>
      <c r="DR1140" s="0"/>
      <c r="DS1140" s="0"/>
      <c r="DT1140" s="0"/>
      <c r="DU1140" s="0"/>
      <c r="DV1140" s="0"/>
      <c r="DW1140" s="0"/>
      <c r="DX1140" s="0"/>
      <c r="DY1140" s="0"/>
      <c r="DZ1140" s="0"/>
      <c r="EA1140" s="0"/>
      <c r="EB1140" s="0"/>
      <c r="EC1140" s="0"/>
      <c r="ED1140" s="0"/>
      <c r="EE1140" s="0"/>
      <c r="EF1140" s="0"/>
      <c r="EG1140" s="0"/>
      <c r="EH1140" s="0"/>
      <c r="EI1140" s="0"/>
      <c r="EJ1140" s="0"/>
      <c r="EK1140" s="0"/>
      <c r="EL1140" s="0"/>
      <c r="EM1140" s="0"/>
      <c r="EN1140" s="0"/>
      <c r="EO1140" s="0"/>
      <c r="EP1140" s="0"/>
      <c r="EQ1140" s="0"/>
      <c r="ER1140" s="0"/>
      <c r="ES1140" s="0"/>
      <c r="ET1140" s="0"/>
      <c r="EU1140" s="0"/>
      <c r="EV1140" s="0"/>
      <c r="EW1140" s="0"/>
      <c r="EX1140" s="0"/>
      <c r="EY1140" s="0"/>
      <c r="EZ1140" s="0"/>
      <c r="FA1140" s="0"/>
      <c r="FB1140" s="0"/>
      <c r="FC1140" s="0"/>
      <c r="FD1140" s="0"/>
      <c r="FE1140" s="0"/>
      <c r="FF1140" s="0"/>
      <c r="FG1140" s="0"/>
      <c r="FH1140" s="0"/>
      <c r="FI1140" s="0"/>
      <c r="FJ1140" s="0"/>
      <c r="FK1140" s="0"/>
      <c r="FL1140" s="0"/>
      <c r="FM1140" s="0"/>
      <c r="FN1140" s="0"/>
      <c r="FO1140" s="0"/>
      <c r="FP1140" s="0"/>
      <c r="FQ1140" s="0"/>
      <c r="FR1140" s="0"/>
      <c r="FS1140" s="0"/>
      <c r="FT1140" s="0"/>
      <c r="FU1140" s="0"/>
      <c r="FV1140" s="0"/>
      <c r="FW1140" s="0"/>
      <c r="FX1140" s="0"/>
      <c r="FY1140" s="0"/>
      <c r="FZ1140" s="0"/>
      <c r="GA1140" s="0"/>
      <c r="GB1140" s="0"/>
      <c r="GC1140" s="0"/>
      <c r="GD1140" s="0"/>
      <c r="GE1140" s="0"/>
      <c r="GF1140" s="0"/>
      <c r="GG1140" s="0"/>
      <c r="GH1140" s="0"/>
      <c r="GI1140" s="0"/>
      <c r="GJ1140" s="0"/>
      <c r="GK1140" s="0"/>
      <c r="GL1140" s="0"/>
      <c r="GM1140" s="0"/>
      <c r="GN1140" s="0"/>
      <c r="GO1140" s="0"/>
      <c r="GP1140" s="0"/>
      <c r="GQ1140" s="0"/>
      <c r="GR1140" s="0"/>
      <c r="GS1140" s="0"/>
      <c r="GT1140" s="0"/>
      <c r="GU1140" s="0"/>
      <c r="GV1140" s="0"/>
      <c r="GW1140" s="0"/>
      <c r="GX1140" s="0"/>
      <c r="GY1140" s="0"/>
      <c r="GZ1140" s="0"/>
      <c r="HA1140" s="0"/>
      <c r="HB1140" s="0"/>
      <c r="HC1140" s="0"/>
      <c r="HD1140" s="0"/>
      <c r="HE1140" s="0"/>
      <c r="HF1140" s="0"/>
      <c r="HG1140" s="0"/>
      <c r="HH1140" s="0"/>
      <c r="HI1140" s="0"/>
      <c r="HJ1140" s="0"/>
      <c r="HK1140" s="0"/>
      <c r="HL1140" s="0"/>
      <c r="HM1140" s="0"/>
      <c r="HN1140" s="0"/>
      <c r="HO1140" s="0"/>
      <c r="HP1140" s="0"/>
      <c r="HQ1140" s="0"/>
      <c r="HR1140" s="0"/>
      <c r="HS1140" s="0"/>
      <c r="HT1140" s="0"/>
      <c r="HU1140" s="0"/>
      <c r="HV1140" s="0"/>
      <c r="HW1140" s="0"/>
      <c r="HX1140" s="0"/>
      <c r="HY1140" s="0"/>
      <c r="HZ1140" s="0"/>
      <c r="IA1140" s="0"/>
      <c r="IB1140" s="0"/>
      <c r="IC1140" s="0"/>
      <c r="ID1140" s="0"/>
      <c r="IE1140" s="0"/>
      <c r="IF1140" s="0"/>
      <c r="IG1140" s="0"/>
      <c r="IH1140" s="0"/>
      <c r="II1140" s="0"/>
      <c r="IJ1140" s="0"/>
      <c r="IK1140" s="0"/>
      <c r="IL1140" s="0"/>
      <c r="IM1140" s="0"/>
      <c r="IN1140" s="0"/>
      <c r="IO1140" s="0"/>
      <c r="IP1140" s="0"/>
      <c r="IQ1140" s="0"/>
      <c r="IR1140" s="0"/>
      <c r="IS1140" s="0"/>
      <c r="IT1140" s="0"/>
      <c r="IU1140" s="0"/>
      <c r="IV1140" s="0"/>
    </row>
    <row r="1141" s="55" customFormat="true" ht="15" hidden="false" customHeight="true" outlineLevel="0" collapsed="false">
      <c r="A1141" s="456"/>
      <c r="B1141" s="456"/>
      <c r="C1141" s="456"/>
      <c r="D1141" s="456"/>
      <c r="E1141" s="456"/>
      <c r="F1141" s="456"/>
      <c r="G1141" s="456"/>
      <c r="H1141" s="1332"/>
      <c r="I1141" s="11"/>
      <c r="J1141" s="12"/>
      <c r="L1141" s="11"/>
      <c r="M1141" s="11"/>
      <c r="O1141" s="11"/>
      <c r="P1141" s="11"/>
      <c r="Q1141" s="11"/>
      <c r="R1141" s="11"/>
    </row>
    <row r="1142" s="55" customFormat="true" ht="15" hidden="false" customHeight="true" outlineLevel="0" collapsed="false">
      <c r="A1142" s="456"/>
      <c r="B1142" s="456"/>
      <c r="C1142" s="456"/>
      <c r="D1142" s="456"/>
      <c r="E1142" s="456"/>
      <c r="F1142" s="456"/>
      <c r="G1142" s="456"/>
      <c r="H1142" s="1332"/>
      <c r="I1142" s="11"/>
      <c r="J1142" s="12"/>
      <c r="L1142" s="11"/>
      <c r="M1142" s="11"/>
      <c r="O1142" s="11"/>
      <c r="P1142" s="11"/>
      <c r="Q1142" s="11"/>
      <c r="R1142" s="11"/>
    </row>
    <row r="1143" s="55" customFormat="true" ht="15" hidden="false" customHeight="true" outlineLevel="0" collapsed="false">
      <c r="A1143" s="1005" t="s">
        <v>1736</v>
      </c>
      <c r="B1143" s="1005"/>
      <c r="C1143" s="1005"/>
      <c r="D1143" s="1005"/>
      <c r="E1143" s="1005"/>
      <c r="F1143" s="1005"/>
      <c r="G1143" s="1005"/>
      <c r="H1143" s="1332"/>
      <c r="I1143" s="11"/>
      <c r="J1143" s="12"/>
      <c r="L1143" s="11" t="s">
        <v>1737</v>
      </c>
      <c r="M1143" s="11"/>
      <c r="O1143" s="11"/>
      <c r="P1143" s="11"/>
      <c r="Q1143" s="11"/>
      <c r="R1143" s="11"/>
    </row>
    <row r="1144" s="55" customFormat="true" ht="15" hidden="false" customHeight="true" outlineLevel="0" collapsed="false">
      <c r="A1144" s="456"/>
      <c r="B1144" s="456"/>
      <c r="C1144" s="456"/>
      <c r="D1144" s="456"/>
      <c r="E1144" s="456"/>
      <c r="F1144" s="456"/>
      <c r="G1144" s="456"/>
      <c r="H1144" s="1332"/>
      <c r="I1144" s="11"/>
      <c r="J1144" s="12"/>
      <c r="L1144" s="11"/>
      <c r="M1144" s="11"/>
      <c r="O1144" s="11"/>
      <c r="P1144" s="11"/>
      <c r="Q1144" s="11"/>
      <c r="R1144" s="11"/>
    </row>
    <row r="1145" s="55" customFormat="true" ht="26.25" hidden="false" customHeight="true" outlineLevel="0" collapsed="false">
      <c r="A1145" s="1333" t="s">
        <v>818</v>
      </c>
      <c r="B1145" s="1333"/>
      <c r="C1145" s="1333"/>
      <c r="D1145" s="1333"/>
      <c r="E1145" s="1333"/>
      <c r="F1145" s="1334" t="s">
        <v>1738</v>
      </c>
      <c r="G1145" s="1334"/>
      <c r="H1145" s="1334"/>
      <c r="I1145" s="873" t="s">
        <v>1402</v>
      </c>
      <c r="J1145" s="12"/>
      <c r="M1145" s="11"/>
      <c r="O1145" s="11"/>
      <c r="P1145" s="11"/>
      <c r="Q1145" s="11"/>
      <c r="R1145" s="11"/>
    </row>
    <row r="1146" s="55" customFormat="true" ht="15.75" hidden="false" customHeight="true" outlineLevel="0" collapsed="false">
      <c r="A1146" s="1333"/>
      <c r="B1146" s="1333"/>
      <c r="C1146" s="1333"/>
      <c r="D1146" s="1333"/>
      <c r="E1146" s="1333"/>
      <c r="F1146" s="1335" t="s">
        <v>406</v>
      </c>
      <c r="G1146" s="1336" t="s">
        <v>820</v>
      </c>
      <c r="H1146" s="1337" t="s">
        <v>821</v>
      </c>
      <c r="I1146" s="873"/>
      <c r="J1146" s="12"/>
      <c r="L1146" s="11"/>
      <c r="M1146" s="11"/>
      <c r="O1146" s="11"/>
      <c r="P1146" s="11"/>
      <c r="Q1146" s="11"/>
      <c r="R1146" s="11"/>
    </row>
    <row r="1147" s="55" customFormat="true" ht="15" hidden="false" customHeight="true" outlineLevel="0" collapsed="false">
      <c r="A1147" s="1338" t="s">
        <v>822</v>
      </c>
      <c r="B1147" s="1338"/>
      <c r="C1147" s="1338"/>
      <c r="D1147" s="1338"/>
      <c r="E1147" s="1338"/>
      <c r="F1147" s="1339" t="n">
        <v>63727</v>
      </c>
      <c r="G1147" s="1340" t="n">
        <v>50284</v>
      </c>
      <c r="H1147" s="1341"/>
      <c r="I1147" s="1342" t="n">
        <f aca="false">AVERAGE(F1147,G1147,H1147)</f>
        <v>57005.5</v>
      </c>
      <c r="J1147" s="12"/>
      <c r="L1147" s="11"/>
      <c r="M1147" s="11"/>
      <c r="O1147" s="11"/>
      <c r="P1147" s="11"/>
      <c r="Q1147" s="11"/>
      <c r="R1147" s="11"/>
    </row>
    <row r="1148" s="55" customFormat="true" ht="33.75" hidden="false" customHeight="true" outlineLevel="0" collapsed="false">
      <c r="A1148" s="1343" t="s">
        <v>824</v>
      </c>
      <c r="B1148" s="1343"/>
      <c r="C1148" s="1343"/>
      <c r="D1148" s="1343"/>
      <c r="E1148" s="1343"/>
      <c r="F1148" s="1344"/>
      <c r="G1148" s="1345"/>
      <c r="H1148" s="1346"/>
      <c r="I1148" s="1347"/>
      <c r="J1148" s="12"/>
      <c r="L1148" s="11"/>
      <c r="M1148" s="11"/>
      <c r="O1148" s="11"/>
      <c r="P1148" s="11"/>
      <c r="Q1148" s="11"/>
      <c r="R1148" s="11"/>
    </row>
    <row r="1149" s="55" customFormat="true" ht="15" hidden="false" customHeight="true" outlineLevel="0" collapsed="false">
      <c r="A1149" s="1348" t="s">
        <v>825</v>
      </c>
      <c r="B1149" s="1348"/>
      <c r="C1149" s="1348"/>
      <c r="D1149" s="1348"/>
      <c r="E1149" s="1348"/>
      <c r="F1149" s="1349" t="n">
        <v>17351</v>
      </c>
      <c r="G1149" s="1350" t="n">
        <v>16771</v>
      </c>
      <c r="H1149" s="1351"/>
      <c r="I1149" s="1352" t="n">
        <f aca="false">AVERAGE(F1149,G1149,H1149)</f>
        <v>17061</v>
      </c>
      <c r="J1149" s="12"/>
      <c r="L1149" s="11"/>
      <c r="M1149" s="11"/>
      <c r="O1149" s="11"/>
      <c r="P1149" s="11"/>
      <c r="Q1149" s="11"/>
      <c r="R1149" s="11"/>
    </row>
    <row r="1150" s="55" customFormat="true" ht="15" hidden="false" customHeight="true" outlineLevel="0" collapsed="false">
      <c r="A1150" s="1343" t="s">
        <v>827</v>
      </c>
      <c r="B1150" s="1343"/>
      <c r="C1150" s="1343"/>
      <c r="D1150" s="1343"/>
      <c r="E1150" s="1343"/>
      <c r="F1150" s="1353"/>
      <c r="G1150" s="1354"/>
      <c r="H1150" s="1355"/>
      <c r="I1150" s="1356"/>
      <c r="J1150" s="12"/>
      <c r="L1150" s="11"/>
      <c r="M1150" s="11"/>
      <c r="O1150" s="11"/>
      <c r="P1150" s="11"/>
      <c r="Q1150" s="11"/>
      <c r="R1150" s="11"/>
    </row>
    <row r="1151" s="55" customFormat="true" ht="15" hidden="false" customHeight="true" outlineLevel="0" collapsed="false">
      <c r="A1151" s="1357"/>
      <c r="B1151" s="1358"/>
      <c r="C1151" s="1358"/>
      <c r="D1151" s="1358"/>
      <c r="E1151" s="1358"/>
      <c r="F1151" s="1359"/>
      <c r="G1151" s="1360"/>
      <c r="H1151" s="1361"/>
      <c r="I1151" s="1362"/>
      <c r="J1151" s="12"/>
      <c r="L1151" s="11"/>
      <c r="M1151" s="11"/>
      <c r="O1151" s="11"/>
      <c r="P1151" s="11"/>
      <c r="Q1151" s="11"/>
      <c r="R1151" s="11"/>
    </row>
    <row r="1152" s="55" customFormat="true" ht="15" hidden="false" customHeight="true" outlineLevel="0" collapsed="false">
      <c r="A1152" s="1348" t="s">
        <v>828</v>
      </c>
      <c r="B1152" s="1348"/>
      <c r="C1152" s="1348"/>
      <c r="D1152" s="1348"/>
      <c r="E1152" s="1348"/>
      <c r="F1152" s="1349" t="n">
        <v>31090</v>
      </c>
      <c r="G1152" s="1350" t="n">
        <v>30230</v>
      </c>
      <c r="H1152" s="1351"/>
      <c r="I1152" s="1352" t="n">
        <f aca="false">AVERAGE(F1152,G1152,H1152)</f>
        <v>30660</v>
      </c>
      <c r="J1152" s="12"/>
      <c r="L1152" s="11"/>
      <c r="M1152" s="11"/>
      <c r="O1152" s="11"/>
      <c r="P1152" s="11"/>
      <c r="Q1152" s="11"/>
      <c r="R1152" s="11"/>
    </row>
    <row r="1153" s="55" customFormat="true" ht="15" hidden="false" customHeight="true" outlineLevel="0" collapsed="false">
      <c r="A1153" s="1343" t="s">
        <v>829</v>
      </c>
      <c r="B1153" s="1343"/>
      <c r="C1153" s="1343"/>
      <c r="D1153" s="1343"/>
      <c r="E1153" s="1343"/>
      <c r="F1153" s="1353"/>
      <c r="G1153" s="1354"/>
      <c r="H1153" s="1355"/>
      <c r="I1153" s="1356"/>
      <c r="J1153" s="12"/>
      <c r="L1153" s="11"/>
      <c r="M1153" s="11"/>
      <c r="O1153" s="11"/>
      <c r="P1153" s="11"/>
      <c r="Q1153" s="11"/>
      <c r="R1153" s="11"/>
    </row>
    <row r="1154" s="55" customFormat="true" ht="15" hidden="false" customHeight="true" outlineLevel="0" collapsed="false">
      <c r="A1154" s="1348" t="s">
        <v>830</v>
      </c>
      <c r="B1154" s="1348"/>
      <c r="C1154" s="1348"/>
      <c r="D1154" s="1348"/>
      <c r="E1154" s="1348"/>
      <c r="F1154" s="1349" t="n">
        <v>11080</v>
      </c>
      <c r="G1154" s="1350" t="n">
        <v>9890</v>
      </c>
      <c r="H1154" s="1351"/>
      <c r="I1154" s="1352" t="n">
        <f aca="false">AVERAGE(F1154,G1154,H1154)</f>
        <v>10485</v>
      </c>
      <c r="J1154" s="12"/>
      <c r="L1154" s="11"/>
      <c r="M1154" s="11"/>
      <c r="O1154" s="11"/>
      <c r="P1154" s="11"/>
      <c r="Q1154" s="11"/>
      <c r="R1154" s="11"/>
    </row>
    <row r="1155" s="55" customFormat="true" ht="44.25" hidden="false" customHeight="true" outlineLevel="0" collapsed="false">
      <c r="A1155" s="1343" t="s">
        <v>831</v>
      </c>
      <c r="B1155" s="1343"/>
      <c r="C1155" s="1343"/>
      <c r="D1155" s="1343"/>
      <c r="E1155" s="1343"/>
      <c r="F1155" s="1353"/>
      <c r="G1155" s="1354"/>
      <c r="H1155" s="1355"/>
      <c r="I1155" s="1356"/>
      <c r="J1155" s="12"/>
      <c r="L1155" s="11"/>
      <c r="M1155" s="11"/>
      <c r="O1155" s="11"/>
      <c r="P1155" s="11"/>
      <c r="Q1155" s="11"/>
      <c r="R1155" s="11"/>
    </row>
    <row r="1156" s="55" customFormat="true" ht="15" hidden="false" customHeight="true" outlineLevel="0" collapsed="false">
      <c r="A1156" s="1348" t="s">
        <v>832</v>
      </c>
      <c r="B1156" s="1348"/>
      <c r="C1156" s="1348"/>
      <c r="D1156" s="1348"/>
      <c r="E1156" s="1348"/>
      <c r="F1156" s="1349" t="n">
        <v>61476</v>
      </c>
      <c r="G1156" s="1350" t="n">
        <v>66657</v>
      </c>
      <c r="H1156" s="1351"/>
      <c r="I1156" s="1352" t="n">
        <f aca="false">AVERAGE(F1156,G1156,H1156)</f>
        <v>64066.5</v>
      </c>
      <c r="J1156" s="12"/>
      <c r="L1156" s="11"/>
      <c r="M1156" s="11"/>
      <c r="O1156" s="11"/>
      <c r="P1156" s="11"/>
      <c r="Q1156" s="11"/>
      <c r="R1156" s="11"/>
    </row>
    <row r="1157" s="55" customFormat="true" ht="47.25" hidden="false" customHeight="true" outlineLevel="0" collapsed="false">
      <c r="A1157" s="1343" t="s">
        <v>834</v>
      </c>
      <c r="B1157" s="1343"/>
      <c r="C1157" s="1343"/>
      <c r="D1157" s="1343"/>
      <c r="E1157" s="1343"/>
      <c r="F1157" s="1353"/>
      <c r="G1157" s="1354"/>
      <c r="H1157" s="1355"/>
      <c r="I1157" s="1356"/>
      <c r="J1157" s="12"/>
      <c r="L1157" s="11"/>
      <c r="M1157" s="11"/>
      <c r="O1157" s="11"/>
      <c r="P1157" s="11"/>
      <c r="Q1157" s="11"/>
      <c r="R1157" s="11"/>
    </row>
    <row r="1158" s="55" customFormat="true" ht="15" hidden="false" customHeight="true" outlineLevel="0" collapsed="false">
      <c r="A1158" s="1363"/>
      <c r="B1158" s="411"/>
      <c r="C1158" s="411"/>
      <c r="D1158" s="411"/>
      <c r="E1158" s="411"/>
      <c r="F1158" s="1364"/>
      <c r="G1158" s="1360"/>
      <c r="H1158" s="1361"/>
      <c r="I1158" s="1362"/>
      <c r="J1158" s="12"/>
      <c r="L1158" s="11"/>
      <c r="M1158" s="11"/>
      <c r="O1158" s="11"/>
      <c r="P1158" s="11"/>
      <c r="Q1158" s="11"/>
      <c r="R1158" s="11"/>
    </row>
    <row r="1159" s="55" customFormat="true" ht="15" hidden="false" customHeight="true" outlineLevel="0" collapsed="false">
      <c r="A1159" s="1348" t="s">
        <v>835</v>
      </c>
      <c r="B1159" s="1348"/>
      <c r="C1159" s="1348"/>
      <c r="D1159" s="1348"/>
      <c r="E1159" s="1348"/>
      <c r="F1159" s="1349" t="n">
        <v>0</v>
      </c>
      <c r="G1159" s="1350" t="n">
        <v>0</v>
      </c>
      <c r="H1159" s="1351"/>
      <c r="I1159" s="1352" t="n">
        <f aca="false">AVERAGE(F1159,G1159,H1159)</f>
        <v>0</v>
      </c>
      <c r="J1159" s="12"/>
      <c r="L1159" s="11"/>
      <c r="M1159" s="11"/>
      <c r="O1159" s="11"/>
      <c r="P1159" s="11"/>
      <c r="Q1159" s="11"/>
      <c r="R1159" s="11"/>
    </row>
    <row r="1160" s="55" customFormat="true" ht="15" hidden="false" customHeight="true" outlineLevel="0" collapsed="false">
      <c r="A1160" s="1343" t="s">
        <v>836</v>
      </c>
      <c r="B1160" s="1343"/>
      <c r="C1160" s="1343"/>
      <c r="D1160" s="1343"/>
      <c r="E1160" s="1343"/>
      <c r="F1160" s="1353"/>
      <c r="G1160" s="1354"/>
      <c r="H1160" s="1355"/>
      <c r="I1160" s="1356"/>
      <c r="J1160" s="12"/>
      <c r="L1160" s="11"/>
      <c r="M1160" s="11"/>
      <c r="O1160" s="11"/>
      <c r="P1160" s="11"/>
      <c r="Q1160" s="11"/>
      <c r="R1160" s="11"/>
    </row>
    <row r="1161" s="55" customFormat="true" ht="15" hidden="false" customHeight="true" outlineLevel="0" collapsed="false">
      <c r="A1161" s="1348" t="s">
        <v>837</v>
      </c>
      <c r="B1161" s="1348"/>
      <c r="C1161" s="1348"/>
      <c r="D1161" s="1348"/>
      <c r="E1161" s="1348"/>
      <c r="F1161" s="1349" t="n">
        <v>26995</v>
      </c>
      <c r="G1161" s="1350" t="n">
        <v>26922</v>
      </c>
      <c r="H1161" s="1351"/>
      <c r="I1161" s="1352" t="n">
        <f aca="false">AVERAGE(F1161,G1161,H1161)</f>
        <v>26958.5</v>
      </c>
      <c r="J1161" s="12"/>
      <c r="L1161" s="11"/>
      <c r="M1161" s="11"/>
      <c r="O1161" s="11"/>
      <c r="P1161" s="11"/>
      <c r="Q1161" s="11"/>
      <c r="R1161" s="11"/>
    </row>
    <row r="1162" s="55" customFormat="true" ht="34.5" hidden="false" customHeight="true" outlineLevel="0" collapsed="false">
      <c r="A1162" s="1365" t="s">
        <v>838</v>
      </c>
      <c r="B1162" s="1365"/>
      <c r="C1162" s="1365"/>
      <c r="D1162" s="1365"/>
      <c r="E1162" s="1365"/>
      <c r="F1162" s="1366"/>
      <c r="G1162" s="1367"/>
      <c r="H1162" s="1368"/>
      <c r="I1162" s="1369"/>
      <c r="J1162" s="12"/>
      <c r="L1162" s="11"/>
      <c r="M1162" s="11"/>
      <c r="O1162" s="11"/>
      <c r="P1162" s="11"/>
      <c r="Q1162" s="11"/>
      <c r="R1162" s="11"/>
    </row>
    <row r="1163" s="55" customFormat="true" ht="15" hidden="false" customHeight="true" outlineLevel="0" collapsed="false">
      <c r="A1163" s="1370"/>
      <c r="B1163" s="1371"/>
      <c r="C1163" s="1371"/>
      <c r="D1163" s="1371"/>
      <c r="E1163" s="1371"/>
      <c r="F1163" s="1372"/>
      <c r="G1163" s="1373"/>
      <c r="H1163" s="1374"/>
      <c r="I1163" s="1375"/>
      <c r="J1163" s="12"/>
      <c r="L1163" s="11"/>
      <c r="M1163" s="11"/>
      <c r="O1163" s="11"/>
      <c r="P1163" s="11"/>
      <c r="Q1163" s="11"/>
      <c r="R1163" s="11"/>
    </row>
    <row r="1164" s="55" customFormat="true" ht="15" hidden="false" customHeight="true" outlineLevel="0" collapsed="false">
      <c r="A1164" s="1376" t="s">
        <v>1739</v>
      </c>
      <c r="B1164" s="1376"/>
      <c r="C1164" s="1376"/>
      <c r="D1164" s="1376"/>
      <c r="E1164" s="1376"/>
      <c r="F1164" s="1377" t="n">
        <f aca="false">F1147+F1149+F1152+F1154+F1159+F1161</f>
        <v>150243</v>
      </c>
      <c r="G1164" s="1377" t="n">
        <f aca="false">G1147+G1149+G1152+G1154+G1159+G1161</f>
        <v>134097</v>
      </c>
      <c r="H1164" s="1377" t="n">
        <f aca="false">H1147+H1149+H1152+H1154+H1159+H1161</f>
        <v>0</v>
      </c>
      <c r="I1164" s="1378" t="n">
        <f aca="false">SUM(I1147,I1149,I1152,I1154,I1159,I1161)</f>
        <v>142170</v>
      </c>
      <c r="J1164" s="12"/>
      <c r="L1164" s="11"/>
      <c r="M1164" s="11"/>
      <c r="O1164" s="11"/>
      <c r="P1164" s="11"/>
      <c r="Q1164" s="11"/>
      <c r="R1164" s="11"/>
    </row>
    <row r="1165" s="55" customFormat="true" ht="168" hidden="false" customHeight="true" outlineLevel="0" collapsed="false">
      <c r="A1165" s="1379" t="s">
        <v>1740</v>
      </c>
      <c r="B1165" s="1379"/>
      <c r="C1165" s="1379"/>
      <c r="D1165" s="1379"/>
      <c r="E1165" s="1379"/>
      <c r="F1165" s="1380"/>
      <c r="G1165" s="1381"/>
      <c r="H1165" s="1382"/>
      <c r="I1165" s="1383"/>
      <c r="J1165" s="12"/>
      <c r="L1165" s="11"/>
      <c r="M1165" s="11"/>
      <c r="O1165" s="11"/>
      <c r="P1165" s="11"/>
      <c r="Q1165" s="11"/>
      <c r="R1165" s="11"/>
    </row>
    <row r="1166" s="55" customFormat="true" ht="15" hidden="false" customHeight="true" outlineLevel="0" collapsed="false">
      <c r="A1166" s="1348" t="s">
        <v>1741</v>
      </c>
      <c r="B1166" s="1348"/>
      <c r="C1166" s="1348"/>
      <c r="D1166" s="1348"/>
      <c r="E1166" s="1348"/>
      <c r="F1166" s="1384" t="n">
        <f aca="false">F1147+F1152+F1156+F1159</f>
        <v>156293</v>
      </c>
      <c r="G1166" s="1384" t="n">
        <f aca="false">G1147+G1152+G1156+G1159</f>
        <v>147171</v>
      </c>
      <c r="H1166" s="1384" t="n">
        <f aca="false">H1147+H1152+H1156+H1159</f>
        <v>0</v>
      </c>
      <c r="I1166" s="1378" t="n">
        <f aca="false">SUM(I1147,I1152,I1156,I1159)</f>
        <v>151732</v>
      </c>
      <c r="J1166" s="12"/>
      <c r="L1166" s="11"/>
      <c r="M1166" s="11"/>
      <c r="O1166" s="11"/>
      <c r="P1166" s="11"/>
      <c r="Q1166" s="11"/>
      <c r="R1166" s="11"/>
    </row>
    <row r="1167" s="55" customFormat="true" ht="90.75" hidden="false" customHeight="true" outlineLevel="0" collapsed="false">
      <c r="A1167" s="1385" t="s">
        <v>1742</v>
      </c>
      <c r="B1167" s="1385"/>
      <c r="C1167" s="1385"/>
      <c r="D1167" s="1385"/>
      <c r="E1167" s="1385"/>
      <c r="F1167" s="1366"/>
      <c r="G1167" s="1367"/>
      <c r="H1167" s="1368"/>
      <c r="I1167" s="1369"/>
      <c r="J1167" s="12"/>
      <c r="L1167" s="11"/>
      <c r="M1167" s="11"/>
      <c r="O1167" s="11"/>
      <c r="P1167" s="11"/>
      <c r="Q1167" s="11"/>
      <c r="R1167" s="11"/>
    </row>
    <row r="1168" s="55" customFormat="true" ht="15" hidden="false" customHeight="true" outlineLevel="0" collapsed="false">
      <c r="A1168" s="456"/>
      <c r="B1168" s="456"/>
      <c r="C1168" s="456"/>
      <c r="D1168" s="456"/>
      <c r="E1168" s="456"/>
      <c r="F1168" s="1386"/>
      <c r="G1168" s="1387"/>
      <c r="H1168" s="1388"/>
      <c r="I1168" s="1389"/>
      <c r="J1168" s="12"/>
      <c r="L1168" s="11"/>
      <c r="M1168" s="11"/>
      <c r="O1168" s="11"/>
      <c r="P1168" s="11"/>
      <c r="Q1168" s="11"/>
      <c r="R1168" s="11"/>
    </row>
    <row r="1169" s="55" customFormat="true" ht="15" hidden="false" customHeight="true" outlineLevel="0" collapsed="false">
      <c r="A1169" s="1390" t="s">
        <v>839</v>
      </c>
      <c r="B1169" s="1390"/>
      <c r="C1169" s="1390"/>
      <c r="D1169" s="1390"/>
      <c r="E1169" s="1390"/>
      <c r="F1169" s="1339" t="n">
        <v>74959</v>
      </c>
      <c r="G1169" s="1340" t="n">
        <v>71086</v>
      </c>
      <c r="H1169" s="1341"/>
      <c r="I1169" s="1342" t="n">
        <f aca="false">AVERAGE(F1169,G1169,H1169)</f>
        <v>73022.5</v>
      </c>
      <c r="J1169" s="12"/>
      <c r="L1169" s="11"/>
      <c r="M1169" s="11"/>
      <c r="O1169" s="11"/>
      <c r="P1169" s="11"/>
      <c r="Q1169" s="11"/>
      <c r="R1169" s="11"/>
    </row>
    <row r="1170" s="55" customFormat="true" ht="15" hidden="false" customHeight="true" outlineLevel="0" collapsed="false">
      <c r="A1170" s="1365" t="s">
        <v>841</v>
      </c>
      <c r="B1170" s="1365"/>
      <c r="C1170" s="1365"/>
      <c r="D1170" s="1365"/>
      <c r="E1170" s="1365"/>
      <c r="F1170" s="1366"/>
      <c r="G1170" s="1367"/>
      <c r="H1170" s="1368"/>
      <c r="I1170" s="1369"/>
      <c r="J1170" s="12"/>
      <c r="L1170" s="11"/>
      <c r="M1170" s="11"/>
      <c r="O1170" s="11"/>
      <c r="P1170" s="11"/>
      <c r="Q1170" s="11"/>
      <c r="R1170" s="11"/>
    </row>
    <row r="1171" s="55" customFormat="true" ht="15" hidden="false" customHeight="true" outlineLevel="0" collapsed="false">
      <c r="A1171" s="364"/>
      <c r="B1171" s="364"/>
      <c r="C1171" s="364"/>
      <c r="D1171" s="19"/>
      <c r="E1171" s="19"/>
      <c r="F1171" s="19"/>
      <c r="G1171" s="19"/>
      <c r="H1171" s="1332"/>
      <c r="I1171" s="11"/>
      <c r="J1171" s="12"/>
      <c r="L1171" s="11"/>
      <c r="M1171" s="11"/>
      <c r="O1171" s="11"/>
      <c r="P1171" s="11"/>
      <c r="Q1171" s="11"/>
      <c r="R1171" s="11"/>
    </row>
    <row r="1172" s="55" customFormat="true" ht="15" hidden="false" customHeight="true" outlineLevel="0" collapsed="false">
      <c r="A1172" s="364"/>
      <c r="B1172" s="364"/>
      <c r="C1172" s="364"/>
      <c r="D1172" s="19"/>
      <c r="E1172" s="19"/>
      <c r="F1172" s="19"/>
      <c r="G1172" s="19"/>
      <c r="H1172" s="1332"/>
      <c r="I1172" s="11"/>
      <c r="J1172" s="12"/>
      <c r="L1172" s="11"/>
      <c r="M1172" s="11"/>
      <c r="O1172" s="11"/>
      <c r="P1172" s="11"/>
      <c r="Q1172" s="11"/>
      <c r="R1172" s="11"/>
    </row>
    <row r="1173" s="55" customFormat="true" ht="15" hidden="false" customHeight="true" outlineLevel="0" collapsed="false">
      <c r="A1173" s="1005" t="s">
        <v>1743</v>
      </c>
      <c r="B1173" s="1005"/>
      <c r="C1173" s="1005"/>
      <c r="D1173" s="1005"/>
      <c r="E1173" s="1005"/>
      <c r="F1173" s="1005"/>
      <c r="G1173" s="1005"/>
      <c r="H1173" s="1332"/>
      <c r="I1173" s="11"/>
      <c r="J1173" s="12"/>
      <c r="L1173" s="11" t="s">
        <v>1737</v>
      </c>
      <c r="M1173" s="11"/>
      <c r="O1173" s="11"/>
      <c r="P1173" s="11"/>
      <c r="Q1173" s="11"/>
      <c r="R1173" s="11"/>
    </row>
    <row r="1174" s="55" customFormat="true" ht="15" hidden="false" customHeight="true" outlineLevel="0" collapsed="false">
      <c r="A1174" s="1005"/>
      <c r="B1174" s="1005"/>
      <c r="C1174" s="1005"/>
      <c r="D1174" s="1005"/>
      <c r="E1174" s="1005"/>
      <c r="F1174" s="1005"/>
      <c r="G1174" s="1005"/>
      <c r="H1174" s="1332"/>
      <c r="I1174" s="11"/>
      <c r="J1174" s="12"/>
      <c r="L1174" s="11"/>
      <c r="M1174" s="11"/>
      <c r="O1174" s="11"/>
      <c r="P1174" s="11"/>
      <c r="Q1174" s="11"/>
      <c r="R1174" s="11"/>
    </row>
    <row r="1175" s="55" customFormat="true" ht="15" hidden="false" customHeight="true" outlineLevel="0" collapsed="false">
      <c r="A1175" s="1333" t="s">
        <v>818</v>
      </c>
      <c r="B1175" s="1333"/>
      <c r="C1175" s="1333"/>
      <c r="D1175" s="1333"/>
      <c r="E1175" s="1333"/>
      <c r="F1175" s="1334" t="s">
        <v>1738</v>
      </c>
      <c r="G1175" s="1334"/>
      <c r="H1175" s="1334"/>
      <c r="I1175" s="873" t="s">
        <v>1402</v>
      </c>
      <c r="J1175" s="12"/>
      <c r="L1175" s="11"/>
      <c r="M1175" s="11"/>
      <c r="O1175" s="11"/>
      <c r="P1175" s="11"/>
      <c r="Q1175" s="11"/>
      <c r="R1175" s="11"/>
    </row>
    <row r="1176" s="55" customFormat="true" ht="15.75" hidden="false" customHeight="true" outlineLevel="0" collapsed="false">
      <c r="A1176" s="1333"/>
      <c r="B1176" s="1333"/>
      <c r="C1176" s="1333"/>
      <c r="D1176" s="1333"/>
      <c r="E1176" s="1333"/>
      <c r="F1176" s="1335" t="s">
        <v>406</v>
      </c>
      <c r="G1176" s="1336" t="s">
        <v>820</v>
      </c>
      <c r="H1176" s="1337" t="s">
        <v>821</v>
      </c>
      <c r="I1176" s="873"/>
      <c r="J1176" s="12"/>
      <c r="L1176" s="11"/>
      <c r="M1176" s="11"/>
      <c r="O1176" s="11"/>
      <c r="P1176" s="11"/>
      <c r="Q1176" s="11"/>
      <c r="R1176" s="11"/>
    </row>
    <row r="1177" s="55" customFormat="true" ht="15" hidden="false" customHeight="true" outlineLevel="0" collapsed="false">
      <c r="A1177" s="1391" t="s">
        <v>843</v>
      </c>
      <c r="B1177" s="1391"/>
      <c r="C1177" s="1391"/>
      <c r="D1177" s="1391"/>
      <c r="E1177" s="1391"/>
      <c r="F1177" s="1392" t="n">
        <v>368893</v>
      </c>
      <c r="G1177" s="1393" t="n">
        <v>328513</v>
      </c>
      <c r="H1177" s="1394"/>
      <c r="I1177" s="1395" t="n">
        <f aca="false">AVERAGE(F1177,G1177,H1177)</f>
        <v>348703</v>
      </c>
      <c r="J1177" s="12"/>
      <c r="L1177" s="11"/>
      <c r="M1177" s="11"/>
      <c r="O1177" s="11"/>
      <c r="P1177" s="11"/>
      <c r="Q1177" s="11"/>
      <c r="R1177" s="11"/>
    </row>
    <row r="1178" s="55" customFormat="true" ht="47.25" hidden="false" customHeight="true" outlineLevel="0" collapsed="false">
      <c r="A1178" s="1396" t="s">
        <v>845</v>
      </c>
      <c r="B1178" s="1396"/>
      <c r="C1178" s="1396"/>
      <c r="D1178" s="1396"/>
      <c r="E1178" s="1396"/>
      <c r="F1178" s="1397"/>
      <c r="G1178" s="1398"/>
      <c r="H1178" s="1399"/>
      <c r="I1178" s="1400"/>
      <c r="J1178" s="12"/>
      <c r="L1178" s="11"/>
      <c r="M1178" s="11"/>
      <c r="O1178" s="11"/>
      <c r="P1178" s="11"/>
      <c r="Q1178" s="11"/>
      <c r="R1178" s="11"/>
    </row>
    <row r="1179" s="55" customFormat="true" ht="15" hidden="false" customHeight="true" outlineLevel="0" collapsed="false">
      <c r="A1179" s="1401" t="s">
        <v>846</v>
      </c>
      <c r="B1179" s="1401"/>
      <c r="C1179" s="1401"/>
      <c r="D1179" s="1401"/>
      <c r="E1179" s="1401"/>
      <c r="F1179" s="1339" t="n">
        <v>28485</v>
      </c>
      <c r="G1179" s="1340" t="n">
        <v>25000</v>
      </c>
      <c r="H1179" s="1341"/>
      <c r="I1179" s="1342" t="n">
        <f aca="false">AVERAGE(F1179,G1179,H1179)</f>
        <v>26742.5</v>
      </c>
      <c r="J1179" s="12"/>
      <c r="L1179" s="11"/>
      <c r="M1179" s="11"/>
      <c r="O1179" s="11"/>
      <c r="P1179" s="11"/>
      <c r="Q1179" s="11"/>
      <c r="R1179" s="11"/>
    </row>
    <row r="1180" s="55" customFormat="true" ht="15" hidden="false" customHeight="true" outlineLevel="0" collapsed="false">
      <c r="A1180" s="1402" t="s">
        <v>847</v>
      </c>
      <c r="B1180" s="1402"/>
      <c r="C1180" s="1402"/>
      <c r="D1180" s="1402"/>
      <c r="E1180" s="1402"/>
      <c r="F1180" s="1349" t="n">
        <v>351</v>
      </c>
      <c r="G1180" s="1350" t="n">
        <v>400</v>
      </c>
      <c r="H1180" s="1351"/>
      <c r="I1180" s="1352" t="n">
        <f aca="false">AVERAGE(F1180,G1180,H1180)</f>
        <v>375.5</v>
      </c>
      <c r="J1180" s="12"/>
      <c r="L1180" s="11"/>
      <c r="M1180" s="11"/>
      <c r="O1180" s="11"/>
      <c r="P1180" s="11"/>
      <c r="Q1180" s="11"/>
      <c r="R1180" s="11"/>
    </row>
    <row r="1181" s="55" customFormat="true" ht="15" hidden="false" customHeight="true" outlineLevel="0" collapsed="false">
      <c r="A1181" s="1402" t="s">
        <v>848</v>
      </c>
      <c r="B1181" s="1402"/>
      <c r="C1181" s="1402"/>
      <c r="D1181" s="1402"/>
      <c r="E1181" s="1402"/>
      <c r="F1181" s="1349" t="n">
        <v>0</v>
      </c>
      <c r="G1181" s="1350" t="n">
        <v>0</v>
      </c>
      <c r="H1181" s="1351"/>
      <c r="I1181" s="1352" t="n">
        <f aca="false">AVERAGE(F1181,G1181,H1181)</f>
        <v>0</v>
      </c>
      <c r="J1181" s="12"/>
      <c r="L1181" s="11"/>
      <c r="M1181" s="11"/>
      <c r="O1181" s="11"/>
      <c r="P1181" s="11"/>
      <c r="Q1181" s="11"/>
      <c r="R1181" s="11"/>
    </row>
    <row r="1182" s="55" customFormat="true" ht="15" hidden="false" customHeight="true" outlineLevel="0" collapsed="false">
      <c r="A1182" s="1365" t="s">
        <v>849</v>
      </c>
      <c r="B1182" s="1365"/>
      <c r="C1182" s="1365"/>
      <c r="D1182" s="1365"/>
      <c r="E1182" s="1365"/>
      <c r="F1182" s="1366"/>
      <c r="G1182" s="1367"/>
      <c r="H1182" s="1368"/>
      <c r="I1182" s="1369"/>
      <c r="J1182" s="12"/>
      <c r="L1182" s="11"/>
      <c r="M1182" s="11"/>
      <c r="O1182" s="11"/>
      <c r="P1182" s="11"/>
      <c r="Q1182" s="11"/>
      <c r="R1182" s="11"/>
    </row>
    <row r="1183" s="55" customFormat="true" ht="15" hidden="false" customHeight="true" outlineLevel="0" collapsed="false">
      <c r="A1183" s="1403" t="s">
        <v>1744</v>
      </c>
      <c r="B1183" s="1403"/>
      <c r="C1183" s="1403"/>
      <c r="D1183" s="1403"/>
      <c r="E1183" s="1403"/>
      <c r="F1183" s="1404" t="n">
        <f aca="false">F1177+F1179+F1180-F1181</f>
        <v>397729</v>
      </c>
      <c r="G1183" s="1404" t="n">
        <f aca="false">G1177+G1179+G1180-G1181</f>
        <v>353913</v>
      </c>
      <c r="H1183" s="1404" t="n">
        <f aca="false">H1177+H1179+H1180-H1181</f>
        <v>0</v>
      </c>
      <c r="I1183" s="1405" t="n">
        <f aca="false">I1177+I1179+I1180-I1181</f>
        <v>375821</v>
      </c>
      <c r="J1183" s="12"/>
      <c r="L1183" s="11"/>
      <c r="M1183" s="11"/>
      <c r="O1183" s="11"/>
      <c r="P1183" s="11"/>
      <c r="Q1183" s="11"/>
      <c r="R1183" s="11"/>
    </row>
    <row r="1184" s="55" customFormat="true" ht="15" hidden="false" customHeight="true" outlineLevel="0" collapsed="false">
      <c r="A1184" s="456"/>
      <c r="B1184" s="456"/>
      <c r="C1184" s="456"/>
      <c r="D1184" s="456"/>
      <c r="E1184" s="456"/>
      <c r="F1184" s="1386"/>
      <c r="G1184" s="1387"/>
      <c r="H1184" s="1406"/>
      <c r="I1184" s="1389"/>
      <c r="J1184" s="12"/>
      <c r="L1184" s="11"/>
      <c r="M1184" s="11"/>
      <c r="O1184" s="11"/>
      <c r="P1184" s="11"/>
      <c r="Q1184" s="11"/>
      <c r="R1184" s="11"/>
    </row>
    <row r="1185" s="55" customFormat="true" ht="15" hidden="false" customHeight="true" outlineLevel="0" collapsed="false">
      <c r="A1185" s="1401" t="s">
        <v>850</v>
      </c>
      <c r="B1185" s="1401"/>
      <c r="C1185" s="1401"/>
      <c r="D1185" s="1401"/>
      <c r="E1185" s="1401"/>
      <c r="F1185" s="1339" t="n">
        <v>23077</v>
      </c>
      <c r="G1185" s="1340" t="n">
        <v>22004</v>
      </c>
      <c r="H1185" s="1341"/>
      <c r="I1185" s="1342" t="n">
        <f aca="false">AVERAGE(F1185,G1185,H1185)</f>
        <v>22540.5</v>
      </c>
      <c r="J1185" s="12"/>
      <c r="L1185" s="11"/>
      <c r="M1185" s="11"/>
      <c r="O1185" s="11"/>
      <c r="P1185" s="11"/>
      <c r="Q1185" s="11"/>
      <c r="R1185" s="11"/>
    </row>
    <row r="1186" s="55" customFormat="true" ht="19.5" hidden="false" customHeight="true" outlineLevel="0" collapsed="false">
      <c r="A1186" s="1365" t="s">
        <v>852</v>
      </c>
      <c r="B1186" s="1365"/>
      <c r="C1186" s="1365"/>
      <c r="D1186" s="1365"/>
      <c r="E1186" s="1365"/>
      <c r="F1186" s="1366"/>
      <c r="G1186" s="1367"/>
      <c r="H1186" s="1368"/>
      <c r="I1186" s="1369"/>
      <c r="J1186" s="12"/>
      <c r="L1186" s="11"/>
      <c r="M1186" s="11"/>
      <c r="O1186" s="11"/>
      <c r="P1186" s="11"/>
      <c r="Q1186" s="11"/>
      <c r="R1186" s="11"/>
    </row>
    <row r="1187" s="55" customFormat="true" ht="15" hidden="false" customHeight="true" outlineLevel="0" collapsed="false">
      <c r="A1187" s="1407" t="s">
        <v>853</v>
      </c>
      <c r="B1187" s="1407"/>
      <c r="C1187" s="1407"/>
      <c r="D1187" s="1407"/>
      <c r="E1187" s="1407"/>
      <c r="F1187" s="1392" t="n">
        <v>110849</v>
      </c>
      <c r="G1187" s="1393" t="n">
        <v>112558</v>
      </c>
      <c r="H1187" s="1394"/>
      <c r="I1187" s="1395" t="n">
        <f aca="false">AVERAGE(F1187,G1187,H1187)</f>
        <v>111703.5</v>
      </c>
      <c r="J1187" s="12"/>
      <c r="L1187" s="11"/>
      <c r="M1187" s="11"/>
      <c r="O1187" s="11"/>
      <c r="P1187" s="11"/>
      <c r="Q1187" s="11"/>
      <c r="R1187" s="11"/>
    </row>
    <row r="1188" s="55" customFormat="true" ht="78.75" hidden="false" customHeight="true" outlineLevel="0" collapsed="false">
      <c r="A1188" s="1365" t="s">
        <v>855</v>
      </c>
      <c r="B1188" s="1365"/>
      <c r="C1188" s="1365"/>
      <c r="D1188" s="1365"/>
      <c r="E1188" s="1365"/>
      <c r="F1188" s="1366"/>
      <c r="G1188" s="1367"/>
      <c r="H1188" s="1368"/>
      <c r="I1188" s="1369"/>
      <c r="J1188" s="12"/>
      <c r="L1188" s="11"/>
      <c r="M1188" s="11"/>
      <c r="O1188" s="11"/>
      <c r="P1188" s="11"/>
      <c r="Q1188" s="11"/>
      <c r="R1188" s="11"/>
    </row>
    <row r="1189" s="55" customFormat="true" ht="15" hidden="false" customHeight="true" outlineLevel="0" collapsed="false">
      <c r="A1189" s="1408" t="s">
        <v>856</v>
      </c>
      <c r="B1189" s="1408"/>
      <c r="C1189" s="1408"/>
      <c r="D1189" s="1408"/>
      <c r="E1189" s="1408"/>
      <c r="F1189" s="1409" t="n">
        <v>51594</v>
      </c>
      <c r="G1189" s="1410" t="n">
        <v>77215</v>
      </c>
      <c r="H1189" s="1411"/>
      <c r="I1189" s="1405" t="n">
        <f aca="false">AVERAGE(F1189,G1189,H1189)</f>
        <v>64404.5</v>
      </c>
      <c r="J1189" s="12"/>
      <c r="L1189" s="11"/>
      <c r="M1189" s="11"/>
      <c r="O1189" s="11"/>
      <c r="P1189" s="11"/>
      <c r="Q1189" s="11"/>
      <c r="R1189" s="11"/>
    </row>
    <row r="1190" s="55" customFormat="true" ht="15" hidden="false" customHeight="true" outlineLevel="0" collapsed="false">
      <c r="A1190" s="0"/>
      <c r="D1190" s="0"/>
      <c r="E1190" s="0"/>
      <c r="F1190" s="0"/>
      <c r="G1190" s="0"/>
      <c r="H1190" s="1332"/>
      <c r="I1190" s="11"/>
      <c r="J1190" s="12"/>
      <c r="L1190" s="11"/>
      <c r="M1190" s="11"/>
      <c r="O1190" s="11"/>
      <c r="P1190" s="11"/>
      <c r="Q1190" s="11"/>
      <c r="R1190" s="11"/>
    </row>
    <row r="1191" s="55" customFormat="true" ht="15" hidden="false" customHeight="true" outlineLevel="0" collapsed="false">
      <c r="A1191" s="1005" t="s">
        <v>1745</v>
      </c>
      <c r="B1191" s="1005"/>
      <c r="C1191" s="1005"/>
      <c r="D1191" s="1005"/>
      <c r="E1191" s="1005"/>
      <c r="F1191" s="1005"/>
      <c r="G1191" s="1005"/>
      <c r="H1191" s="1332"/>
      <c r="I1191" s="11"/>
      <c r="J1191" s="12"/>
      <c r="L1191" s="11" t="s">
        <v>1712</v>
      </c>
      <c r="M1191" s="11"/>
      <c r="O1191" s="11"/>
      <c r="P1191" s="11"/>
      <c r="Q1191" s="11"/>
      <c r="R1191" s="11"/>
    </row>
    <row r="1192" s="55" customFormat="true" ht="15" hidden="false" customHeight="true" outlineLevel="0" collapsed="false">
      <c r="A1192" s="1005"/>
      <c r="B1192" s="1005"/>
      <c r="C1192" s="1005"/>
      <c r="D1192" s="1005"/>
      <c r="E1192" s="1005"/>
      <c r="F1192" s="1005"/>
      <c r="G1192" s="1005"/>
      <c r="H1192" s="1332"/>
      <c r="I1192" s="11"/>
      <c r="J1192" s="12"/>
      <c r="L1192" s="11"/>
      <c r="M1192" s="11"/>
      <c r="O1192" s="11"/>
      <c r="P1192" s="11"/>
      <c r="Q1192" s="11"/>
      <c r="R1192" s="11"/>
    </row>
    <row r="1193" s="55" customFormat="true" ht="15" hidden="false" customHeight="true" outlineLevel="0" collapsed="false">
      <c r="A1193" s="1412" t="s">
        <v>818</v>
      </c>
      <c r="B1193" s="1412"/>
      <c r="C1193" s="1412"/>
      <c r="D1193" s="1412"/>
      <c r="E1193" s="1412"/>
      <c r="F1193" s="1334" t="s">
        <v>1738</v>
      </c>
      <c r="G1193" s="1334"/>
      <c r="H1193" s="1334"/>
      <c r="I1193" s="1413" t="s">
        <v>1402</v>
      </c>
      <c r="J1193" s="12"/>
      <c r="L1193" s="11"/>
      <c r="M1193" s="11"/>
      <c r="O1193" s="11"/>
      <c r="P1193" s="11"/>
      <c r="Q1193" s="11"/>
      <c r="R1193" s="11"/>
    </row>
    <row r="1194" s="55" customFormat="true" ht="15" hidden="false" customHeight="true" outlineLevel="0" collapsed="false">
      <c r="A1194" s="1412"/>
      <c r="B1194" s="1412"/>
      <c r="C1194" s="1412"/>
      <c r="D1194" s="1412"/>
      <c r="E1194" s="1412"/>
      <c r="F1194" s="1414" t="s">
        <v>406</v>
      </c>
      <c r="G1194" s="1415" t="s">
        <v>820</v>
      </c>
      <c r="H1194" s="1416" t="s">
        <v>821</v>
      </c>
      <c r="I1194" s="1413"/>
      <c r="J1194" s="12"/>
      <c r="L1194" s="11"/>
      <c r="M1194" s="11"/>
      <c r="O1194" s="11"/>
      <c r="P1194" s="11"/>
      <c r="Q1194" s="11"/>
      <c r="R1194" s="11"/>
    </row>
    <row r="1195" s="55" customFormat="true" ht="15" hidden="false" customHeight="true" outlineLevel="0" collapsed="false">
      <c r="A1195" s="1417" t="s">
        <v>1746</v>
      </c>
      <c r="B1195" s="1417"/>
      <c r="C1195" s="1417"/>
      <c r="D1195" s="1417"/>
      <c r="E1195" s="1417"/>
      <c r="F1195" s="1339" t="n">
        <v>86863</v>
      </c>
      <c r="G1195" s="1340" t="n">
        <v>93109</v>
      </c>
      <c r="H1195" s="1341"/>
      <c r="I1195" s="1342" t="n">
        <f aca="false">AVERAGE(F1195,G1195,H1195)</f>
        <v>89986</v>
      </c>
      <c r="J1195" s="12"/>
      <c r="L1195" s="11"/>
      <c r="M1195" s="11"/>
      <c r="O1195" s="11"/>
      <c r="P1195" s="11"/>
      <c r="Q1195" s="11"/>
      <c r="R1195" s="11"/>
    </row>
    <row r="1196" s="55" customFormat="true" ht="135" hidden="false" customHeight="true" outlineLevel="0" collapsed="false">
      <c r="A1196" s="1365" t="s">
        <v>1747</v>
      </c>
      <c r="B1196" s="1365"/>
      <c r="C1196" s="1365"/>
      <c r="D1196" s="1365"/>
      <c r="E1196" s="1365"/>
      <c r="F1196" s="1366"/>
      <c r="G1196" s="1367"/>
      <c r="H1196" s="1368"/>
      <c r="I1196" s="1369"/>
      <c r="J1196" s="12"/>
      <c r="L1196" s="11"/>
      <c r="M1196" s="11"/>
      <c r="O1196" s="11"/>
      <c r="P1196" s="11"/>
      <c r="Q1196" s="11"/>
      <c r="R1196" s="11"/>
    </row>
    <row r="1197" s="55" customFormat="true" ht="15" hidden="false" customHeight="true" outlineLevel="0" collapsed="false">
      <c r="A1197" s="1417" t="s">
        <v>1748</v>
      </c>
      <c r="B1197" s="1417"/>
      <c r="C1197" s="1417"/>
      <c r="D1197" s="1417"/>
      <c r="E1197" s="1417"/>
      <c r="F1197" s="1339" t="n">
        <v>73371</v>
      </c>
      <c r="G1197" s="1340" t="n">
        <v>71086</v>
      </c>
      <c r="H1197" s="1341"/>
      <c r="I1197" s="1342" t="n">
        <f aca="false">AVERAGE(F1197,G1197,H1197)</f>
        <v>72228.5</v>
      </c>
      <c r="J1197" s="12"/>
      <c r="L1197" s="11"/>
      <c r="M1197" s="11"/>
      <c r="O1197" s="11"/>
      <c r="P1197" s="11"/>
      <c r="Q1197" s="11"/>
      <c r="R1197" s="11"/>
    </row>
    <row r="1198" s="55" customFormat="true" ht="47.25" hidden="false" customHeight="true" outlineLevel="0" collapsed="false">
      <c r="A1198" s="1365" t="s">
        <v>1749</v>
      </c>
      <c r="B1198" s="1365"/>
      <c r="C1198" s="1365"/>
      <c r="D1198" s="1365"/>
      <c r="E1198" s="1365"/>
      <c r="F1198" s="1366"/>
      <c r="G1198" s="1367"/>
      <c r="H1198" s="1368"/>
      <c r="I1198" s="1369"/>
      <c r="J1198" s="12"/>
      <c r="L1198" s="11"/>
      <c r="M1198" s="11"/>
      <c r="O1198" s="11"/>
      <c r="P1198" s="11"/>
      <c r="Q1198" s="11"/>
      <c r="R1198" s="11"/>
    </row>
    <row r="1199" s="55" customFormat="true" ht="15" hidden="false" customHeight="true" outlineLevel="0" collapsed="false">
      <c r="A1199" s="1418" t="s">
        <v>864</v>
      </c>
      <c r="B1199" s="1418"/>
      <c r="C1199" s="1418"/>
      <c r="D1199" s="1418"/>
      <c r="E1199" s="1418"/>
      <c r="F1199" s="1392" t="n">
        <v>1618</v>
      </c>
      <c r="G1199" s="1393" t="n">
        <v>1599</v>
      </c>
      <c r="H1199" s="1394"/>
      <c r="I1199" s="1395" t="n">
        <f aca="false">AVERAGE(F1199,G1199,H1199)</f>
        <v>1608.5</v>
      </c>
      <c r="J1199" s="12"/>
      <c r="L1199" s="11"/>
      <c r="M1199" s="11"/>
      <c r="O1199" s="11"/>
      <c r="P1199" s="11"/>
      <c r="Q1199" s="11"/>
      <c r="R1199" s="11"/>
    </row>
    <row r="1200" s="55" customFormat="true" ht="15" hidden="false" customHeight="true" outlineLevel="0" collapsed="false">
      <c r="A1200" s="1365" t="s">
        <v>1750</v>
      </c>
      <c r="B1200" s="1365"/>
      <c r="C1200" s="1365"/>
      <c r="D1200" s="1365"/>
      <c r="E1200" s="1365"/>
      <c r="F1200" s="1366"/>
      <c r="G1200" s="1367"/>
      <c r="H1200" s="1368"/>
      <c r="I1200" s="1369"/>
      <c r="J1200" s="12"/>
      <c r="L1200" s="11"/>
      <c r="M1200" s="11"/>
      <c r="O1200" s="11"/>
      <c r="P1200" s="11"/>
      <c r="Q1200" s="11"/>
      <c r="R1200" s="11"/>
    </row>
    <row r="1201" s="55" customFormat="true" ht="15" hidden="false" customHeight="true" outlineLevel="0" collapsed="false">
      <c r="A1201" s="0"/>
      <c r="D1201" s="0"/>
      <c r="E1201" s="0"/>
      <c r="F1201" s="0"/>
      <c r="G1201" s="0"/>
      <c r="H1201" s="1332"/>
      <c r="I1201" s="11"/>
      <c r="J1201" s="12"/>
      <c r="L1201" s="11"/>
      <c r="M1201" s="11"/>
      <c r="O1201" s="11"/>
      <c r="P1201" s="11"/>
      <c r="Q1201" s="11"/>
      <c r="R1201" s="11"/>
    </row>
    <row r="1202" s="55" customFormat="true" ht="15" hidden="false" customHeight="true" outlineLevel="0" collapsed="false">
      <c r="A1202" s="0"/>
      <c r="D1202" s="0"/>
      <c r="E1202" s="0"/>
      <c r="F1202" s="0"/>
      <c r="G1202" s="0"/>
      <c r="H1202" s="1332"/>
      <c r="I1202" s="11"/>
      <c r="J1202" s="12"/>
      <c r="L1202" s="11"/>
      <c r="M1202" s="11"/>
      <c r="O1202" s="11"/>
      <c r="P1202" s="11"/>
      <c r="Q1202" s="11"/>
      <c r="R1202" s="11"/>
    </row>
    <row r="1203" s="55" customFormat="true" ht="15" hidden="false" customHeight="true" outlineLevel="0" collapsed="false">
      <c r="A1203" s="1005" t="s">
        <v>1751</v>
      </c>
      <c r="B1203" s="1005"/>
      <c r="C1203" s="1005"/>
      <c r="D1203" s="1005"/>
      <c r="E1203" s="1005"/>
      <c r="F1203" s="1005"/>
      <c r="G1203" s="1005"/>
      <c r="H1203" s="1332"/>
      <c r="I1203" s="11"/>
      <c r="J1203" s="12"/>
      <c r="L1203" s="11" t="s">
        <v>1712</v>
      </c>
      <c r="M1203" s="11"/>
      <c r="O1203" s="11"/>
      <c r="P1203" s="11"/>
      <c r="Q1203" s="11"/>
      <c r="R1203" s="11"/>
    </row>
    <row r="1204" s="55" customFormat="true" ht="15" hidden="false" customHeight="true" outlineLevel="0" collapsed="false">
      <c r="A1204" s="1005"/>
      <c r="B1204" s="1005"/>
      <c r="C1204" s="1005"/>
      <c r="D1204" s="1005"/>
      <c r="E1204" s="1005"/>
      <c r="F1204" s="1005"/>
      <c r="G1204" s="1005"/>
      <c r="H1204" s="1332"/>
      <c r="I1204" s="11"/>
      <c r="J1204" s="12"/>
      <c r="L1204" s="11"/>
      <c r="M1204" s="11"/>
      <c r="O1204" s="11"/>
      <c r="P1204" s="11"/>
      <c r="Q1204" s="11"/>
      <c r="R1204" s="11"/>
    </row>
    <row r="1205" s="55" customFormat="true" ht="15" hidden="false" customHeight="true" outlineLevel="0" collapsed="false">
      <c r="A1205" s="1412" t="s">
        <v>818</v>
      </c>
      <c r="B1205" s="1412"/>
      <c r="C1205" s="1412"/>
      <c r="D1205" s="1412"/>
      <c r="E1205" s="1412"/>
      <c r="F1205" s="1334" t="s">
        <v>1738</v>
      </c>
      <c r="G1205" s="1334"/>
      <c r="H1205" s="1334"/>
      <c r="I1205" s="1413" t="s">
        <v>1402</v>
      </c>
      <c r="J1205" s="12"/>
      <c r="L1205" s="11"/>
      <c r="M1205" s="11"/>
      <c r="O1205" s="11"/>
      <c r="P1205" s="11"/>
      <c r="Q1205" s="11"/>
      <c r="R1205" s="11"/>
    </row>
    <row r="1206" s="55" customFormat="true" ht="15.75" hidden="false" customHeight="true" outlineLevel="0" collapsed="false">
      <c r="A1206" s="1412"/>
      <c r="B1206" s="1412"/>
      <c r="C1206" s="1412"/>
      <c r="D1206" s="1412"/>
      <c r="E1206" s="1412"/>
      <c r="F1206" s="1414" t="s">
        <v>406</v>
      </c>
      <c r="G1206" s="1415" t="s">
        <v>820</v>
      </c>
      <c r="H1206" s="1416" t="s">
        <v>821</v>
      </c>
      <c r="I1206" s="1413"/>
      <c r="J1206" s="12"/>
      <c r="L1206" s="11"/>
      <c r="M1206" s="11"/>
      <c r="O1206" s="11"/>
      <c r="P1206" s="11"/>
      <c r="Q1206" s="11"/>
      <c r="R1206" s="11"/>
    </row>
    <row r="1207" s="55" customFormat="true" ht="15" hidden="false" customHeight="true" outlineLevel="0" collapsed="false">
      <c r="A1207" s="1419" t="s">
        <v>1752</v>
      </c>
      <c r="B1207" s="1419"/>
      <c r="C1207" s="1419"/>
      <c r="D1207" s="1419"/>
      <c r="E1207" s="1419"/>
      <c r="F1207" s="1409" t="n">
        <v>663116</v>
      </c>
      <c r="G1207" s="1410" t="n">
        <v>632142</v>
      </c>
      <c r="H1207" s="1411"/>
      <c r="I1207" s="1405" t="n">
        <f aca="false">AVERAGE(F1207,G1207,H1207)</f>
        <v>647629</v>
      </c>
      <c r="J1207" s="12"/>
      <c r="L1207" s="11"/>
      <c r="M1207" s="11"/>
      <c r="O1207" s="11"/>
      <c r="P1207" s="11"/>
      <c r="Q1207" s="11"/>
      <c r="R1207" s="11"/>
    </row>
    <row r="1208" s="55" customFormat="true" ht="15" hidden="false" customHeight="true" outlineLevel="0" collapsed="false">
      <c r="A1208" s="1365" t="s">
        <v>1753</v>
      </c>
      <c r="B1208" s="1365"/>
      <c r="C1208" s="1365"/>
      <c r="D1208" s="1365"/>
      <c r="E1208" s="1365"/>
      <c r="F1208" s="1366"/>
      <c r="G1208" s="1367"/>
      <c r="H1208" s="1368"/>
      <c r="I1208" s="1369"/>
      <c r="J1208" s="12"/>
      <c r="L1208" s="11"/>
      <c r="M1208" s="11"/>
      <c r="O1208" s="11"/>
      <c r="P1208" s="11"/>
      <c r="Q1208" s="11"/>
      <c r="R1208" s="11"/>
    </row>
    <row r="1209" s="55" customFormat="true" ht="15" hidden="false" customHeight="true" outlineLevel="0" collapsed="false">
      <c r="A1209" s="1420"/>
      <c r="B1209" s="1421"/>
      <c r="C1209" s="1421"/>
      <c r="D1209" s="1421"/>
      <c r="E1209" s="1421"/>
      <c r="F1209" s="1422"/>
      <c r="G1209" s="1423"/>
      <c r="H1209" s="1424"/>
      <c r="I1209" s="1389"/>
      <c r="J1209" s="12"/>
      <c r="L1209" s="11"/>
      <c r="M1209" s="11"/>
      <c r="O1209" s="11"/>
      <c r="P1209" s="11"/>
      <c r="Q1209" s="11"/>
      <c r="R1209" s="11"/>
    </row>
    <row r="1210" s="55" customFormat="true" ht="15.75" hidden="false" customHeight="true" outlineLevel="0" collapsed="false">
      <c r="A1210" s="1401" t="s">
        <v>870</v>
      </c>
      <c r="B1210" s="1401"/>
      <c r="C1210" s="1401"/>
      <c r="D1210" s="1401"/>
      <c r="E1210" s="1401"/>
      <c r="F1210" s="1339" t="n">
        <v>541560</v>
      </c>
      <c r="G1210" s="1340" t="n">
        <v>514095</v>
      </c>
      <c r="H1210" s="1341"/>
      <c r="I1210" s="1342" t="n">
        <f aca="false">AVERAGE(F1210,G1210,H1210)</f>
        <v>527827.5</v>
      </c>
      <c r="J1210" s="12"/>
      <c r="L1210" s="11"/>
      <c r="M1210" s="11"/>
      <c r="O1210" s="11"/>
      <c r="P1210" s="11"/>
      <c r="Q1210" s="11"/>
      <c r="R1210" s="11"/>
    </row>
    <row r="1211" s="55" customFormat="true" ht="16.5" hidden="false" customHeight="true" outlineLevel="0" collapsed="false">
      <c r="A1211" s="1425" t="s">
        <v>871</v>
      </c>
      <c r="B1211" s="1425"/>
      <c r="C1211" s="1425"/>
      <c r="D1211" s="1425"/>
      <c r="E1211" s="1425"/>
      <c r="F1211" s="1426" t="n">
        <v>0</v>
      </c>
      <c r="G1211" s="1427" t="n">
        <v>0</v>
      </c>
      <c r="H1211" s="1428"/>
      <c r="I1211" s="1429" t="n">
        <f aca="false">AVERAGE(F1211,G1211,H1211)</f>
        <v>0</v>
      </c>
      <c r="J1211" s="12"/>
      <c r="L1211" s="11"/>
      <c r="M1211" s="11"/>
      <c r="O1211" s="11"/>
      <c r="P1211" s="11"/>
      <c r="Q1211" s="11"/>
      <c r="R1211" s="11"/>
    </row>
    <row r="1212" s="55" customFormat="true" ht="15.75" hidden="false" customHeight="true" outlineLevel="0" collapsed="false">
      <c r="A1212" s="1391" t="s">
        <v>1754</v>
      </c>
      <c r="B1212" s="1391"/>
      <c r="C1212" s="1391"/>
      <c r="D1212" s="1391"/>
      <c r="E1212" s="1391"/>
      <c r="F1212" s="1430" t="n">
        <f aca="false">F1195+F1210+F1211</f>
        <v>628423</v>
      </c>
      <c r="G1212" s="1430" t="n">
        <f aca="false">G1195+G1210+G1211</f>
        <v>607204</v>
      </c>
      <c r="H1212" s="1431" t="n">
        <f aca="false">H1195+H1210+H1211</f>
        <v>0</v>
      </c>
      <c r="I1212" s="1342" t="n">
        <f aca="false">I1195+I1210+I1211</f>
        <v>617813.5</v>
      </c>
      <c r="J1212" s="12"/>
      <c r="L1212" s="11"/>
      <c r="M1212" s="11"/>
      <c r="O1212" s="11"/>
      <c r="P1212" s="11"/>
      <c r="Q1212" s="11"/>
      <c r="R1212" s="11"/>
    </row>
    <row r="1213" s="55" customFormat="true" ht="15.75" hidden="false" customHeight="true" outlineLevel="0" collapsed="false">
      <c r="A1213" s="1365" t="s">
        <v>1755</v>
      </c>
      <c r="B1213" s="1365"/>
      <c r="C1213" s="1365"/>
      <c r="D1213" s="1365"/>
      <c r="E1213" s="1365"/>
      <c r="F1213" s="1366"/>
      <c r="G1213" s="1367"/>
      <c r="H1213" s="1368"/>
      <c r="I1213" s="1369"/>
      <c r="J1213" s="12"/>
      <c r="L1213" s="11"/>
      <c r="M1213" s="11"/>
      <c r="O1213" s="11"/>
      <c r="P1213" s="11"/>
      <c r="Q1213" s="11"/>
      <c r="R1213" s="11"/>
    </row>
    <row r="1214" s="55" customFormat="true" ht="15" hidden="false" customHeight="true" outlineLevel="0" collapsed="false">
      <c r="A1214" s="28"/>
      <c r="B1214" s="28"/>
      <c r="C1214" s="1290"/>
      <c r="D1214" s="1290"/>
      <c r="E1214" s="19"/>
      <c r="F1214" s="19"/>
      <c r="G1214" s="19"/>
      <c r="H1214" s="1332"/>
      <c r="I1214" s="11"/>
      <c r="J1214" s="12"/>
      <c r="L1214" s="11"/>
      <c r="M1214" s="11"/>
      <c r="O1214" s="11"/>
      <c r="P1214" s="11"/>
      <c r="Q1214" s="11"/>
      <c r="R1214" s="11"/>
    </row>
    <row r="1215" customFormat="false" ht="15" hidden="false" customHeight="true" outlineLevel="0" collapsed="false">
      <c r="A1215" s="456"/>
      <c r="B1215" s="456"/>
      <c r="C1215" s="456"/>
      <c r="D1215" s="456"/>
      <c r="E1215" s="456"/>
      <c r="F1215" s="456"/>
      <c r="G1215" s="456"/>
      <c r="H1215" s="1332"/>
      <c r="K1215" s="1310"/>
      <c r="L1215" s="1432"/>
      <c r="N1215" s="0"/>
      <c r="S1215" s="0"/>
      <c r="T1215" s="0"/>
      <c r="U1215" s="0"/>
      <c r="V1215" s="0"/>
      <c r="W1215" s="0"/>
      <c r="X1215" s="0"/>
      <c r="Y1215" s="0"/>
      <c r="Z1215" s="0"/>
      <c r="AA1215" s="0"/>
      <c r="AB1215" s="0"/>
      <c r="AC1215" s="0"/>
      <c r="AD1215" s="0"/>
      <c r="AE1215" s="0"/>
      <c r="AF1215" s="0"/>
      <c r="AG1215" s="0"/>
      <c r="AH1215" s="0"/>
      <c r="AI1215" s="0"/>
      <c r="AJ1215" s="0"/>
      <c r="AK1215" s="0"/>
      <c r="AL1215" s="0"/>
      <c r="AM1215" s="0"/>
      <c r="AN1215" s="0"/>
      <c r="AO1215" s="0"/>
      <c r="AP1215" s="0"/>
      <c r="AQ1215" s="0"/>
      <c r="AR1215" s="0"/>
      <c r="AS1215" s="0"/>
      <c r="AT1215" s="0"/>
      <c r="AU1215" s="0"/>
      <c r="AV1215" s="0"/>
      <c r="AW1215" s="0"/>
      <c r="AX1215" s="0"/>
      <c r="AY1215" s="0"/>
      <c r="AZ1215" s="0"/>
      <c r="BA1215" s="0"/>
      <c r="BB1215" s="0"/>
      <c r="BC1215" s="0"/>
      <c r="BD1215" s="0"/>
      <c r="BE1215" s="0"/>
      <c r="BF1215" s="0"/>
      <c r="BG1215" s="0"/>
      <c r="BH1215" s="0"/>
      <c r="BI1215" s="0"/>
      <c r="BJ1215" s="0"/>
      <c r="BK1215" s="0"/>
      <c r="BL1215" s="0"/>
      <c r="BM1215" s="0"/>
      <c r="BN1215" s="0"/>
      <c r="BO1215" s="0"/>
      <c r="BP1215" s="0"/>
      <c r="BQ1215" s="0"/>
      <c r="BR1215" s="0"/>
      <c r="BS1215" s="0"/>
      <c r="BT1215" s="0"/>
      <c r="BU1215" s="0"/>
      <c r="BV1215" s="0"/>
      <c r="BW1215" s="0"/>
      <c r="BX1215" s="0"/>
      <c r="BY1215" s="0"/>
      <c r="BZ1215" s="0"/>
      <c r="CA1215" s="0"/>
      <c r="CB1215" s="0"/>
      <c r="CC1215" s="0"/>
      <c r="CD1215" s="0"/>
      <c r="CE1215" s="0"/>
      <c r="CF1215" s="0"/>
      <c r="CG1215" s="0"/>
      <c r="CH1215" s="0"/>
      <c r="CI1215" s="0"/>
      <c r="CJ1215" s="0"/>
      <c r="CK1215" s="0"/>
      <c r="CL1215" s="0"/>
      <c r="CM1215" s="0"/>
      <c r="CN1215" s="0"/>
      <c r="CO1215" s="0"/>
      <c r="CP1215" s="0"/>
      <c r="CQ1215" s="0"/>
      <c r="CR1215" s="0"/>
      <c r="CS1215" s="0"/>
      <c r="CT1215" s="0"/>
      <c r="CU1215" s="0"/>
      <c r="CV1215" s="0"/>
      <c r="CW1215" s="0"/>
      <c r="CX1215" s="0"/>
      <c r="CY1215" s="0"/>
      <c r="CZ1215" s="0"/>
      <c r="DA1215" s="0"/>
      <c r="DB1215" s="0"/>
      <c r="DC1215" s="0"/>
      <c r="DD1215" s="0"/>
      <c r="DE1215" s="0"/>
      <c r="DF1215" s="0"/>
      <c r="DG1215" s="0"/>
      <c r="DH1215" s="0"/>
      <c r="DI1215" s="0"/>
      <c r="DJ1215" s="0"/>
      <c r="DK1215" s="0"/>
      <c r="DL1215" s="0"/>
      <c r="DM1215" s="0"/>
      <c r="DN1215" s="0"/>
      <c r="DO1215" s="0"/>
      <c r="DP1215" s="0"/>
      <c r="DQ1215" s="0"/>
      <c r="DR1215" s="0"/>
      <c r="DS1215" s="0"/>
      <c r="DT1215" s="0"/>
      <c r="DU1215" s="0"/>
      <c r="DV1215" s="0"/>
      <c r="DW1215" s="0"/>
      <c r="DX1215" s="0"/>
      <c r="DY1215" s="0"/>
      <c r="DZ1215" s="0"/>
      <c r="EA1215" s="0"/>
      <c r="EB1215" s="0"/>
      <c r="EC1215" s="0"/>
      <c r="ED1215" s="0"/>
      <c r="EE1215" s="0"/>
      <c r="EF1215" s="0"/>
      <c r="EG1215" s="0"/>
      <c r="EH1215" s="0"/>
      <c r="EI1215" s="0"/>
      <c r="EJ1215" s="0"/>
      <c r="EK1215" s="0"/>
      <c r="EL1215" s="0"/>
      <c r="EM1215" s="0"/>
      <c r="EN1215" s="0"/>
      <c r="EO1215" s="0"/>
      <c r="EP1215" s="0"/>
      <c r="EQ1215" s="0"/>
      <c r="ER1215" s="0"/>
      <c r="ES1215" s="0"/>
      <c r="ET1215" s="0"/>
      <c r="EU1215" s="0"/>
      <c r="EV1215" s="0"/>
      <c r="EW1215" s="0"/>
      <c r="EX1215" s="0"/>
      <c r="EY1215" s="0"/>
      <c r="EZ1215" s="0"/>
      <c r="FA1215" s="0"/>
      <c r="FB1215" s="0"/>
      <c r="FC1215" s="0"/>
      <c r="FD1215" s="0"/>
      <c r="FE1215" s="0"/>
      <c r="FF1215" s="0"/>
      <c r="FG1215" s="0"/>
      <c r="FH1215" s="0"/>
      <c r="FI1215" s="0"/>
      <c r="FJ1215" s="0"/>
      <c r="FK1215" s="0"/>
      <c r="FL1215" s="0"/>
      <c r="FM1215" s="0"/>
      <c r="FN1215" s="0"/>
      <c r="FO1215" s="0"/>
      <c r="FP1215" s="0"/>
      <c r="FQ1215" s="0"/>
      <c r="FR1215" s="0"/>
      <c r="FS1215" s="0"/>
      <c r="FT1215" s="0"/>
      <c r="FU1215" s="0"/>
      <c r="FV1215" s="0"/>
      <c r="FW1215" s="0"/>
      <c r="FX1215" s="0"/>
      <c r="FY1215" s="0"/>
      <c r="FZ1215" s="0"/>
      <c r="GA1215" s="0"/>
      <c r="GB1215" s="0"/>
      <c r="GC1215" s="0"/>
      <c r="GD1215" s="0"/>
      <c r="GE1215" s="0"/>
      <c r="GF1215" s="0"/>
      <c r="GG1215" s="0"/>
      <c r="GH1215" s="0"/>
      <c r="GI1215" s="0"/>
      <c r="GJ1215" s="0"/>
      <c r="GK1215" s="0"/>
      <c r="GL1215" s="0"/>
      <c r="GM1215" s="0"/>
      <c r="GN1215" s="0"/>
      <c r="GO1215" s="0"/>
      <c r="GP1215" s="0"/>
      <c r="GQ1215" s="0"/>
      <c r="GR1215" s="0"/>
      <c r="GS1215" s="0"/>
      <c r="GT1215" s="0"/>
      <c r="GU1215" s="0"/>
      <c r="GV1215" s="0"/>
      <c r="GW1215" s="0"/>
      <c r="GX1215" s="0"/>
      <c r="GY1215" s="0"/>
      <c r="GZ1215" s="0"/>
      <c r="HA1215" s="0"/>
      <c r="HB1215" s="0"/>
      <c r="HC1215" s="0"/>
      <c r="HD1215" s="0"/>
      <c r="HE1215" s="0"/>
      <c r="HF1215" s="0"/>
      <c r="HG1215" s="0"/>
      <c r="HH1215" s="0"/>
      <c r="HI1215" s="0"/>
      <c r="HJ1215" s="0"/>
      <c r="HK1215" s="0"/>
      <c r="HL1215" s="0"/>
      <c r="HM1215" s="0"/>
      <c r="HN1215" s="0"/>
      <c r="HO1215" s="0"/>
      <c r="HP1215" s="0"/>
      <c r="HQ1215" s="0"/>
      <c r="HR1215" s="0"/>
      <c r="HS1215" s="0"/>
      <c r="HT1215" s="0"/>
      <c r="HU1215" s="0"/>
      <c r="HV1215" s="0"/>
      <c r="HW1215" s="0"/>
      <c r="HX1215" s="0"/>
      <c r="HY1215" s="0"/>
      <c r="HZ1215" s="0"/>
      <c r="IA1215" s="0"/>
      <c r="IB1215" s="0"/>
      <c r="IC1215" s="0"/>
      <c r="ID1215" s="0"/>
      <c r="IE1215" s="0"/>
      <c r="IF1215" s="0"/>
      <c r="IG1215" s="0"/>
      <c r="IH1215" s="0"/>
      <c r="II1215" s="0"/>
      <c r="IJ1215" s="0"/>
      <c r="IK1215" s="0"/>
      <c r="IL1215" s="0"/>
      <c r="IM1215" s="0"/>
      <c r="IN1215" s="0"/>
      <c r="IO1215" s="0"/>
      <c r="IP1215" s="0"/>
      <c r="IQ1215" s="0"/>
      <c r="IR1215" s="0"/>
      <c r="IS1215" s="0"/>
      <c r="IT1215" s="0"/>
      <c r="IU1215" s="0"/>
      <c r="IV1215" s="0"/>
    </row>
    <row r="1216" customFormat="false" ht="15.75" hidden="false" customHeight="true" outlineLevel="0" collapsed="false">
      <c r="A1216" s="869" t="s">
        <v>1756</v>
      </c>
      <c r="B1216" s="869"/>
      <c r="C1216" s="869"/>
      <c r="D1216" s="869"/>
      <c r="E1216" s="869"/>
      <c r="F1216" s="869"/>
      <c r="G1216" s="869"/>
      <c r="H1216" s="53"/>
      <c r="I1216" s="53"/>
      <c r="J1216" s="53"/>
      <c r="K1216" s="870"/>
      <c r="L1216" s="871" t="s">
        <v>1712</v>
      </c>
      <c r="N1216" s="0"/>
      <c r="S1216" s="0"/>
      <c r="T1216" s="0"/>
      <c r="U1216" s="0"/>
      <c r="V1216" s="0"/>
      <c r="W1216" s="0"/>
      <c r="X1216" s="0"/>
      <c r="Y1216" s="0"/>
      <c r="Z1216" s="0"/>
      <c r="AA1216" s="0"/>
      <c r="AB1216" s="0"/>
      <c r="AC1216" s="0"/>
      <c r="AD1216" s="0"/>
      <c r="AE1216" s="0"/>
      <c r="AF1216" s="0"/>
      <c r="AG1216" s="0"/>
      <c r="AH1216" s="0"/>
      <c r="AI1216" s="0"/>
      <c r="AJ1216" s="0"/>
      <c r="AK1216" s="0"/>
      <c r="AL1216" s="0"/>
      <c r="AM1216" s="0"/>
      <c r="AN1216" s="0"/>
      <c r="AO1216" s="0"/>
      <c r="AP1216" s="0"/>
      <c r="AQ1216" s="0"/>
      <c r="AR1216" s="0"/>
      <c r="AS1216" s="0"/>
      <c r="AT1216" s="0"/>
      <c r="AU1216" s="0"/>
      <c r="AV1216" s="0"/>
      <c r="AW1216" s="0"/>
      <c r="AX1216" s="0"/>
      <c r="AY1216" s="0"/>
      <c r="AZ1216" s="0"/>
      <c r="BA1216" s="0"/>
      <c r="BB1216" s="0"/>
      <c r="BC1216" s="0"/>
      <c r="BD1216" s="0"/>
      <c r="BE1216" s="0"/>
      <c r="BF1216" s="0"/>
      <c r="BG1216" s="0"/>
      <c r="BH1216" s="0"/>
      <c r="BI1216" s="0"/>
      <c r="BJ1216" s="0"/>
      <c r="BK1216" s="0"/>
      <c r="BL1216" s="0"/>
      <c r="BM1216" s="0"/>
      <c r="BN1216" s="0"/>
      <c r="BO1216" s="0"/>
      <c r="BP1216" s="0"/>
      <c r="BQ1216" s="0"/>
      <c r="BR1216" s="0"/>
      <c r="BS1216" s="0"/>
      <c r="BT1216" s="0"/>
      <c r="BU1216" s="0"/>
      <c r="BV1216" s="0"/>
      <c r="BW1216" s="0"/>
      <c r="BX1216" s="0"/>
      <c r="BY1216" s="0"/>
      <c r="BZ1216" s="0"/>
      <c r="CA1216" s="0"/>
      <c r="CB1216" s="0"/>
      <c r="CC1216" s="0"/>
      <c r="CD1216" s="0"/>
      <c r="CE1216" s="0"/>
      <c r="CF1216" s="0"/>
      <c r="CG1216" s="0"/>
      <c r="CH1216" s="0"/>
      <c r="CI1216" s="0"/>
      <c r="CJ1216" s="0"/>
      <c r="CK1216" s="0"/>
      <c r="CL1216" s="0"/>
      <c r="CM1216" s="0"/>
      <c r="CN1216" s="0"/>
      <c r="CO1216" s="0"/>
      <c r="CP1216" s="0"/>
      <c r="CQ1216" s="0"/>
      <c r="CR1216" s="0"/>
      <c r="CS1216" s="0"/>
      <c r="CT1216" s="0"/>
      <c r="CU1216" s="0"/>
      <c r="CV1216" s="0"/>
      <c r="CW1216" s="0"/>
      <c r="CX1216" s="0"/>
      <c r="CY1216" s="0"/>
      <c r="CZ1216" s="0"/>
      <c r="DA1216" s="0"/>
      <c r="DB1216" s="0"/>
      <c r="DC1216" s="0"/>
      <c r="DD1216" s="0"/>
      <c r="DE1216" s="0"/>
      <c r="DF1216" s="0"/>
      <c r="DG1216" s="0"/>
      <c r="DH1216" s="0"/>
      <c r="DI1216" s="0"/>
      <c r="DJ1216" s="0"/>
      <c r="DK1216" s="0"/>
      <c r="DL1216" s="0"/>
      <c r="DM1216" s="0"/>
      <c r="DN1216" s="0"/>
      <c r="DO1216" s="0"/>
      <c r="DP1216" s="0"/>
      <c r="DQ1216" s="0"/>
      <c r="DR1216" s="0"/>
      <c r="DS1216" s="0"/>
      <c r="DT1216" s="0"/>
      <c r="DU1216" s="0"/>
      <c r="DV1216" s="0"/>
      <c r="DW1216" s="0"/>
      <c r="DX1216" s="0"/>
      <c r="DY1216" s="0"/>
      <c r="DZ1216" s="0"/>
      <c r="EA1216" s="0"/>
      <c r="EB1216" s="0"/>
      <c r="EC1216" s="0"/>
      <c r="ED1216" s="0"/>
      <c r="EE1216" s="0"/>
      <c r="EF1216" s="0"/>
      <c r="EG1216" s="0"/>
      <c r="EH1216" s="0"/>
      <c r="EI1216" s="0"/>
      <c r="EJ1216" s="0"/>
      <c r="EK1216" s="0"/>
      <c r="EL1216" s="0"/>
      <c r="EM1216" s="0"/>
      <c r="EN1216" s="0"/>
      <c r="EO1216" s="0"/>
      <c r="EP1216" s="0"/>
      <c r="EQ1216" s="0"/>
      <c r="ER1216" s="0"/>
      <c r="ES1216" s="0"/>
      <c r="ET1216" s="0"/>
      <c r="EU1216" s="0"/>
      <c r="EV1216" s="0"/>
      <c r="EW1216" s="0"/>
      <c r="EX1216" s="0"/>
      <c r="EY1216" s="0"/>
      <c r="EZ1216" s="0"/>
      <c r="FA1216" s="0"/>
      <c r="FB1216" s="0"/>
      <c r="FC1216" s="0"/>
      <c r="FD1216" s="0"/>
      <c r="FE1216" s="0"/>
      <c r="FF1216" s="0"/>
      <c r="FG1216" s="0"/>
      <c r="FH1216" s="0"/>
      <c r="FI1216" s="0"/>
      <c r="FJ1216" s="0"/>
      <c r="FK1216" s="0"/>
      <c r="FL1216" s="0"/>
      <c r="FM1216" s="0"/>
      <c r="FN1216" s="0"/>
      <c r="FO1216" s="0"/>
      <c r="FP1216" s="0"/>
      <c r="FQ1216" s="0"/>
      <c r="FR1216" s="0"/>
      <c r="FS1216" s="0"/>
      <c r="FT1216" s="0"/>
      <c r="FU1216" s="0"/>
      <c r="FV1216" s="0"/>
      <c r="FW1216" s="0"/>
      <c r="FX1216" s="0"/>
      <c r="FY1216" s="0"/>
      <c r="FZ1216" s="0"/>
      <c r="GA1216" s="0"/>
      <c r="GB1216" s="0"/>
      <c r="GC1216" s="0"/>
      <c r="GD1216" s="0"/>
      <c r="GE1216" s="0"/>
      <c r="GF1216" s="0"/>
      <c r="GG1216" s="0"/>
      <c r="GH1216" s="0"/>
      <c r="GI1216" s="0"/>
      <c r="GJ1216" s="0"/>
      <c r="GK1216" s="0"/>
      <c r="GL1216" s="0"/>
      <c r="GM1216" s="0"/>
      <c r="GN1216" s="0"/>
      <c r="GO1216" s="0"/>
      <c r="GP1216" s="0"/>
      <c r="GQ1216" s="0"/>
      <c r="GR1216" s="0"/>
      <c r="GS1216" s="0"/>
      <c r="GT1216" s="0"/>
      <c r="GU1216" s="0"/>
      <c r="GV1216" s="0"/>
      <c r="GW1216" s="0"/>
      <c r="GX1216" s="0"/>
      <c r="GY1216" s="0"/>
      <c r="GZ1216" s="0"/>
      <c r="HA1216" s="0"/>
      <c r="HB1216" s="0"/>
      <c r="HC1216" s="0"/>
      <c r="HD1216" s="0"/>
      <c r="HE1216" s="0"/>
      <c r="HF1216" s="0"/>
      <c r="HG1216" s="0"/>
      <c r="HH1216" s="0"/>
      <c r="HI1216" s="0"/>
      <c r="HJ1216" s="0"/>
      <c r="HK1216" s="0"/>
      <c r="HL1216" s="0"/>
      <c r="HM1216" s="0"/>
      <c r="HN1216" s="0"/>
      <c r="HO1216" s="0"/>
      <c r="HP1216" s="0"/>
      <c r="HQ1216" s="0"/>
      <c r="HR1216" s="0"/>
      <c r="HS1216" s="0"/>
      <c r="HT1216" s="0"/>
      <c r="HU1216" s="0"/>
      <c r="HV1216" s="0"/>
      <c r="HW1216" s="0"/>
      <c r="HX1216" s="0"/>
      <c r="HY1216" s="0"/>
      <c r="HZ1216" s="0"/>
      <c r="IA1216" s="0"/>
      <c r="IB1216" s="0"/>
      <c r="IC1216" s="0"/>
      <c r="ID1216" s="0"/>
      <c r="IE1216" s="0"/>
      <c r="IF1216" s="0"/>
      <c r="IG1216" s="0"/>
      <c r="IH1216" s="0"/>
      <c r="II1216" s="0"/>
      <c r="IJ1216" s="0"/>
      <c r="IK1216" s="0"/>
      <c r="IL1216" s="0"/>
      <c r="IM1216" s="0"/>
      <c r="IN1216" s="0"/>
      <c r="IO1216" s="0"/>
      <c r="IP1216" s="0"/>
      <c r="IQ1216" s="0"/>
      <c r="IR1216" s="0"/>
      <c r="IS1216" s="0"/>
      <c r="IT1216" s="0"/>
      <c r="IU1216" s="0"/>
      <c r="IV1216" s="0"/>
    </row>
    <row r="1217" s="11" customFormat="true" ht="15.75" hidden="false" customHeight="true" outlineLevel="0" collapsed="false">
      <c r="A1217" s="1005"/>
      <c r="B1217" s="1005"/>
      <c r="C1217" s="1005"/>
      <c r="D1217" s="1005"/>
      <c r="E1217" s="1005"/>
      <c r="F1217" s="1005"/>
      <c r="G1217" s="1005"/>
      <c r="H1217" s="0"/>
      <c r="I1217" s="0"/>
      <c r="J1217" s="0"/>
      <c r="K1217" s="903"/>
      <c r="L1217" s="877"/>
      <c r="N1217" s="0"/>
      <c r="S1217" s="0"/>
      <c r="T1217" s="0"/>
      <c r="U1217" s="0"/>
      <c r="V1217" s="0"/>
      <c r="W1217" s="0"/>
      <c r="X1217" s="0"/>
      <c r="Y1217" s="0"/>
      <c r="Z1217" s="0"/>
      <c r="AA1217" s="0"/>
      <c r="AB1217" s="0"/>
      <c r="AC1217" s="0"/>
      <c r="AD1217" s="0"/>
      <c r="AE1217" s="0"/>
      <c r="AF1217" s="0"/>
      <c r="AG1217" s="0"/>
      <c r="AH1217" s="0"/>
      <c r="AI1217" s="0"/>
      <c r="AJ1217" s="0"/>
      <c r="AK1217" s="0"/>
      <c r="AL1217" s="0"/>
      <c r="AM1217" s="0"/>
      <c r="AN1217" s="0"/>
      <c r="AO1217" s="0"/>
      <c r="AP1217" s="0"/>
      <c r="AQ1217" s="0"/>
      <c r="AR1217" s="0"/>
      <c r="AS1217" s="0"/>
      <c r="AT1217" s="0"/>
      <c r="AU1217" s="0"/>
      <c r="AV1217" s="0"/>
      <c r="AW1217" s="0"/>
      <c r="AX1217" s="0"/>
      <c r="AY1217" s="0"/>
      <c r="AZ1217" s="0"/>
      <c r="BA1217" s="0"/>
      <c r="BB1217" s="0"/>
      <c r="BC1217" s="0"/>
      <c r="BD1217" s="0"/>
      <c r="BE1217" s="0"/>
      <c r="BF1217" s="0"/>
      <c r="BG1217" s="0"/>
      <c r="BH1217" s="0"/>
      <c r="BI1217" s="0"/>
      <c r="BJ1217" s="0"/>
      <c r="BK1217" s="0"/>
      <c r="BL1217" s="0"/>
      <c r="BM1217" s="0"/>
      <c r="BN1217" s="0"/>
      <c r="BO1217" s="0"/>
      <c r="BP1217" s="0"/>
      <c r="BQ1217" s="0"/>
      <c r="BR1217" s="0"/>
      <c r="BS1217" s="0"/>
      <c r="BT1217" s="0"/>
      <c r="BU1217" s="0"/>
      <c r="BV1217" s="0"/>
      <c r="BW1217" s="0"/>
      <c r="BX1217" s="0"/>
      <c r="BY1217" s="0"/>
      <c r="BZ1217" s="0"/>
      <c r="CA1217" s="0"/>
      <c r="CB1217" s="0"/>
      <c r="CC1217" s="0"/>
      <c r="CD1217" s="0"/>
      <c r="CE1217" s="0"/>
      <c r="CF1217" s="0"/>
      <c r="CG1217" s="0"/>
      <c r="CH1217" s="0"/>
      <c r="CI1217" s="0"/>
      <c r="CJ1217" s="0"/>
      <c r="CK1217" s="0"/>
      <c r="CL1217" s="0"/>
      <c r="CM1217" s="0"/>
      <c r="CN1217" s="0"/>
      <c r="CO1217" s="0"/>
      <c r="CP1217" s="0"/>
      <c r="CQ1217" s="0"/>
      <c r="CR1217" s="0"/>
      <c r="CS1217" s="0"/>
      <c r="CT1217" s="0"/>
      <c r="CU1217" s="0"/>
      <c r="CV1217" s="0"/>
      <c r="CW1217" s="0"/>
      <c r="CX1217" s="0"/>
      <c r="CY1217" s="0"/>
      <c r="CZ1217" s="0"/>
      <c r="DA1217" s="0"/>
      <c r="DB1217" s="0"/>
      <c r="DC1217" s="0"/>
      <c r="DD1217" s="0"/>
      <c r="DE1217" s="0"/>
      <c r="DF1217" s="0"/>
      <c r="DG1217" s="0"/>
      <c r="DH1217" s="0"/>
      <c r="DI1217" s="0"/>
      <c r="DJ1217" s="0"/>
      <c r="DK1217" s="0"/>
      <c r="DL1217" s="0"/>
      <c r="DM1217" s="0"/>
      <c r="DN1217" s="0"/>
      <c r="DO1217" s="0"/>
      <c r="DP1217" s="0"/>
      <c r="DQ1217" s="0"/>
      <c r="DR1217" s="0"/>
      <c r="DS1217" s="0"/>
      <c r="DT1217" s="0"/>
      <c r="DU1217" s="0"/>
      <c r="DV1217" s="0"/>
      <c r="DW1217" s="0"/>
      <c r="DX1217" s="0"/>
      <c r="DY1217" s="0"/>
      <c r="DZ1217" s="0"/>
      <c r="EA1217" s="0"/>
      <c r="EB1217" s="0"/>
      <c r="EC1217" s="0"/>
      <c r="ED1217" s="0"/>
      <c r="EE1217" s="0"/>
      <c r="EF1217" s="0"/>
      <c r="EG1217" s="0"/>
      <c r="EH1217" s="0"/>
      <c r="EI1217" s="0"/>
      <c r="EJ1217" s="0"/>
      <c r="EK1217" s="0"/>
      <c r="EL1217" s="0"/>
      <c r="EM1217" s="0"/>
      <c r="EN1217" s="0"/>
      <c r="EO1217" s="0"/>
      <c r="EP1217" s="0"/>
      <c r="EQ1217" s="0"/>
      <c r="ER1217" s="0"/>
      <c r="ES1217" s="0"/>
      <c r="ET1217" s="0"/>
      <c r="EU1217" s="0"/>
      <c r="EV1217" s="0"/>
      <c r="EW1217" s="0"/>
      <c r="EX1217" s="0"/>
      <c r="EY1217" s="0"/>
      <c r="EZ1217" s="0"/>
      <c r="FA1217" s="0"/>
      <c r="FB1217" s="0"/>
      <c r="FC1217" s="0"/>
      <c r="FD1217" s="0"/>
      <c r="FE1217" s="0"/>
      <c r="FF1217" s="0"/>
      <c r="FG1217" s="0"/>
      <c r="FH1217" s="0"/>
      <c r="FI1217" s="0"/>
      <c r="FJ1217" s="0"/>
      <c r="FK1217" s="0"/>
      <c r="FL1217" s="0"/>
      <c r="FM1217" s="0"/>
      <c r="FN1217" s="0"/>
      <c r="FO1217" s="0"/>
      <c r="FP1217" s="0"/>
      <c r="FQ1217" s="0"/>
      <c r="FR1217" s="0"/>
      <c r="FS1217" s="0"/>
      <c r="FT1217" s="0"/>
      <c r="FU1217" s="0"/>
      <c r="FV1217" s="0"/>
      <c r="FW1217" s="0"/>
      <c r="FX1217" s="0"/>
      <c r="FY1217" s="0"/>
      <c r="FZ1217" s="0"/>
      <c r="GA1217" s="0"/>
      <c r="GB1217" s="0"/>
      <c r="GC1217" s="0"/>
      <c r="GD1217" s="0"/>
      <c r="GE1217" s="0"/>
      <c r="GF1217" s="0"/>
      <c r="GG1217" s="0"/>
      <c r="GH1217" s="0"/>
      <c r="GI1217" s="0"/>
      <c r="GJ1217" s="0"/>
      <c r="GK1217" s="0"/>
      <c r="GL1217" s="0"/>
      <c r="GM1217" s="0"/>
      <c r="GN1217" s="0"/>
      <c r="GO1217" s="0"/>
      <c r="GP1217" s="0"/>
      <c r="GQ1217" s="0"/>
      <c r="GR1217" s="0"/>
      <c r="GS1217" s="0"/>
      <c r="GT1217" s="0"/>
      <c r="GU1217" s="0"/>
      <c r="GV1217" s="0"/>
      <c r="GW1217" s="0"/>
      <c r="GX1217" s="0"/>
      <c r="GY1217" s="0"/>
      <c r="GZ1217" s="0"/>
      <c r="HA1217" s="0"/>
      <c r="HB1217" s="0"/>
      <c r="HC1217" s="0"/>
      <c r="HD1217" s="0"/>
      <c r="HE1217" s="0"/>
      <c r="HF1217" s="0"/>
      <c r="HG1217" s="0"/>
      <c r="HH1217" s="0"/>
      <c r="HI1217" s="0"/>
      <c r="HJ1217" s="0"/>
      <c r="HK1217" s="0"/>
      <c r="HL1217" s="0"/>
      <c r="HM1217" s="0"/>
      <c r="HN1217" s="0"/>
      <c r="HO1217" s="0"/>
      <c r="HP1217" s="0"/>
      <c r="HQ1217" s="0"/>
      <c r="HR1217" s="0"/>
      <c r="HS1217" s="0"/>
      <c r="HT1217" s="0"/>
      <c r="HU1217" s="0"/>
      <c r="HV1217" s="0"/>
      <c r="HW1217" s="0"/>
      <c r="HX1217" s="0"/>
      <c r="HY1217" s="0"/>
      <c r="HZ1217" s="0"/>
      <c r="IA1217" s="0"/>
      <c r="IB1217" s="0"/>
      <c r="IC1217" s="0"/>
      <c r="ID1217" s="0"/>
      <c r="IE1217" s="0"/>
      <c r="IF1217" s="0"/>
      <c r="IG1217" s="0"/>
      <c r="IH1217" s="0"/>
      <c r="II1217" s="0"/>
      <c r="IJ1217" s="0"/>
      <c r="IK1217" s="0"/>
      <c r="IL1217" s="0"/>
      <c r="IM1217" s="0"/>
      <c r="IN1217" s="0"/>
      <c r="IO1217" s="0"/>
      <c r="IP1217" s="0"/>
      <c r="IQ1217" s="0"/>
      <c r="IR1217" s="0"/>
      <c r="IS1217" s="0"/>
      <c r="IT1217" s="0"/>
      <c r="IU1217" s="0"/>
      <c r="IV1217" s="0"/>
    </row>
    <row r="1218" customFormat="false" ht="15" hidden="false" customHeight="true" outlineLevel="0" collapsed="false">
      <c r="A1218" s="1111" t="s">
        <v>1757</v>
      </c>
      <c r="B1218" s="1111"/>
      <c r="C1218" s="452" t="s">
        <v>1758</v>
      </c>
      <c r="D1218" s="1433" t="n">
        <f aca="false">(0.25*I1169)+I1197</f>
        <v>90484.125</v>
      </c>
      <c r="E1218" s="1432"/>
      <c r="F1218" s="456"/>
      <c r="G1218" s="456"/>
      <c r="H1218" s="1332"/>
      <c r="K1218" s="0"/>
      <c r="N1218" s="0"/>
      <c r="S1218" s="0"/>
      <c r="T1218" s="0"/>
      <c r="U1218" s="0"/>
      <c r="V1218" s="0"/>
      <c r="W1218" s="0"/>
      <c r="X1218" s="0"/>
      <c r="Y1218" s="0"/>
      <c r="Z1218" s="0"/>
      <c r="AA1218" s="0"/>
      <c r="AB1218" s="0"/>
      <c r="AC1218" s="0"/>
      <c r="AD1218" s="0"/>
      <c r="AE1218" s="0"/>
      <c r="AF1218" s="0"/>
      <c r="AG1218" s="0"/>
      <c r="AH1218" s="0"/>
      <c r="AI1218" s="0"/>
      <c r="AJ1218" s="0"/>
      <c r="AK1218" s="0"/>
      <c r="AL1218" s="0"/>
      <c r="AM1218" s="0"/>
      <c r="AN1218" s="0"/>
      <c r="AO1218" s="0"/>
      <c r="AP1218" s="0"/>
      <c r="AQ1218" s="0"/>
      <c r="AR1218" s="0"/>
      <c r="AS1218" s="0"/>
      <c r="AT1218" s="0"/>
      <c r="AU1218" s="0"/>
      <c r="AV1218" s="0"/>
      <c r="AW1218" s="0"/>
      <c r="AX1218" s="0"/>
      <c r="AY1218" s="0"/>
      <c r="AZ1218" s="0"/>
      <c r="BA1218" s="0"/>
      <c r="BB1218" s="0"/>
      <c r="BC1218" s="0"/>
      <c r="BD1218" s="0"/>
      <c r="BE1218" s="0"/>
      <c r="BF1218" s="0"/>
      <c r="BG1218" s="0"/>
      <c r="BH1218" s="0"/>
      <c r="BI1218" s="0"/>
      <c r="BJ1218" s="0"/>
      <c r="BK1218" s="0"/>
      <c r="BL1218" s="0"/>
      <c r="BM1218" s="0"/>
      <c r="BN1218" s="0"/>
      <c r="BO1218" s="0"/>
      <c r="BP1218" s="0"/>
      <c r="BQ1218" s="0"/>
      <c r="BR1218" s="0"/>
      <c r="BS1218" s="0"/>
      <c r="BT1218" s="0"/>
      <c r="BU1218" s="0"/>
      <c r="BV1218" s="0"/>
      <c r="BW1218" s="0"/>
      <c r="BX1218" s="0"/>
      <c r="BY1218" s="0"/>
      <c r="BZ1218" s="0"/>
      <c r="CA1218" s="0"/>
      <c r="CB1218" s="0"/>
      <c r="CC1218" s="0"/>
      <c r="CD1218" s="0"/>
      <c r="CE1218" s="0"/>
      <c r="CF1218" s="0"/>
      <c r="CG1218" s="0"/>
      <c r="CH1218" s="0"/>
      <c r="CI1218" s="0"/>
      <c r="CJ1218" s="0"/>
      <c r="CK1218" s="0"/>
      <c r="CL1218" s="0"/>
      <c r="CM1218" s="0"/>
      <c r="CN1218" s="0"/>
      <c r="CO1218" s="0"/>
      <c r="CP1218" s="0"/>
      <c r="CQ1218" s="0"/>
      <c r="CR1218" s="0"/>
      <c r="CS1218" s="0"/>
      <c r="CT1218" s="0"/>
      <c r="CU1218" s="0"/>
      <c r="CV1218" s="0"/>
      <c r="CW1218" s="0"/>
      <c r="CX1218" s="0"/>
      <c r="CY1218" s="0"/>
      <c r="CZ1218" s="0"/>
      <c r="DA1218" s="0"/>
      <c r="DB1218" s="0"/>
      <c r="DC1218" s="0"/>
      <c r="DD1218" s="0"/>
      <c r="DE1218" s="0"/>
      <c r="DF1218" s="0"/>
      <c r="DG1218" s="0"/>
      <c r="DH1218" s="0"/>
      <c r="DI1218" s="0"/>
      <c r="DJ1218" s="0"/>
      <c r="DK1218" s="0"/>
      <c r="DL1218" s="0"/>
      <c r="DM1218" s="0"/>
      <c r="DN1218" s="0"/>
      <c r="DO1218" s="0"/>
      <c r="DP1218" s="0"/>
      <c r="DQ1218" s="0"/>
      <c r="DR1218" s="0"/>
      <c r="DS1218" s="0"/>
      <c r="DT1218" s="0"/>
      <c r="DU1218" s="0"/>
      <c r="DV1218" s="0"/>
      <c r="DW1218" s="0"/>
      <c r="DX1218" s="0"/>
      <c r="DY1218" s="0"/>
      <c r="DZ1218" s="0"/>
      <c r="EA1218" s="0"/>
      <c r="EB1218" s="0"/>
      <c r="EC1218" s="0"/>
      <c r="ED1218" s="0"/>
      <c r="EE1218" s="0"/>
      <c r="EF1218" s="0"/>
      <c r="EG1218" s="0"/>
      <c r="EH1218" s="0"/>
      <c r="EI1218" s="0"/>
      <c r="EJ1218" s="0"/>
      <c r="EK1218" s="0"/>
      <c r="EL1218" s="0"/>
      <c r="EM1218" s="0"/>
      <c r="EN1218" s="0"/>
      <c r="EO1218" s="0"/>
      <c r="EP1218" s="0"/>
      <c r="EQ1218" s="0"/>
      <c r="ER1218" s="0"/>
      <c r="ES1218" s="0"/>
      <c r="ET1218" s="0"/>
      <c r="EU1218" s="0"/>
      <c r="EV1218" s="0"/>
      <c r="EW1218" s="0"/>
      <c r="EX1218" s="0"/>
      <c r="EY1218" s="0"/>
      <c r="EZ1218" s="0"/>
      <c r="FA1218" s="0"/>
      <c r="FB1218" s="0"/>
      <c r="FC1218" s="0"/>
      <c r="FD1218" s="0"/>
      <c r="FE1218" s="0"/>
      <c r="FF1218" s="0"/>
      <c r="FG1218" s="0"/>
      <c r="FH1218" s="0"/>
      <c r="FI1218" s="0"/>
      <c r="FJ1218" s="0"/>
      <c r="FK1218" s="0"/>
      <c r="FL1218" s="0"/>
      <c r="FM1218" s="0"/>
      <c r="FN1218" s="0"/>
      <c r="FO1218" s="0"/>
      <c r="FP1218" s="0"/>
      <c r="FQ1218" s="0"/>
      <c r="FR1218" s="0"/>
      <c r="FS1218" s="0"/>
      <c r="FT1218" s="0"/>
      <c r="FU1218" s="0"/>
      <c r="FV1218" s="0"/>
      <c r="FW1218" s="0"/>
      <c r="FX1218" s="0"/>
      <c r="FY1218" s="0"/>
      <c r="FZ1218" s="0"/>
      <c r="GA1218" s="0"/>
      <c r="GB1218" s="0"/>
      <c r="GC1218" s="0"/>
      <c r="GD1218" s="0"/>
      <c r="GE1218" s="0"/>
      <c r="GF1218" s="0"/>
      <c r="GG1218" s="0"/>
      <c r="GH1218" s="0"/>
      <c r="GI1218" s="0"/>
      <c r="GJ1218" s="0"/>
      <c r="GK1218" s="0"/>
      <c r="GL1218" s="0"/>
      <c r="GM1218" s="0"/>
      <c r="GN1218" s="0"/>
      <c r="GO1218" s="0"/>
      <c r="GP1218" s="0"/>
      <c r="GQ1218" s="0"/>
      <c r="GR1218" s="0"/>
      <c r="GS1218" s="0"/>
      <c r="GT1218" s="0"/>
      <c r="GU1218" s="0"/>
      <c r="GV1218" s="0"/>
      <c r="GW1218" s="0"/>
      <c r="GX1218" s="0"/>
      <c r="GY1218" s="0"/>
      <c r="GZ1218" s="0"/>
      <c r="HA1218" s="0"/>
      <c r="HB1218" s="0"/>
      <c r="HC1218" s="0"/>
      <c r="HD1218" s="0"/>
      <c r="HE1218" s="0"/>
      <c r="HF1218" s="0"/>
      <c r="HG1218" s="0"/>
      <c r="HH1218" s="0"/>
      <c r="HI1218" s="0"/>
      <c r="HJ1218" s="0"/>
      <c r="HK1218" s="0"/>
      <c r="HL1218" s="0"/>
      <c r="HM1218" s="0"/>
      <c r="HN1218" s="0"/>
      <c r="HO1218" s="0"/>
      <c r="HP1218" s="0"/>
      <c r="HQ1218" s="0"/>
      <c r="HR1218" s="0"/>
      <c r="HS1218" s="0"/>
      <c r="HT1218" s="0"/>
      <c r="HU1218" s="0"/>
      <c r="HV1218" s="0"/>
      <c r="HW1218" s="0"/>
      <c r="HX1218" s="0"/>
      <c r="HY1218" s="0"/>
      <c r="HZ1218" s="0"/>
      <c r="IA1218" s="0"/>
      <c r="IB1218" s="0"/>
      <c r="IC1218" s="0"/>
      <c r="ID1218" s="0"/>
      <c r="IE1218" s="0"/>
      <c r="IF1218" s="0"/>
      <c r="IG1218" s="0"/>
      <c r="IH1218" s="0"/>
      <c r="II1218" s="0"/>
      <c r="IJ1218" s="0"/>
      <c r="IK1218" s="0"/>
      <c r="IL1218" s="0"/>
      <c r="IM1218" s="0"/>
      <c r="IN1218" s="0"/>
      <c r="IO1218" s="0"/>
      <c r="IP1218" s="0"/>
      <c r="IQ1218" s="0"/>
      <c r="IR1218" s="0"/>
      <c r="IS1218" s="0"/>
      <c r="IT1218" s="0"/>
      <c r="IU1218" s="0"/>
      <c r="IV1218" s="0"/>
    </row>
    <row r="1219" customFormat="false" ht="15" hidden="false" customHeight="true" outlineLevel="0" collapsed="false">
      <c r="A1219" s="456"/>
      <c r="B1219" s="0"/>
      <c r="C1219" s="0"/>
      <c r="D1219" s="1019"/>
      <c r="E1219" s="1432"/>
      <c r="F1219" s="456"/>
      <c r="G1219" s="456"/>
      <c r="H1219" s="1332"/>
      <c r="K1219" s="0"/>
      <c r="N1219" s="0"/>
      <c r="S1219" s="0"/>
      <c r="T1219" s="0"/>
      <c r="U1219" s="0"/>
      <c r="V1219" s="0"/>
      <c r="W1219" s="0"/>
      <c r="X1219" s="0"/>
      <c r="Y1219" s="0"/>
      <c r="Z1219" s="0"/>
      <c r="AA1219" s="0"/>
      <c r="AB1219" s="0"/>
      <c r="AC1219" s="0"/>
      <c r="AD1219" s="0"/>
      <c r="AE1219" s="0"/>
      <c r="AF1219" s="0"/>
      <c r="AG1219" s="0"/>
      <c r="AH1219" s="0"/>
      <c r="AI1219" s="0"/>
      <c r="AJ1219" s="0"/>
      <c r="AK1219" s="0"/>
      <c r="AL1219" s="0"/>
      <c r="AM1219" s="0"/>
      <c r="AN1219" s="0"/>
      <c r="AO1219" s="0"/>
      <c r="AP1219" s="0"/>
      <c r="AQ1219" s="0"/>
      <c r="AR1219" s="0"/>
      <c r="AS1219" s="0"/>
      <c r="AT1219" s="0"/>
      <c r="AU1219" s="0"/>
      <c r="AV1219" s="0"/>
      <c r="AW1219" s="0"/>
      <c r="AX1219" s="0"/>
      <c r="AY1219" s="0"/>
      <c r="AZ1219" s="0"/>
      <c r="BA1219" s="0"/>
      <c r="BB1219" s="0"/>
      <c r="BC1219" s="0"/>
      <c r="BD1219" s="0"/>
      <c r="BE1219" s="0"/>
      <c r="BF1219" s="0"/>
      <c r="BG1219" s="0"/>
      <c r="BH1219" s="0"/>
      <c r="BI1219" s="0"/>
      <c r="BJ1219" s="0"/>
      <c r="BK1219" s="0"/>
      <c r="BL1219" s="0"/>
      <c r="BM1219" s="0"/>
      <c r="BN1219" s="0"/>
      <c r="BO1219" s="0"/>
      <c r="BP1219" s="0"/>
      <c r="BQ1219" s="0"/>
      <c r="BR1219" s="0"/>
      <c r="BS1219" s="0"/>
      <c r="BT1219" s="0"/>
      <c r="BU1219" s="0"/>
      <c r="BV1219" s="0"/>
      <c r="BW1219" s="0"/>
      <c r="BX1219" s="0"/>
      <c r="BY1219" s="0"/>
      <c r="BZ1219" s="0"/>
      <c r="CA1219" s="0"/>
      <c r="CB1219" s="0"/>
      <c r="CC1219" s="0"/>
      <c r="CD1219" s="0"/>
      <c r="CE1219" s="0"/>
      <c r="CF1219" s="0"/>
      <c r="CG1219" s="0"/>
      <c r="CH1219" s="0"/>
      <c r="CI1219" s="0"/>
      <c r="CJ1219" s="0"/>
      <c r="CK1219" s="0"/>
      <c r="CL1219" s="0"/>
      <c r="CM1219" s="0"/>
      <c r="CN1219" s="0"/>
      <c r="CO1219" s="0"/>
      <c r="CP1219" s="0"/>
      <c r="CQ1219" s="0"/>
      <c r="CR1219" s="0"/>
      <c r="CS1219" s="0"/>
      <c r="CT1219" s="0"/>
      <c r="CU1219" s="0"/>
      <c r="CV1219" s="0"/>
      <c r="CW1219" s="0"/>
      <c r="CX1219" s="0"/>
      <c r="CY1219" s="0"/>
      <c r="CZ1219" s="0"/>
      <c r="DA1219" s="0"/>
      <c r="DB1219" s="0"/>
      <c r="DC1219" s="0"/>
      <c r="DD1219" s="0"/>
      <c r="DE1219" s="0"/>
      <c r="DF1219" s="0"/>
      <c r="DG1219" s="0"/>
      <c r="DH1219" s="0"/>
      <c r="DI1219" s="0"/>
      <c r="DJ1219" s="0"/>
      <c r="DK1219" s="0"/>
      <c r="DL1219" s="0"/>
      <c r="DM1219" s="0"/>
      <c r="DN1219" s="0"/>
      <c r="DO1219" s="0"/>
      <c r="DP1219" s="0"/>
      <c r="DQ1219" s="0"/>
      <c r="DR1219" s="0"/>
      <c r="DS1219" s="0"/>
      <c r="DT1219" s="0"/>
      <c r="DU1219" s="0"/>
      <c r="DV1219" s="0"/>
      <c r="DW1219" s="0"/>
      <c r="DX1219" s="0"/>
      <c r="DY1219" s="0"/>
      <c r="DZ1219" s="0"/>
      <c r="EA1219" s="0"/>
      <c r="EB1219" s="0"/>
      <c r="EC1219" s="0"/>
      <c r="ED1219" s="0"/>
      <c r="EE1219" s="0"/>
      <c r="EF1219" s="0"/>
      <c r="EG1219" s="0"/>
      <c r="EH1219" s="0"/>
      <c r="EI1219" s="0"/>
      <c r="EJ1219" s="0"/>
      <c r="EK1219" s="0"/>
      <c r="EL1219" s="0"/>
      <c r="EM1219" s="0"/>
      <c r="EN1219" s="0"/>
      <c r="EO1219" s="0"/>
      <c r="EP1219" s="0"/>
      <c r="EQ1219" s="0"/>
      <c r="ER1219" s="0"/>
      <c r="ES1219" s="0"/>
      <c r="ET1219" s="0"/>
      <c r="EU1219" s="0"/>
      <c r="EV1219" s="0"/>
      <c r="EW1219" s="0"/>
      <c r="EX1219" s="0"/>
      <c r="EY1219" s="0"/>
      <c r="EZ1219" s="0"/>
      <c r="FA1219" s="0"/>
      <c r="FB1219" s="0"/>
      <c r="FC1219" s="0"/>
      <c r="FD1219" s="0"/>
      <c r="FE1219" s="0"/>
      <c r="FF1219" s="0"/>
      <c r="FG1219" s="0"/>
      <c r="FH1219" s="0"/>
      <c r="FI1219" s="0"/>
      <c r="FJ1219" s="0"/>
      <c r="FK1219" s="0"/>
      <c r="FL1219" s="0"/>
      <c r="FM1219" s="0"/>
      <c r="FN1219" s="0"/>
      <c r="FO1219" s="0"/>
      <c r="FP1219" s="0"/>
      <c r="FQ1219" s="0"/>
      <c r="FR1219" s="0"/>
      <c r="FS1219" s="0"/>
      <c r="FT1219" s="0"/>
      <c r="FU1219" s="0"/>
      <c r="FV1219" s="0"/>
      <c r="FW1219" s="0"/>
      <c r="FX1219" s="0"/>
      <c r="FY1219" s="0"/>
      <c r="FZ1219" s="0"/>
      <c r="GA1219" s="0"/>
      <c r="GB1219" s="0"/>
      <c r="GC1219" s="0"/>
      <c r="GD1219" s="0"/>
      <c r="GE1219" s="0"/>
      <c r="GF1219" s="0"/>
      <c r="GG1219" s="0"/>
      <c r="GH1219" s="0"/>
      <c r="GI1219" s="0"/>
      <c r="GJ1219" s="0"/>
      <c r="GK1219" s="0"/>
      <c r="GL1219" s="0"/>
      <c r="GM1219" s="0"/>
      <c r="GN1219" s="0"/>
      <c r="GO1219" s="0"/>
      <c r="GP1219" s="0"/>
      <c r="GQ1219" s="0"/>
      <c r="GR1219" s="0"/>
      <c r="GS1219" s="0"/>
      <c r="GT1219" s="0"/>
      <c r="GU1219" s="0"/>
      <c r="GV1219" s="0"/>
      <c r="GW1219" s="0"/>
      <c r="GX1219" s="0"/>
      <c r="GY1219" s="0"/>
      <c r="GZ1219" s="0"/>
      <c r="HA1219" s="0"/>
      <c r="HB1219" s="0"/>
      <c r="HC1219" s="0"/>
      <c r="HD1219" s="0"/>
      <c r="HE1219" s="0"/>
      <c r="HF1219" s="0"/>
      <c r="HG1219" s="0"/>
      <c r="HH1219" s="0"/>
      <c r="HI1219" s="0"/>
      <c r="HJ1219" s="0"/>
      <c r="HK1219" s="0"/>
      <c r="HL1219" s="0"/>
      <c r="HM1219" s="0"/>
      <c r="HN1219" s="0"/>
      <c r="HO1219" s="0"/>
      <c r="HP1219" s="0"/>
      <c r="HQ1219" s="0"/>
      <c r="HR1219" s="0"/>
      <c r="HS1219" s="0"/>
      <c r="HT1219" s="0"/>
      <c r="HU1219" s="0"/>
      <c r="HV1219" s="0"/>
      <c r="HW1219" s="0"/>
      <c r="HX1219" s="0"/>
      <c r="HY1219" s="0"/>
      <c r="HZ1219" s="0"/>
      <c r="IA1219" s="0"/>
      <c r="IB1219" s="0"/>
      <c r="IC1219" s="0"/>
      <c r="ID1219" s="0"/>
      <c r="IE1219" s="0"/>
      <c r="IF1219" s="0"/>
      <c r="IG1219" s="0"/>
      <c r="IH1219" s="0"/>
      <c r="II1219" s="0"/>
      <c r="IJ1219" s="0"/>
      <c r="IK1219" s="0"/>
      <c r="IL1219" s="0"/>
      <c r="IM1219" s="0"/>
      <c r="IN1219" s="0"/>
      <c r="IO1219" s="0"/>
      <c r="IP1219" s="0"/>
      <c r="IQ1219" s="0"/>
      <c r="IR1219" s="0"/>
      <c r="IS1219" s="0"/>
      <c r="IT1219" s="0"/>
      <c r="IU1219" s="0"/>
      <c r="IV1219" s="0"/>
    </row>
    <row r="1220" customFormat="false" ht="15" hidden="false" customHeight="true" outlineLevel="0" collapsed="false">
      <c r="A1220" s="1111" t="s">
        <v>1759</v>
      </c>
      <c r="B1220" s="1111"/>
      <c r="C1220" s="452" t="s">
        <v>1760</v>
      </c>
      <c r="D1220" s="1433" t="n">
        <f aca="false">(I1187-D1218)/C38</f>
        <v>21219.375</v>
      </c>
      <c r="E1220" s="1432"/>
      <c r="F1220" s="456"/>
      <c r="G1220" s="456"/>
      <c r="H1220" s="1332"/>
      <c r="K1220" s="0"/>
      <c r="N1220" s="0"/>
      <c r="S1220" s="0"/>
      <c r="T1220" s="0"/>
      <c r="U1220" s="0"/>
      <c r="V1220" s="0"/>
      <c r="W1220" s="0"/>
      <c r="X1220" s="0"/>
      <c r="Y1220" s="0"/>
      <c r="Z1220" s="0"/>
      <c r="AA1220" s="0"/>
      <c r="AB1220" s="0"/>
      <c r="AC1220" s="0"/>
      <c r="AD1220" s="0"/>
      <c r="AE1220" s="0"/>
      <c r="AF1220" s="0"/>
      <c r="AG1220" s="0"/>
      <c r="AH1220" s="0"/>
      <c r="AI1220" s="0"/>
      <c r="AJ1220" s="0"/>
      <c r="AK1220" s="0"/>
      <c r="AL1220" s="0"/>
      <c r="AM1220" s="0"/>
      <c r="AN1220" s="0"/>
      <c r="AO1220" s="0"/>
      <c r="AP1220" s="0"/>
      <c r="AQ1220" s="0"/>
      <c r="AR1220" s="0"/>
      <c r="AS1220" s="0"/>
      <c r="AT1220" s="0"/>
      <c r="AU1220" s="0"/>
      <c r="AV1220" s="0"/>
      <c r="AW1220" s="0"/>
      <c r="AX1220" s="0"/>
      <c r="AY1220" s="0"/>
      <c r="AZ1220" s="0"/>
      <c r="BA1220" s="0"/>
      <c r="BB1220" s="0"/>
      <c r="BC1220" s="0"/>
      <c r="BD1220" s="0"/>
      <c r="BE1220" s="0"/>
      <c r="BF1220" s="0"/>
      <c r="BG1220" s="0"/>
      <c r="BH1220" s="0"/>
      <c r="BI1220" s="0"/>
      <c r="BJ1220" s="0"/>
      <c r="BK1220" s="0"/>
      <c r="BL1220" s="0"/>
      <c r="BM1220" s="0"/>
      <c r="BN1220" s="0"/>
      <c r="BO1220" s="0"/>
      <c r="BP1220" s="0"/>
      <c r="BQ1220" s="0"/>
      <c r="BR1220" s="0"/>
      <c r="BS1220" s="0"/>
      <c r="BT1220" s="0"/>
      <c r="BU1220" s="0"/>
      <c r="BV1220" s="0"/>
      <c r="BW1220" s="0"/>
      <c r="BX1220" s="0"/>
      <c r="BY1220" s="0"/>
      <c r="BZ1220" s="0"/>
      <c r="CA1220" s="0"/>
      <c r="CB1220" s="0"/>
      <c r="CC1220" s="0"/>
      <c r="CD1220" s="0"/>
      <c r="CE1220" s="0"/>
      <c r="CF1220" s="0"/>
      <c r="CG1220" s="0"/>
      <c r="CH1220" s="0"/>
      <c r="CI1220" s="0"/>
      <c r="CJ1220" s="0"/>
      <c r="CK1220" s="0"/>
      <c r="CL1220" s="0"/>
      <c r="CM1220" s="0"/>
      <c r="CN1220" s="0"/>
      <c r="CO1220" s="0"/>
      <c r="CP1220" s="0"/>
      <c r="CQ1220" s="0"/>
      <c r="CR1220" s="0"/>
      <c r="CS1220" s="0"/>
      <c r="CT1220" s="0"/>
      <c r="CU1220" s="0"/>
      <c r="CV1220" s="0"/>
      <c r="CW1220" s="0"/>
      <c r="CX1220" s="0"/>
      <c r="CY1220" s="0"/>
      <c r="CZ1220" s="0"/>
      <c r="DA1220" s="0"/>
      <c r="DB1220" s="0"/>
      <c r="DC1220" s="0"/>
      <c r="DD1220" s="0"/>
      <c r="DE1220" s="0"/>
      <c r="DF1220" s="0"/>
      <c r="DG1220" s="0"/>
      <c r="DH1220" s="0"/>
      <c r="DI1220" s="0"/>
      <c r="DJ1220" s="0"/>
      <c r="DK1220" s="0"/>
      <c r="DL1220" s="0"/>
      <c r="DM1220" s="0"/>
      <c r="DN1220" s="0"/>
      <c r="DO1220" s="0"/>
      <c r="DP1220" s="0"/>
      <c r="DQ1220" s="0"/>
      <c r="DR1220" s="0"/>
      <c r="DS1220" s="0"/>
      <c r="DT1220" s="0"/>
      <c r="DU1220" s="0"/>
      <c r="DV1220" s="0"/>
      <c r="DW1220" s="0"/>
      <c r="DX1220" s="0"/>
      <c r="DY1220" s="0"/>
      <c r="DZ1220" s="0"/>
      <c r="EA1220" s="0"/>
      <c r="EB1220" s="0"/>
      <c r="EC1220" s="0"/>
      <c r="ED1220" s="0"/>
      <c r="EE1220" s="0"/>
      <c r="EF1220" s="0"/>
      <c r="EG1220" s="0"/>
      <c r="EH1220" s="0"/>
      <c r="EI1220" s="0"/>
      <c r="EJ1220" s="0"/>
      <c r="EK1220" s="0"/>
      <c r="EL1220" s="0"/>
      <c r="EM1220" s="0"/>
      <c r="EN1220" s="0"/>
      <c r="EO1220" s="0"/>
      <c r="EP1220" s="0"/>
      <c r="EQ1220" s="0"/>
      <c r="ER1220" s="0"/>
      <c r="ES1220" s="0"/>
      <c r="ET1220" s="0"/>
      <c r="EU1220" s="0"/>
      <c r="EV1220" s="0"/>
      <c r="EW1220" s="0"/>
      <c r="EX1220" s="0"/>
      <c r="EY1220" s="0"/>
      <c r="EZ1220" s="0"/>
      <c r="FA1220" s="0"/>
      <c r="FB1220" s="0"/>
      <c r="FC1220" s="0"/>
      <c r="FD1220" s="0"/>
      <c r="FE1220" s="0"/>
      <c r="FF1220" s="0"/>
      <c r="FG1220" s="0"/>
      <c r="FH1220" s="0"/>
      <c r="FI1220" s="0"/>
      <c r="FJ1220" s="0"/>
      <c r="FK1220" s="0"/>
      <c r="FL1220" s="0"/>
      <c r="FM1220" s="0"/>
      <c r="FN1220" s="0"/>
      <c r="FO1220" s="0"/>
      <c r="FP1220" s="0"/>
      <c r="FQ1220" s="0"/>
      <c r="FR1220" s="0"/>
      <c r="FS1220" s="0"/>
      <c r="FT1220" s="0"/>
      <c r="FU1220" s="0"/>
      <c r="FV1220" s="0"/>
      <c r="FW1220" s="0"/>
      <c r="FX1220" s="0"/>
      <c r="FY1220" s="0"/>
      <c r="FZ1220" s="0"/>
      <c r="GA1220" s="0"/>
      <c r="GB1220" s="0"/>
      <c r="GC1220" s="0"/>
      <c r="GD1220" s="0"/>
      <c r="GE1220" s="0"/>
      <c r="GF1220" s="0"/>
      <c r="GG1220" s="0"/>
      <c r="GH1220" s="0"/>
      <c r="GI1220" s="0"/>
      <c r="GJ1220" s="0"/>
      <c r="GK1220" s="0"/>
      <c r="GL1220" s="0"/>
      <c r="GM1220" s="0"/>
      <c r="GN1220" s="0"/>
      <c r="GO1220" s="0"/>
      <c r="GP1220" s="0"/>
      <c r="GQ1220" s="0"/>
      <c r="GR1220" s="0"/>
      <c r="GS1220" s="0"/>
      <c r="GT1220" s="0"/>
      <c r="GU1220" s="0"/>
      <c r="GV1220" s="0"/>
      <c r="GW1220" s="0"/>
      <c r="GX1220" s="0"/>
      <c r="GY1220" s="0"/>
      <c r="GZ1220" s="0"/>
      <c r="HA1220" s="0"/>
      <c r="HB1220" s="0"/>
      <c r="HC1220" s="0"/>
      <c r="HD1220" s="0"/>
      <c r="HE1220" s="0"/>
      <c r="HF1220" s="0"/>
      <c r="HG1220" s="0"/>
      <c r="HH1220" s="0"/>
      <c r="HI1220" s="0"/>
      <c r="HJ1220" s="0"/>
      <c r="HK1220" s="0"/>
      <c r="HL1220" s="0"/>
      <c r="HM1220" s="0"/>
      <c r="HN1220" s="0"/>
      <c r="HO1220" s="0"/>
      <c r="HP1220" s="0"/>
      <c r="HQ1220" s="0"/>
      <c r="HR1220" s="0"/>
      <c r="HS1220" s="0"/>
      <c r="HT1220" s="0"/>
      <c r="HU1220" s="0"/>
      <c r="HV1220" s="0"/>
      <c r="HW1220" s="0"/>
      <c r="HX1220" s="0"/>
      <c r="HY1220" s="0"/>
      <c r="HZ1220" s="0"/>
      <c r="IA1220" s="0"/>
      <c r="IB1220" s="0"/>
      <c r="IC1220" s="0"/>
      <c r="ID1220" s="0"/>
      <c r="IE1220" s="0"/>
      <c r="IF1220" s="0"/>
      <c r="IG1220" s="0"/>
      <c r="IH1220" s="0"/>
      <c r="II1220" s="0"/>
      <c r="IJ1220" s="0"/>
      <c r="IK1220" s="0"/>
      <c r="IL1220" s="0"/>
      <c r="IM1220" s="0"/>
      <c r="IN1220" s="0"/>
      <c r="IO1220" s="0"/>
      <c r="IP1220" s="0"/>
      <c r="IQ1220" s="0"/>
      <c r="IR1220" s="0"/>
      <c r="IS1220" s="0"/>
      <c r="IT1220" s="0"/>
      <c r="IU1220" s="0"/>
      <c r="IV1220" s="0"/>
    </row>
    <row r="1221" customFormat="false" ht="15" hidden="false" customHeight="true" outlineLevel="0" collapsed="false">
      <c r="A1221" s="456"/>
      <c r="B1221" s="12"/>
      <c r="C1221" s="0"/>
      <c r="D1221" s="1310"/>
      <c r="E1221" s="1432"/>
      <c r="F1221" s="456"/>
      <c r="G1221" s="456"/>
      <c r="H1221" s="1332"/>
      <c r="K1221" s="0"/>
      <c r="N1221" s="0"/>
      <c r="S1221" s="0"/>
      <c r="T1221" s="0"/>
      <c r="U1221" s="0"/>
      <c r="V1221" s="0"/>
      <c r="W1221" s="0"/>
      <c r="X1221" s="0"/>
      <c r="Y1221" s="0"/>
      <c r="Z1221" s="0"/>
      <c r="AA1221" s="0"/>
      <c r="AB1221" s="0"/>
      <c r="AC1221" s="0"/>
      <c r="AD1221" s="0"/>
      <c r="AE1221" s="0"/>
      <c r="AF1221" s="0"/>
      <c r="AG1221" s="0"/>
      <c r="AH1221" s="0"/>
      <c r="AI1221" s="0"/>
      <c r="AJ1221" s="0"/>
      <c r="AK1221" s="0"/>
      <c r="AL1221" s="0"/>
      <c r="AM1221" s="0"/>
      <c r="AN1221" s="0"/>
      <c r="AO1221" s="0"/>
      <c r="AP1221" s="0"/>
      <c r="AQ1221" s="0"/>
      <c r="AR1221" s="0"/>
      <c r="AS1221" s="0"/>
      <c r="AT1221" s="0"/>
      <c r="AU1221" s="0"/>
      <c r="AV1221" s="0"/>
      <c r="AW1221" s="0"/>
      <c r="AX1221" s="0"/>
      <c r="AY1221" s="0"/>
      <c r="AZ1221" s="0"/>
      <c r="BA1221" s="0"/>
      <c r="BB1221" s="0"/>
      <c r="BC1221" s="0"/>
      <c r="BD1221" s="0"/>
      <c r="BE1221" s="0"/>
      <c r="BF1221" s="0"/>
      <c r="BG1221" s="0"/>
      <c r="BH1221" s="0"/>
      <c r="BI1221" s="0"/>
      <c r="BJ1221" s="0"/>
      <c r="BK1221" s="0"/>
      <c r="BL1221" s="0"/>
      <c r="BM1221" s="0"/>
      <c r="BN1221" s="0"/>
      <c r="BO1221" s="0"/>
      <c r="BP1221" s="0"/>
      <c r="BQ1221" s="0"/>
      <c r="BR1221" s="0"/>
      <c r="BS1221" s="0"/>
      <c r="BT1221" s="0"/>
      <c r="BU1221" s="0"/>
      <c r="BV1221" s="0"/>
      <c r="BW1221" s="0"/>
      <c r="BX1221" s="0"/>
      <c r="BY1221" s="0"/>
      <c r="BZ1221" s="0"/>
      <c r="CA1221" s="0"/>
      <c r="CB1221" s="0"/>
      <c r="CC1221" s="0"/>
      <c r="CD1221" s="0"/>
      <c r="CE1221" s="0"/>
      <c r="CF1221" s="0"/>
      <c r="CG1221" s="0"/>
      <c r="CH1221" s="0"/>
      <c r="CI1221" s="0"/>
      <c r="CJ1221" s="0"/>
      <c r="CK1221" s="0"/>
      <c r="CL1221" s="0"/>
      <c r="CM1221" s="0"/>
      <c r="CN1221" s="0"/>
      <c r="CO1221" s="0"/>
      <c r="CP1221" s="0"/>
      <c r="CQ1221" s="0"/>
      <c r="CR1221" s="0"/>
      <c r="CS1221" s="0"/>
      <c r="CT1221" s="0"/>
      <c r="CU1221" s="0"/>
      <c r="CV1221" s="0"/>
      <c r="CW1221" s="0"/>
      <c r="CX1221" s="0"/>
      <c r="CY1221" s="0"/>
      <c r="CZ1221" s="0"/>
      <c r="DA1221" s="0"/>
      <c r="DB1221" s="0"/>
      <c r="DC1221" s="0"/>
      <c r="DD1221" s="0"/>
      <c r="DE1221" s="0"/>
      <c r="DF1221" s="0"/>
      <c r="DG1221" s="0"/>
      <c r="DH1221" s="0"/>
      <c r="DI1221" s="0"/>
      <c r="DJ1221" s="0"/>
      <c r="DK1221" s="0"/>
      <c r="DL1221" s="0"/>
      <c r="DM1221" s="0"/>
      <c r="DN1221" s="0"/>
      <c r="DO1221" s="0"/>
      <c r="DP1221" s="0"/>
      <c r="DQ1221" s="0"/>
      <c r="DR1221" s="0"/>
      <c r="DS1221" s="0"/>
      <c r="DT1221" s="0"/>
      <c r="DU1221" s="0"/>
      <c r="DV1221" s="0"/>
      <c r="DW1221" s="0"/>
      <c r="DX1221" s="0"/>
      <c r="DY1221" s="0"/>
      <c r="DZ1221" s="0"/>
      <c r="EA1221" s="0"/>
      <c r="EB1221" s="0"/>
      <c r="EC1221" s="0"/>
      <c r="ED1221" s="0"/>
      <c r="EE1221" s="0"/>
      <c r="EF1221" s="0"/>
      <c r="EG1221" s="0"/>
      <c r="EH1221" s="0"/>
      <c r="EI1221" s="0"/>
      <c r="EJ1221" s="0"/>
      <c r="EK1221" s="0"/>
      <c r="EL1221" s="0"/>
      <c r="EM1221" s="0"/>
      <c r="EN1221" s="0"/>
      <c r="EO1221" s="0"/>
      <c r="EP1221" s="0"/>
      <c r="EQ1221" s="0"/>
      <c r="ER1221" s="0"/>
      <c r="ES1221" s="0"/>
      <c r="ET1221" s="0"/>
      <c r="EU1221" s="0"/>
      <c r="EV1221" s="0"/>
      <c r="EW1221" s="0"/>
      <c r="EX1221" s="0"/>
      <c r="EY1221" s="0"/>
      <c r="EZ1221" s="0"/>
      <c r="FA1221" s="0"/>
      <c r="FB1221" s="0"/>
      <c r="FC1221" s="0"/>
      <c r="FD1221" s="0"/>
      <c r="FE1221" s="0"/>
      <c r="FF1221" s="0"/>
      <c r="FG1221" s="0"/>
      <c r="FH1221" s="0"/>
      <c r="FI1221" s="0"/>
      <c r="FJ1221" s="0"/>
      <c r="FK1221" s="0"/>
      <c r="FL1221" s="0"/>
      <c r="FM1221" s="0"/>
      <c r="FN1221" s="0"/>
      <c r="FO1221" s="0"/>
      <c r="FP1221" s="0"/>
      <c r="FQ1221" s="0"/>
      <c r="FR1221" s="0"/>
      <c r="FS1221" s="0"/>
      <c r="FT1221" s="0"/>
      <c r="FU1221" s="0"/>
      <c r="FV1221" s="0"/>
      <c r="FW1221" s="0"/>
      <c r="FX1221" s="0"/>
      <c r="FY1221" s="0"/>
      <c r="FZ1221" s="0"/>
      <c r="GA1221" s="0"/>
      <c r="GB1221" s="0"/>
      <c r="GC1221" s="0"/>
      <c r="GD1221" s="0"/>
      <c r="GE1221" s="0"/>
      <c r="GF1221" s="0"/>
      <c r="GG1221" s="0"/>
      <c r="GH1221" s="0"/>
      <c r="GI1221" s="0"/>
      <c r="GJ1221" s="0"/>
      <c r="GK1221" s="0"/>
      <c r="GL1221" s="0"/>
      <c r="GM1221" s="0"/>
      <c r="GN1221" s="0"/>
      <c r="GO1221" s="0"/>
      <c r="GP1221" s="0"/>
      <c r="GQ1221" s="0"/>
      <c r="GR1221" s="0"/>
      <c r="GS1221" s="0"/>
      <c r="GT1221" s="0"/>
      <c r="GU1221" s="0"/>
      <c r="GV1221" s="0"/>
      <c r="GW1221" s="0"/>
      <c r="GX1221" s="0"/>
      <c r="GY1221" s="0"/>
      <c r="GZ1221" s="0"/>
      <c r="HA1221" s="0"/>
      <c r="HB1221" s="0"/>
      <c r="HC1221" s="0"/>
      <c r="HD1221" s="0"/>
      <c r="HE1221" s="0"/>
      <c r="HF1221" s="0"/>
      <c r="HG1221" s="0"/>
      <c r="HH1221" s="0"/>
      <c r="HI1221" s="0"/>
      <c r="HJ1221" s="0"/>
      <c r="HK1221" s="0"/>
      <c r="HL1221" s="0"/>
      <c r="HM1221" s="0"/>
      <c r="HN1221" s="0"/>
      <c r="HO1221" s="0"/>
      <c r="HP1221" s="0"/>
      <c r="HQ1221" s="0"/>
      <c r="HR1221" s="0"/>
      <c r="HS1221" s="0"/>
      <c r="HT1221" s="0"/>
      <c r="HU1221" s="0"/>
      <c r="HV1221" s="0"/>
      <c r="HW1221" s="0"/>
      <c r="HX1221" s="0"/>
      <c r="HY1221" s="0"/>
      <c r="HZ1221" s="0"/>
      <c r="IA1221" s="0"/>
      <c r="IB1221" s="0"/>
      <c r="IC1221" s="0"/>
      <c r="ID1221" s="0"/>
      <c r="IE1221" s="0"/>
      <c r="IF1221" s="0"/>
      <c r="IG1221" s="0"/>
      <c r="IH1221" s="0"/>
      <c r="II1221" s="0"/>
      <c r="IJ1221" s="0"/>
      <c r="IK1221" s="0"/>
      <c r="IL1221" s="0"/>
      <c r="IM1221" s="0"/>
      <c r="IN1221" s="0"/>
      <c r="IO1221" s="0"/>
      <c r="IP1221" s="0"/>
      <c r="IQ1221" s="0"/>
      <c r="IR1221" s="0"/>
      <c r="IS1221" s="0"/>
      <c r="IT1221" s="0"/>
      <c r="IU1221" s="0"/>
      <c r="IV1221" s="0"/>
    </row>
    <row r="1222" customFormat="false" ht="15" hidden="false" customHeight="true" outlineLevel="0" collapsed="false">
      <c r="A1222" s="364" t="s">
        <v>1761</v>
      </c>
      <c r="B1222" s="364"/>
      <c r="C1222" s="437"/>
      <c r="D1222" s="1434" t="n">
        <v>1185.35</v>
      </c>
      <c r="E1222" s="1432"/>
      <c r="F1222" s="364" t="s">
        <v>1762</v>
      </c>
      <c r="G1222" s="364"/>
      <c r="H1222" s="1433" t="n">
        <f aca="false">D1222*12</f>
        <v>14224.2</v>
      </c>
      <c r="K1222" s="0"/>
      <c r="N1222" s="0"/>
      <c r="S1222" s="0"/>
      <c r="T1222" s="0"/>
      <c r="U1222" s="0"/>
      <c r="V1222" s="0"/>
      <c r="W1222" s="0"/>
      <c r="X1222" s="0"/>
      <c r="Y1222" s="0"/>
      <c r="Z1222" s="0"/>
      <c r="AA1222" s="0"/>
      <c r="AB1222" s="0"/>
      <c r="AC1222" s="0"/>
      <c r="AD1222" s="0"/>
      <c r="AE1222" s="0"/>
      <c r="AF1222" s="0"/>
      <c r="AG1222" s="0"/>
      <c r="AH1222" s="0"/>
      <c r="AI1222" s="0"/>
      <c r="AJ1222" s="0"/>
      <c r="AK1222" s="0"/>
      <c r="AL1222" s="0"/>
      <c r="AM1222" s="0"/>
      <c r="AN1222" s="0"/>
      <c r="AO1222" s="0"/>
      <c r="AP1222" s="0"/>
      <c r="AQ1222" s="0"/>
      <c r="AR1222" s="0"/>
      <c r="AS1222" s="0"/>
      <c r="AT1222" s="0"/>
      <c r="AU1222" s="0"/>
      <c r="AV1222" s="0"/>
      <c r="AW1222" s="0"/>
      <c r="AX1222" s="0"/>
      <c r="AY1222" s="0"/>
      <c r="AZ1222" s="0"/>
      <c r="BA1222" s="0"/>
      <c r="BB1222" s="0"/>
      <c r="BC1222" s="0"/>
      <c r="BD1222" s="0"/>
      <c r="BE1222" s="0"/>
      <c r="BF1222" s="0"/>
      <c r="BG1222" s="0"/>
      <c r="BH1222" s="0"/>
      <c r="BI1222" s="0"/>
      <c r="BJ1222" s="0"/>
      <c r="BK1222" s="0"/>
      <c r="BL1222" s="0"/>
      <c r="BM1222" s="0"/>
      <c r="BN1222" s="0"/>
      <c r="BO1222" s="0"/>
      <c r="BP1222" s="0"/>
      <c r="BQ1222" s="0"/>
      <c r="BR1222" s="0"/>
      <c r="BS1222" s="0"/>
      <c r="BT1222" s="0"/>
      <c r="BU1222" s="0"/>
      <c r="BV1222" s="0"/>
      <c r="BW1222" s="0"/>
      <c r="BX1222" s="0"/>
      <c r="BY1222" s="0"/>
      <c r="BZ1222" s="0"/>
      <c r="CA1222" s="0"/>
      <c r="CB1222" s="0"/>
      <c r="CC1222" s="0"/>
      <c r="CD1222" s="0"/>
      <c r="CE1222" s="0"/>
      <c r="CF1222" s="0"/>
      <c r="CG1222" s="0"/>
      <c r="CH1222" s="0"/>
      <c r="CI1222" s="0"/>
      <c r="CJ1222" s="0"/>
      <c r="CK1222" s="0"/>
      <c r="CL1222" s="0"/>
      <c r="CM1222" s="0"/>
      <c r="CN1222" s="0"/>
      <c r="CO1222" s="0"/>
      <c r="CP1222" s="0"/>
      <c r="CQ1222" s="0"/>
      <c r="CR1222" s="0"/>
      <c r="CS1222" s="0"/>
      <c r="CT1222" s="0"/>
      <c r="CU1222" s="0"/>
      <c r="CV1222" s="0"/>
      <c r="CW1222" s="0"/>
      <c r="CX1222" s="0"/>
      <c r="CY1222" s="0"/>
      <c r="CZ1222" s="0"/>
      <c r="DA1222" s="0"/>
      <c r="DB1222" s="0"/>
      <c r="DC1222" s="0"/>
      <c r="DD1222" s="0"/>
      <c r="DE1222" s="0"/>
      <c r="DF1222" s="0"/>
      <c r="DG1222" s="0"/>
      <c r="DH1222" s="0"/>
      <c r="DI1222" s="0"/>
      <c r="DJ1222" s="0"/>
      <c r="DK1222" s="0"/>
      <c r="DL1222" s="0"/>
      <c r="DM1222" s="0"/>
      <c r="DN1222" s="0"/>
      <c r="DO1222" s="0"/>
      <c r="DP1222" s="0"/>
      <c r="DQ1222" s="0"/>
      <c r="DR1222" s="0"/>
      <c r="DS1222" s="0"/>
      <c r="DT1222" s="0"/>
      <c r="DU1222" s="0"/>
      <c r="DV1222" s="0"/>
      <c r="DW1222" s="0"/>
      <c r="DX1222" s="0"/>
      <c r="DY1222" s="0"/>
      <c r="DZ1222" s="0"/>
      <c r="EA1222" s="0"/>
      <c r="EB1222" s="0"/>
      <c r="EC1222" s="0"/>
      <c r="ED1222" s="0"/>
      <c r="EE1222" s="0"/>
      <c r="EF1222" s="0"/>
      <c r="EG1222" s="0"/>
      <c r="EH1222" s="0"/>
      <c r="EI1222" s="0"/>
      <c r="EJ1222" s="0"/>
      <c r="EK1222" s="0"/>
      <c r="EL1222" s="0"/>
      <c r="EM1222" s="0"/>
      <c r="EN1222" s="0"/>
      <c r="EO1222" s="0"/>
      <c r="EP1222" s="0"/>
      <c r="EQ1222" s="0"/>
      <c r="ER1222" s="0"/>
      <c r="ES1222" s="0"/>
      <c r="ET1222" s="0"/>
      <c r="EU1222" s="0"/>
      <c r="EV1222" s="0"/>
      <c r="EW1222" s="0"/>
      <c r="EX1222" s="0"/>
      <c r="EY1222" s="0"/>
      <c r="EZ1222" s="0"/>
      <c r="FA1222" s="0"/>
      <c r="FB1222" s="0"/>
      <c r="FC1222" s="0"/>
      <c r="FD1222" s="0"/>
      <c r="FE1222" s="0"/>
      <c r="FF1222" s="0"/>
      <c r="FG1222" s="0"/>
      <c r="FH1222" s="0"/>
      <c r="FI1222" s="0"/>
      <c r="FJ1222" s="0"/>
      <c r="FK1222" s="0"/>
      <c r="FL1222" s="0"/>
      <c r="FM1222" s="0"/>
      <c r="FN1222" s="0"/>
      <c r="FO1222" s="0"/>
      <c r="FP1222" s="0"/>
      <c r="FQ1222" s="0"/>
      <c r="FR1222" s="0"/>
      <c r="FS1222" s="0"/>
      <c r="FT1222" s="0"/>
      <c r="FU1222" s="0"/>
      <c r="FV1222" s="0"/>
      <c r="FW1222" s="0"/>
      <c r="FX1222" s="0"/>
      <c r="FY1222" s="0"/>
      <c r="FZ1222" s="0"/>
      <c r="GA1222" s="0"/>
      <c r="GB1222" s="0"/>
      <c r="GC1222" s="0"/>
      <c r="GD1222" s="0"/>
      <c r="GE1222" s="0"/>
      <c r="GF1222" s="0"/>
      <c r="GG1222" s="0"/>
      <c r="GH1222" s="0"/>
      <c r="GI1222" s="0"/>
      <c r="GJ1222" s="0"/>
      <c r="GK1222" s="0"/>
      <c r="GL1222" s="0"/>
      <c r="GM1222" s="0"/>
      <c r="GN1222" s="0"/>
      <c r="GO1222" s="0"/>
      <c r="GP1222" s="0"/>
      <c r="GQ1222" s="0"/>
      <c r="GR1222" s="0"/>
      <c r="GS1222" s="0"/>
      <c r="GT1222" s="0"/>
      <c r="GU1222" s="0"/>
      <c r="GV1222" s="0"/>
      <c r="GW1222" s="0"/>
      <c r="GX1222" s="0"/>
      <c r="GY1222" s="0"/>
      <c r="GZ1222" s="0"/>
      <c r="HA1222" s="0"/>
      <c r="HB1222" s="0"/>
      <c r="HC1222" s="0"/>
      <c r="HD1222" s="0"/>
      <c r="HE1222" s="0"/>
      <c r="HF1222" s="0"/>
      <c r="HG1222" s="0"/>
      <c r="HH1222" s="0"/>
      <c r="HI1222" s="0"/>
      <c r="HJ1222" s="0"/>
      <c r="HK1222" s="0"/>
      <c r="HL1222" s="0"/>
      <c r="HM1222" s="0"/>
      <c r="HN1222" s="0"/>
      <c r="HO1222" s="0"/>
      <c r="HP1222" s="0"/>
      <c r="HQ1222" s="0"/>
      <c r="HR1222" s="0"/>
      <c r="HS1222" s="0"/>
      <c r="HT1222" s="0"/>
      <c r="HU1222" s="0"/>
      <c r="HV1222" s="0"/>
      <c r="HW1222" s="0"/>
      <c r="HX1222" s="0"/>
      <c r="HY1222" s="0"/>
      <c r="HZ1222" s="0"/>
      <c r="IA1222" s="0"/>
      <c r="IB1222" s="0"/>
      <c r="IC1222" s="0"/>
      <c r="ID1222" s="0"/>
      <c r="IE1222" s="0"/>
      <c r="IF1222" s="0"/>
      <c r="IG1222" s="0"/>
      <c r="IH1222" s="0"/>
      <c r="II1222" s="0"/>
      <c r="IJ1222" s="0"/>
      <c r="IK1222" s="0"/>
      <c r="IL1222" s="0"/>
      <c r="IM1222" s="0"/>
      <c r="IN1222" s="0"/>
      <c r="IO1222" s="0"/>
      <c r="IP1222" s="0"/>
      <c r="IQ1222" s="0"/>
      <c r="IR1222" s="0"/>
      <c r="IS1222" s="0"/>
      <c r="IT1222" s="0"/>
      <c r="IU1222" s="0"/>
      <c r="IV1222" s="0"/>
    </row>
    <row r="1223" customFormat="false" ht="15.75" hidden="false" customHeight="true" outlineLevel="0" collapsed="false">
      <c r="A1223" s="456"/>
      <c r="B1223" s="0"/>
      <c r="C1223" s="0"/>
      <c r="D1223" s="1310"/>
      <c r="E1223" s="1432"/>
      <c r="F1223" s="456"/>
      <c r="G1223" s="456"/>
      <c r="H1223" s="1332"/>
      <c r="K1223" s="0"/>
      <c r="N1223" s="0"/>
      <c r="S1223" s="0"/>
      <c r="T1223" s="0"/>
      <c r="U1223" s="0"/>
      <c r="V1223" s="0"/>
      <c r="W1223" s="0"/>
      <c r="X1223" s="0"/>
      <c r="Y1223" s="0"/>
      <c r="Z1223" s="0"/>
      <c r="AA1223" s="0"/>
      <c r="AB1223" s="0"/>
      <c r="AC1223" s="0"/>
      <c r="AD1223" s="0"/>
      <c r="AE1223" s="0"/>
      <c r="AF1223" s="0"/>
      <c r="AG1223" s="0"/>
      <c r="AH1223" s="0"/>
      <c r="AI1223" s="0"/>
      <c r="AJ1223" s="0"/>
      <c r="AK1223" s="0"/>
      <c r="AL1223" s="0"/>
      <c r="AM1223" s="0"/>
      <c r="AN1223" s="0"/>
      <c r="AO1223" s="0"/>
      <c r="AP1223" s="0"/>
      <c r="AQ1223" s="0"/>
      <c r="AR1223" s="0"/>
      <c r="AS1223" s="0"/>
      <c r="AT1223" s="0"/>
      <c r="AU1223" s="0"/>
      <c r="AV1223" s="0"/>
      <c r="AW1223" s="0"/>
      <c r="AX1223" s="0"/>
      <c r="AY1223" s="0"/>
      <c r="AZ1223" s="0"/>
      <c r="BA1223" s="0"/>
      <c r="BB1223" s="0"/>
      <c r="BC1223" s="0"/>
      <c r="BD1223" s="0"/>
      <c r="BE1223" s="0"/>
      <c r="BF1223" s="0"/>
      <c r="BG1223" s="0"/>
      <c r="BH1223" s="0"/>
      <c r="BI1223" s="0"/>
      <c r="BJ1223" s="0"/>
      <c r="BK1223" s="0"/>
      <c r="BL1223" s="0"/>
      <c r="BM1223" s="0"/>
      <c r="BN1223" s="0"/>
      <c r="BO1223" s="0"/>
      <c r="BP1223" s="0"/>
      <c r="BQ1223" s="0"/>
      <c r="BR1223" s="0"/>
      <c r="BS1223" s="0"/>
      <c r="BT1223" s="0"/>
      <c r="BU1223" s="0"/>
      <c r="BV1223" s="0"/>
      <c r="BW1223" s="0"/>
      <c r="BX1223" s="0"/>
      <c r="BY1223" s="0"/>
      <c r="BZ1223" s="0"/>
      <c r="CA1223" s="0"/>
      <c r="CB1223" s="0"/>
      <c r="CC1223" s="0"/>
      <c r="CD1223" s="0"/>
      <c r="CE1223" s="0"/>
      <c r="CF1223" s="0"/>
      <c r="CG1223" s="0"/>
      <c r="CH1223" s="0"/>
      <c r="CI1223" s="0"/>
      <c r="CJ1223" s="0"/>
      <c r="CK1223" s="0"/>
      <c r="CL1223" s="0"/>
      <c r="CM1223" s="0"/>
      <c r="CN1223" s="0"/>
      <c r="CO1223" s="0"/>
      <c r="CP1223" s="0"/>
      <c r="CQ1223" s="0"/>
      <c r="CR1223" s="0"/>
      <c r="CS1223" s="0"/>
      <c r="CT1223" s="0"/>
      <c r="CU1223" s="0"/>
      <c r="CV1223" s="0"/>
      <c r="CW1223" s="0"/>
      <c r="CX1223" s="0"/>
      <c r="CY1223" s="0"/>
      <c r="CZ1223" s="0"/>
      <c r="DA1223" s="0"/>
      <c r="DB1223" s="0"/>
      <c r="DC1223" s="0"/>
      <c r="DD1223" s="0"/>
      <c r="DE1223" s="0"/>
      <c r="DF1223" s="0"/>
      <c r="DG1223" s="0"/>
      <c r="DH1223" s="0"/>
      <c r="DI1223" s="0"/>
      <c r="DJ1223" s="0"/>
      <c r="DK1223" s="0"/>
      <c r="DL1223" s="0"/>
      <c r="DM1223" s="0"/>
      <c r="DN1223" s="0"/>
      <c r="DO1223" s="0"/>
      <c r="DP1223" s="0"/>
      <c r="DQ1223" s="0"/>
      <c r="DR1223" s="0"/>
      <c r="DS1223" s="0"/>
      <c r="DT1223" s="0"/>
      <c r="DU1223" s="0"/>
      <c r="DV1223" s="0"/>
      <c r="DW1223" s="0"/>
      <c r="DX1223" s="0"/>
      <c r="DY1223" s="0"/>
      <c r="DZ1223" s="0"/>
      <c r="EA1223" s="0"/>
      <c r="EB1223" s="0"/>
      <c r="EC1223" s="0"/>
      <c r="ED1223" s="0"/>
      <c r="EE1223" s="0"/>
      <c r="EF1223" s="0"/>
      <c r="EG1223" s="0"/>
      <c r="EH1223" s="0"/>
      <c r="EI1223" s="0"/>
      <c r="EJ1223" s="0"/>
      <c r="EK1223" s="0"/>
      <c r="EL1223" s="0"/>
      <c r="EM1223" s="0"/>
      <c r="EN1223" s="0"/>
      <c r="EO1223" s="0"/>
      <c r="EP1223" s="0"/>
      <c r="EQ1223" s="0"/>
      <c r="ER1223" s="0"/>
      <c r="ES1223" s="0"/>
      <c r="ET1223" s="0"/>
      <c r="EU1223" s="0"/>
      <c r="EV1223" s="0"/>
      <c r="EW1223" s="0"/>
      <c r="EX1223" s="0"/>
      <c r="EY1223" s="0"/>
      <c r="EZ1223" s="0"/>
      <c r="FA1223" s="0"/>
      <c r="FB1223" s="0"/>
      <c r="FC1223" s="0"/>
      <c r="FD1223" s="0"/>
      <c r="FE1223" s="0"/>
      <c r="FF1223" s="0"/>
      <c r="FG1223" s="0"/>
      <c r="FH1223" s="0"/>
      <c r="FI1223" s="0"/>
      <c r="FJ1223" s="0"/>
      <c r="FK1223" s="0"/>
      <c r="FL1223" s="0"/>
      <c r="FM1223" s="0"/>
      <c r="FN1223" s="0"/>
      <c r="FO1223" s="0"/>
      <c r="FP1223" s="0"/>
      <c r="FQ1223" s="0"/>
      <c r="FR1223" s="0"/>
      <c r="FS1223" s="0"/>
      <c r="FT1223" s="0"/>
      <c r="FU1223" s="0"/>
      <c r="FV1223" s="0"/>
      <c r="FW1223" s="0"/>
      <c r="FX1223" s="0"/>
      <c r="FY1223" s="0"/>
      <c r="FZ1223" s="0"/>
      <c r="GA1223" s="0"/>
      <c r="GB1223" s="0"/>
      <c r="GC1223" s="0"/>
      <c r="GD1223" s="0"/>
      <c r="GE1223" s="0"/>
      <c r="GF1223" s="0"/>
      <c r="GG1223" s="0"/>
      <c r="GH1223" s="0"/>
      <c r="GI1223" s="0"/>
      <c r="GJ1223" s="0"/>
      <c r="GK1223" s="0"/>
      <c r="GL1223" s="0"/>
      <c r="GM1223" s="0"/>
      <c r="GN1223" s="0"/>
      <c r="GO1223" s="0"/>
      <c r="GP1223" s="0"/>
      <c r="GQ1223" s="0"/>
      <c r="GR1223" s="0"/>
      <c r="GS1223" s="0"/>
      <c r="GT1223" s="0"/>
      <c r="GU1223" s="0"/>
      <c r="GV1223" s="0"/>
      <c r="GW1223" s="0"/>
      <c r="GX1223" s="0"/>
      <c r="GY1223" s="0"/>
      <c r="GZ1223" s="0"/>
      <c r="HA1223" s="0"/>
      <c r="HB1223" s="0"/>
      <c r="HC1223" s="0"/>
      <c r="HD1223" s="0"/>
      <c r="HE1223" s="0"/>
      <c r="HF1223" s="0"/>
      <c r="HG1223" s="0"/>
      <c r="HH1223" s="0"/>
      <c r="HI1223" s="0"/>
      <c r="HJ1223" s="0"/>
      <c r="HK1223" s="0"/>
      <c r="HL1223" s="0"/>
      <c r="HM1223" s="0"/>
      <c r="HN1223" s="0"/>
      <c r="HO1223" s="0"/>
      <c r="HP1223" s="0"/>
      <c r="HQ1223" s="0"/>
      <c r="HR1223" s="0"/>
      <c r="HS1223" s="0"/>
      <c r="HT1223" s="0"/>
      <c r="HU1223" s="0"/>
      <c r="HV1223" s="0"/>
      <c r="HW1223" s="0"/>
      <c r="HX1223" s="0"/>
      <c r="HY1223" s="0"/>
      <c r="HZ1223" s="0"/>
      <c r="IA1223" s="0"/>
      <c r="IB1223" s="0"/>
      <c r="IC1223" s="0"/>
      <c r="ID1223" s="0"/>
      <c r="IE1223" s="0"/>
      <c r="IF1223" s="0"/>
      <c r="IG1223" s="0"/>
      <c r="IH1223" s="0"/>
      <c r="II1223" s="0"/>
      <c r="IJ1223" s="0"/>
      <c r="IK1223" s="0"/>
      <c r="IL1223" s="0"/>
      <c r="IM1223" s="0"/>
      <c r="IN1223" s="0"/>
      <c r="IO1223" s="0"/>
      <c r="IP1223" s="0"/>
      <c r="IQ1223" s="0"/>
      <c r="IR1223" s="0"/>
      <c r="IS1223" s="0"/>
      <c r="IT1223" s="0"/>
      <c r="IU1223" s="0"/>
      <c r="IV1223" s="0"/>
    </row>
    <row r="1224" customFormat="false" ht="15" hidden="false" customHeight="true" outlineLevel="0" collapsed="false">
      <c r="A1224" s="456"/>
      <c r="B1224" s="12"/>
      <c r="C1224" s="909" t="s">
        <v>1763</v>
      </c>
      <c r="D1224" s="1299" t="n">
        <f aca="false">D1220/H1222</f>
        <v>1.49177985405155</v>
      </c>
      <c r="E1224" s="1432"/>
      <c r="F1224" s="456"/>
      <c r="G1224" s="456"/>
      <c r="H1224" s="1332"/>
      <c r="K1224" s="0"/>
      <c r="N1224" s="0"/>
      <c r="S1224" s="0"/>
      <c r="T1224" s="0"/>
      <c r="U1224" s="0"/>
      <c r="V1224" s="0"/>
      <c r="W1224" s="0"/>
      <c r="X1224" s="0"/>
      <c r="Y1224" s="0"/>
      <c r="Z1224" s="0"/>
      <c r="AA1224" s="0"/>
      <c r="AB1224" s="0"/>
      <c r="AC1224" s="0"/>
      <c r="AD1224" s="0"/>
      <c r="AE1224" s="0"/>
      <c r="AF1224" s="0"/>
      <c r="AG1224" s="0"/>
      <c r="AH1224" s="0"/>
      <c r="AI1224" s="0"/>
      <c r="AJ1224" s="0"/>
      <c r="AK1224" s="0"/>
      <c r="AL1224" s="0"/>
      <c r="AM1224" s="0"/>
      <c r="AN1224" s="0"/>
      <c r="AO1224" s="0"/>
      <c r="AP1224" s="0"/>
      <c r="AQ1224" s="0"/>
      <c r="AR1224" s="0"/>
      <c r="AS1224" s="0"/>
      <c r="AT1224" s="0"/>
      <c r="AU1224" s="0"/>
      <c r="AV1224" s="0"/>
      <c r="AW1224" s="0"/>
      <c r="AX1224" s="0"/>
      <c r="AY1224" s="0"/>
      <c r="AZ1224" s="0"/>
      <c r="BA1224" s="0"/>
      <c r="BB1224" s="0"/>
      <c r="BC1224" s="0"/>
      <c r="BD1224" s="0"/>
      <c r="BE1224" s="0"/>
      <c r="BF1224" s="0"/>
      <c r="BG1224" s="0"/>
      <c r="BH1224" s="0"/>
      <c r="BI1224" s="0"/>
      <c r="BJ1224" s="0"/>
      <c r="BK1224" s="0"/>
      <c r="BL1224" s="0"/>
      <c r="BM1224" s="0"/>
      <c r="BN1224" s="0"/>
      <c r="BO1224" s="0"/>
      <c r="BP1224" s="0"/>
      <c r="BQ1224" s="0"/>
      <c r="BR1224" s="0"/>
      <c r="BS1224" s="0"/>
      <c r="BT1224" s="0"/>
      <c r="BU1224" s="0"/>
      <c r="BV1224" s="0"/>
      <c r="BW1224" s="0"/>
      <c r="BX1224" s="0"/>
      <c r="BY1224" s="0"/>
      <c r="BZ1224" s="0"/>
      <c r="CA1224" s="0"/>
      <c r="CB1224" s="0"/>
      <c r="CC1224" s="0"/>
      <c r="CD1224" s="0"/>
      <c r="CE1224" s="0"/>
      <c r="CF1224" s="0"/>
      <c r="CG1224" s="0"/>
      <c r="CH1224" s="0"/>
      <c r="CI1224" s="0"/>
      <c r="CJ1224" s="0"/>
      <c r="CK1224" s="0"/>
      <c r="CL1224" s="0"/>
      <c r="CM1224" s="0"/>
      <c r="CN1224" s="0"/>
      <c r="CO1224" s="0"/>
      <c r="CP1224" s="0"/>
      <c r="CQ1224" s="0"/>
      <c r="CR1224" s="0"/>
      <c r="CS1224" s="0"/>
      <c r="CT1224" s="0"/>
      <c r="CU1224" s="0"/>
      <c r="CV1224" s="0"/>
      <c r="CW1224" s="0"/>
      <c r="CX1224" s="0"/>
      <c r="CY1224" s="0"/>
      <c r="CZ1224" s="0"/>
      <c r="DA1224" s="0"/>
      <c r="DB1224" s="0"/>
      <c r="DC1224" s="0"/>
      <c r="DD1224" s="0"/>
      <c r="DE1224" s="0"/>
      <c r="DF1224" s="0"/>
      <c r="DG1224" s="0"/>
      <c r="DH1224" s="0"/>
      <c r="DI1224" s="0"/>
      <c r="DJ1224" s="0"/>
      <c r="DK1224" s="0"/>
      <c r="DL1224" s="0"/>
      <c r="DM1224" s="0"/>
      <c r="DN1224" s="0"/>
      <c r="DO1224" s="0"/>
      <c r="DP1224" s="0"/>
      <c r="DQ1224" s="0"/>
      <c r="DR1224" s="0"/>
      <c r="DS1224" s="0"/>
      <c r="DT1224" s="0"/>
      <c r="DU1224" s="0"/>
      <c r="DV1224" s="0"/>
      <c r="DW1224" s="0"/>
      <c r="DX1224" s="0"/>
      <c r="DY1224" s="0"/>
      <c r="DZ1224" s="0"/>
      <c r="EA1224" s="0"/>
      <c r="EB1224" s="0"/>
      <c r="EC1224" s="0"/>
      <c r="ED1224" s="0"/>
      <c r="EE1224" s="0"/>
      <c r="EF1224" s="0"/>
      <c r="EG1224" s="0"/>
      <c r="EH1224" s="0"/>
      <c r="EI1224" s="0"/>
      <c r="EJ1224" s="0"/>
      <c r="EK1224" s="0"/>
      <c r="EL1224" s="0"/>
      <c r="EM1224" s="0"/>
      <c r="EN1224" s="0"/>
      <c r="EO1224" s="0"/>
      <c r="EP1224" s="0"/>
      <c r="EQ1224" s="0"/>
      <c r="ER1224" s="0"/>
      <c r="ES1224" s="0"/>
      <c r="ET1224" s="0"/>
      <c r="EU1224" s="0"/>
      <c r="EV1224" s="0"/>
      <c r="EW1224" s="0"/>
      <c r="EX1224" s="0"/>
      <c r="EY1224" s="0"/>
      <c r="EZ1224" s="0"/>
      <c r="FA1224" s="0"/>
      <c r="FB1224" s="0"/>
      <c r="FC1224" s="0"/>
      <c r="FD1224" s="0"/>
      <c r="FE1224" s="0"/>
      <c r="FF1224" s="0"/>
      <c r="FG1224" s="0"/>
      <c r="FH1224" s="0"/>
      <c r="FI1224" s="0"/>
      <c r="FJ1224" s="0"/>
      <c r="FK1224" s="0"/>
      <c r="FL1224" s="0"/>
      <c r="FM1224" s="0"/>
      <c r="FN1224" s="0"/>
      <c r="FO1224" s="0"/>
      <c r="FP1224" s="0"/>
      <c r="FQ1224" s="0"/>
      <c r="FR1224" s="0"/>
      <c r="FS1224" s="0"/>
      <c r="FT1224" s="0"/>
      <c r="FU1224" s="0"/>
      <c r="FV1224" s="0"/>
      <c r="FW1224" s="0"/>
      <c r="FX1224" s="0"/>
      <c r="FY1224" s="0"/>
      <c r="FZ1224" s="0"/>
      <c r="GA1224" s="0"/>
      <c r="GB1224" s="0"/>
      <c r="GC1224" s="0"/>
      <c r="GD1224" s="0"/>
      <c r="GE1224" s="0"/>
      <c r="GF1224" s="0"/>
      <c r="GG1224" s="0"/>
      <c r="GH1224" s="0"/>
      <c r="GI1224" s="0"/>
      <c r="GJ1224" s="0"/>
      <c r="GK1224" s="0"/>
      <c r="GL1224" s="0"/>
      <c r="GM1224" s="0"/>
      <c r="GN1224" s="0"/>
      <c r="GO1224" s="0"/>
      <c r="GP1224" s="0"/>
      <c r="GQ1224" s="0"/>
      <c r="GR1224" s="0"/>
      <c r="GS1224" s="0"/>
      <c r="GT1224" s="0"/>
      <c r="GU1224" s="0"/>
      <c r="GV1224" s="0"/>
      <c r="GW1224" s="0"/>
      <c r="GX1224" s="0"/>
      <c r="GY1224" s="0"/>
      <c r="GZ1224" s="0"/>
      <c r="HA1224" s="0"/>
      <c r="HB1224" s="0"/>
      <c r="HC1224" s="0"/>
      <c r="HD1224" s="0"/>
      <c r="HE1224" s="0"/>
      <c r="HF1224" s="0"/>
      <c r="HG1224" s="0"/>
      <c r="HH1224" s="0"/>
      <c r="HI1224" s="0"/>
      <c r="HJ1224" s="0"/>
      <c r="HK1224" s="0"/>
      <c r="HL1224" s="0"/>
      <c r="HM1224" s="0"/>
      <c r="HN1224" s="0"/>
      <c r="HO1224" s="0"/>
      <c r="HP1224" s="0"/>
      <c r="HQ1224" s="0"/>
      <c r="HR1224" s="0"/>
      <c r="HS1224" s="0"/>
      <c r="HT1224" s="0"/>
      <c r="HU1224" s="0"/>
      <c r="HV1224" s="0"/>
      <c r="HW1224" s="0"/>
      <c r="HX1224" s="0"/>
      <c r="HY1224" s="0"/>
      <c r="HZ1224" s="0"/>
      <c r="IA1224" s="0"/>
      <c r="IB1224" s="0"/>
      <c r="IC1224" s="0"/>
      <c r="ID1224" s="0"/>
      <c r="IE1224" s="0"/>
      <c r="IF1224" s="0"/>
      <c r="IG1224" s="0"/>
      <c r="IH1224" s="0"/>
      <c r="II1224" s="0"/>
      <c r="IJ1224" s="0"/>
      <c r="IK1224" s="0"/>
      <c r="IL1224" s="0"/>
      <c r="IM1224" s="0"/>
      <c r="IN1224" s="0"/>
      <c r="IO1224" s="0"/>
      <c r="IP1224" s="0"/>
      <c r="IQ1224" s="0"/>
      <c r="IR1224" s="0"/>
      <c r="IS1224" s="0"/>
      <c r="IT1224" s="0"/>
      <c r="IU1224" s="0"/>
      <c r="IV1224" s="0"/>
    </row>
    <row r="1225" customFormat="false" ht="15.75" hidden="false" customHeight="true" outlineLevel="0" collapsed="false">
      <c r="A1225" s="456"/>
      <c r="B1225" s="12"/>
      <c r="C1225" s="909"/>
      <c r="D1225" s="1299"/>
      <c r="E1225" s="1432"/>
      <c r="F1225" s="456"/>
      <c r="G1225" s="456"/>
      <c r="H1225" s="1332"/>
      <c r="K1225" s="0"/>
      <c r="N1225" s="0"/>
      <c r="S1225" s="0"/>
      <c r="T1225" s="0"/>
      <c r="U1225" s="0"/>
      <c r="V1225" s="0"/>
      <c r="W1225" s="0"/>
      <c r="X1225" s="0"/>
      <c r="Y1225" s="0"/>
      <c r="Z1225" s="0"/>
      <c r="AA1225" s="0"/>
      <c r="AB1225" s="0"/>
      <c r="AC1225" s="0"/>
      <c r="AD1225" s="0"/>
      <c r="AE1225" s="0"/>
      <c r="AF1225" s="0"/>
      <c r="AG1225" s="0"/>
      <c r="AH1225" s="0"/>
      <c r="AI1225" s="0"/>
      <c r="AJ1225" s="0"/>
      <c r="AK1225" s="0"/>
      <c r="AL1225" s="0"/>
      <c r="AM1225" s="0"/>
      <c r="AN1225" s="0"/>
      <c r="AO1225" s="0"/>
      <c r="AP1225" s="0"/>
      <c r="AQ1225" s="0"/>
      <c r="AR1225" s="0"/>
      <c r="AS1225" s="0"/>
      <c r="AT1225" s="0"/>
      <c r="AU1225" s="0"/>
      <c r="AV1225" s="0"/>
      <c r="AW1225" s="0"/>
      <c r="AX1225" s="0"/>
      <c r="AY1225" s="0"/>
      <c r="AZ1225" s="0"/>
      <c r="BA1225" s="0"/>
      <c r="BB1225" s="0"/>
      <c r="BC1225" s="0"/>
      <c r="BD1225" s="0"/>
      <c r="BE1225" s="0"/>
      <c r="BF1225" s="0"/>
      <c r="BG1225" s="0"/>
      <c r="BH1225" s="0"/>
      <c r="BI1225" s="0"/>
      <c r="BJ1225" s="0"/>
      <c r="BK1225" s="0"/>
      <c r="BL1225" s="0"/>
      <c r="BM1225" s="0"/>
      <c r="BN1225" s="0"/>
      <c r="BO1225" s="0"/>
      <c r="BP1225" s="0"/>
      <c r="BQ1225" s="0"/>
      <c r="BR1225" s="0"/>
      <c r="BS1225" s="0"/>
      <c r="BT1225" s="0"/>
      <c r="BU1225" s="0"/>
      <c r="BV1225" s="0"/>
      <c r="BW1225" s="0"/>
      <c r="BX1225" s="0"/>
      <c r="BY1225" s="0"/>
      <c r="BZ1225" s="0"/>
      <c r="CA1225" s="0"/>
      <c r="CB1225" s="0"/>
      <c r="CC1225" s="0"/>
      <c r="CD1225" s="0"/>
      <c r="CE1225" s="0"/>
      <c r="CF1225" s="0"/>
      <c r="CG1225" s="0"/>
      <c r="CH1225" s="0"/>
      <c r="CI1225" s="0"/>
      <c r="CJ1225" s="0"/>
      <c r="CK1225" s="0"/>
      <c r="CL1225" s="0"/>
      <c r="CM1225" s="0"/>
      <c r="CN1225" s="0"/>
      <c r="CO1225" s="0"/>
      <c r="CP1225" s="0"/>
      <c r="CQ1225" s="0"/>
      <c r="CR1225" s="0"/>
      <c r="CS1225" s="0"/>
      <c r="CT1225" s="0"/>
      <c r="CU1225" s="0"/>
      <c r="CV1225" s="0"/>
      <c r="CW1225" s="0"/>
      <c r="CX1225" s="0"/>
      <c r="CY1225" s="0"/>
      <c r="CZ1225" s="0"/>
      <c r="DA1225" s="0"/>
      <c r="DB1225" s="0"/>
      <c r="DC1225" s="0"/>
      <c r="DD1225" s="0"/>
      <c r="DE1225" s="0"/>
      <c r="DF1225" s="0"/>
      <c r="DG1225" s="0"/>
      <c r="DH1225" s="0"/>
      <c r="DI1225" s="0"/>
      <c r="DJ1225" s="0"/>
      <c r="DK1225" s="0"/>
      <c r="DL1225" s="0"/>
      <c r="DM1225" s="0"/>
      <c r="DN1225" s="0"/>
      <c r="DO1225" s="0"/>
      <c r="DP1225" s="0"/>
      <c r="DQ1225" s="0"/>
      <c r="DR1225" s="0"/>
      <c r="DS1225" s="0"/>
      <c r="DT1225" s="0"/>
      <c r="DU1225" s="0"/>
      <c r="DV1225" s="0"/>
      <c r="DW1225" s="0"/>
      <c r="DX1225" s="0"/>
      <c r="DY1225" s="0"/>
      <c r="DZ1225" s="0"/>
      <c r="EA1225" s="0"/>
      <c r="EB1225" s="0"/>
      <c r="EC1225" s="0"/>
      <c r="ED1225" s="0"/>
      <c r="EE1225" s="0"/>
      <c r="EF1225" s="0"/>
      <c r="EG1225" s="0"/>
      <c r="EH1225" s="0"/>
      <c r="EI1225" s="0"/>
      <c r="EJ1225" s="0"/>
      <c r="EK1225" s="0"/>
      <c r="EL1225" s="0"/>
      <c r="EM1225" s="0"/>
      <c r="EN1225" s="0"/>
      <c r="EO1225" s="0"/>
      <c r="EP1225" s="0"/>
      <c r="EQ1225" s="0"/>
      <c r="ER1225" s="0"/>
      <c r="ES1225" s="0"/>
      <c r="ET1225" s="0"/>
      <c r="EU1225" s="0"/>
      <c r="EV1225" s="0"/>
      <c r="EW1225" s="0"/>
      <c r="EX1225" s="0"/>
      <c r="EY1225" s="0"/>
      <c r="EZ1225" s="0"/>
      <c r="FA1225" s="0"/>
      <c r="FB1225" s="0"/>
      <c r="FC1225" s="0"/>
      <c r="FD1225" s="0"/>
      <c r="FE1225" s="0"/>
      <c r="FF1225" s="0"/>
      <c r="FG1225" s="0"/>
      <c r="FH1225" s="0"/>
      <c r="FI1225" s="0"/>
      <c r="FJ1225" s="0"/>
      <c r="FK1225" s="0"/>
      <c r="FL1225" s="0"/>
      <c r="FM1225" s="0"/>
      <c r="FN1225" s="0"/>
      <c r="FO1225" s="0"/>
      <c r="FP1225" s="0"/>
      <c r="FQ1225" s="0"/>
      <c r="FR1225" s="0"/>
      <c r="FS1225" s="0"/>
      <c r="FT1225" s="0"/>
      <c r="FU1225" s="0"/>
      <c r="FV1225" s="0"/>
      <c r="FW1225" s="0"/>
      <c r="FX1225" s="0"/>
      <c r="FY1225" s="0"/>
      <c r="FZ1225" s="0"/>
      <c r="GA1225" s="0"/>
      <c r="GB1225" s="0"/>
      <c r="GC1225" s="0"/>
      <c r="GD1225" s="0"/>
      <c r="GE1225" s="0"/>
      <c r="GF1225" s="0"/>
      <c r="GG1225" s="0"/>
      <c r="GH1225" s="0"/>
      <c r="GI1225" s="0"/>
      <c r="GJ1225" s="0"/>
      <c r="GK1225" s="0"/>
      <c r="GL1225" s="0"/>
      <c r="GM1225" s="0"/>
      <c r="GN1225" s="0"/>
      <c r="GO1225" s="0"/>
      <c r="GP1225" s="0"/>
      <c r="GQ1225" s="0"/>
      <c r="GR1225" s="0"/>
      <c r="GS1225" s="0"/>
      <c r="GT1225" s="0"/>
      <c r="GU1225" s="0"/>
      <c r="GV1225" s="0"/>
      <c r="GW1225" s="0"/>
      <c r="GX1225" s="0"/>
      <c r="GY1225" s="0"/>
      <c r="GZ1225" s="0"/>
      <c r="HA1225" s="0"/>
      <c r="HB1225" s="0"/>
      <c r="HC1225" s="0"/>
      <c r="HD1225" s="0"/>
      <c r="HE1225" s="0"/>
      <c r="HF1225" s="0"/>
      <c r="HG1225" s="0"/>
      <c r="HH1225" s="0"/>
      <c r="HI1225" s="0"/>
      <c r="HJ1225" s="0"/>
      <c r="HK1225" s="0"/>
      <c r="HL1225" s="0"/>
      <c r="HM1225" s="0"/>
      <c r="HN1225" s="0"/>
      <c r="HO1225" s="0"/>
      <c r="HP1225" s="0"/>
      <c r="HQ1225" s="0"/>
      <c r="HR1225" s="0"/>
      <c r="HS1225" s="0"/>
      <c r="HT1225" s="0"/>
      <c r="HU1225" s="0"/>
      <c r="HV1225" s="0"/>
      <c r="HW1225" s="0"/>
      <c r="HX1225" s="0"/>
      <c r="HY1225" s="0"/>
      <c r="HZ1225" s="0"/>
      <c r="IA1225" s="0"/>
      <c r="IB1225" s="0"/>
      <c r="IC1225" s="0"/>
      <c r="ID1225" s="0"/>
      <c r="IE1225" s="0"/>
      <c r="IF1225" s="0"/>
      <c r="IG1225" s="0"/>
      <c r="IH1225" s="0"/>
      <c r="II1225" s="0"/>
      <c r="IJ1225" s="0"/>
      <c r="IK1225" s="0"/>
      <c r="IL1225" s="0"/>
      <c r="IM1225" s="0"/>
      <c r="IN1225" s="0"/>
      <c r="IO1225" s="0"/>
      <c r="IP1225" s="0"/>
      <c r="IQ1225" s="0"/>
      <c r="IR1225" s="0"/>
      <c r="IS1225" s="0"/>
      <c r="IT1225" s="0"/>
      <c r="IU1225" s="0"/>
      <c r="IV1225" s="0"/>
    </row>
    <row r="1226" s="55" customFormat="true" ht="15" hidden="false" customHeight="true" outlineLevel="0" collapsed="false">
      <c r="A1226" s="456"/>
      <c r="D1226" s="1310"/>
      <c r="E1226" s="1432"/>
      <c r="F1226" s="456"/>
      <c r="G1226" s="456"/>
      <c r="H1226" s="1332"/>
      <c r="I1226" s="11"/>
      <c r="J1226" s="12"/>
      <c r="L1226" s="11"/>
      <c r="M1226" s="11"/>
      <c r="O1226" s="11"/>
      <c r="P1226" s="11"/>
      <c r="Q1226" s="11"/>
      <c r="R1226" s="11"/>
    </row>
    <row r="1227" s="55" customFormat="true" ht="15.75" hidden="false" customHeight="true" outlineLevel="0" collapsed="false">
      <c r="A1227" s="456"/>
      <c r="B1227" s="11"/>
      <c r="C1227" s="11"/>
      <c r="D1227" s="1310"/>
      <c r="E1227" s="1432"/>
      <c r="F1227" s="456"/>
      <c r="G1227" s="456"/>
      <c r="H1227" s="1332"/>
      <c r="I1227" s="11"/>
      <c r="J1227" s="12"/>
      <c r="L1227" s="11"/>
      <c r="M1227" s="11"/>
      <c r="O1227" s="11"/>
      <c r="P1227" s="11"/>
      <c r="Q1227" s="11"/>
      <c r="R1227" s="11"/>
    </row>
    <row r="1228" s="55" customFormat="true" ht="28.5" hidden="false" customHeight="true" outlineLevel="0" collapsed="false">
      <c r="A1228" s="971" t="s">
        <v>873</v>
      </c>
      <c r="B1228" s="971"/>
      <c r="C1228" s="971"/>
      <c r="D1228" s="1268" t="n">
        <v>4</v>
      </c>
      <c r="E1228" s="443"/>
      <c r="F1228" s="19"/>
      <c r="G1228" s="19"/>
      <c r="I1228" s="19"/>
      <c r="J1228" s="667"/>
      <c r="K1228" s="650"/>
      <c r="L1228" s="1435"/>
      <c r="M1228" s="11"/>
      <c r="O1228" s="11"/>
      <c r="P1228" s="11"/>
      <c r="Q1228" s="11"/>
      <c r="R1228" s="11"/>
    </row>
    <row r="1229" customFormat="false" ht="15" hidden="false" customHeight="true" outlineLevel="0" collapsed="false">
      <c r="A1229" s="456"/>
      <c r="D1229" s="1310"/>
      <c r="E1229" s="1432"/>
      <c r="F1229" s="456"/>
      <c r="G1229" s="456"/>
      <c r="H1229" s="1332"/>
      <c r="K1229" s="55"/>
      <c r="N1229" s="0"/>
      <c r="S1229" s="0"/>
      <c r="T1229" s="0"/>
      <c r="U1229" s="0"/>
      <c r="V1229" s="0"/>
      <c r="W1229" s="0"/>
      <c r="X1229" s="0"/>
      <c r="Y1229" s="0"/>
      <c r="Z1229" s="0"/>
      <c r="AA1229" s="0"/>
      <c r="AB1229" s="0"/>
      <c r="AC1229" s="0"/>
      <c r="AD1229" s="0"/>
      <c r="AE1229" s="0"/>
      <c r="AF1229" s="0"/>
      <c r="AG1229" s="0"/>
      <c r="AH1229" s="0"/>
      <c r="AI1229" s="0"/>
      <c r="AJ1229" s="0"/>
      <c r="AK1229" s="0"/>
      <c r="AL1229" s="0"/>
      <c r="AM1229" s="0"/>
      <c r="AN1229" s="0"/>
      <c r="AO1229" s="0"/>
      <c r="AP1229" s="0"/>
      <c r="AQ1229" s="0"/>
      <c r="AR1229" s="0"/>
      <c r="AS1229" s="0"/>
      <c r="AT1229" s="0"/>
      <c r="AU1229" s="0"/>
      <c r="AV1229" s="0"/>
      <c r="AW1229" s="0"/>
      <c r="AX1229" s="0"/>
      <c r="AY1229" s="0"/>
      <c r="AZ1229" s="0"/>
      <c r="BA1229" s="0"/>
      <c r="BB1229" s="0"/>
      <c r="BC1229" s="0"/>
      <c r="BD1229" s="0"/>
      <c r="BE1229" s="0"/>
      <c r="BF1229" s="0"/>
      <c r="BG1229" s="0"/>
      <c r="BH1229" s="0"/>
      <c r="BI1229" s="0"/>
      <c r="BJ1229" s="0"/>
      <c r="BK1229" s="0"/>
      <c r="BL1229" s="0"/>
      <c r="BM1229" s="0"/>
      <c r="BN1229" s="0"/>
      <c r="BO1229" s="0"/>
      <c r="BP1229" s="0"/>
      <c r="BQ1229" s="0"/>
      <c r="BR1229" s="0"/>
      <c r="BS1229" s="0"/>
      <c r="BT1229" s="0"/>
      <c r="BU1229" s="0"/>
      <c r="BV1229" s="0"/>
      <c r="BW1229" s="0"/>
      <c r="BX1229" s="0"/>
      <c r="BY1229" s="0"/>
      <c r="BZ1229" s="0"/>
      <c r="CA1229" s="0"/>
      <c r="CB1229" s="0"/>
      <c r="CC1229" s="0"/>
      <c r="CD1229" s="0"/>
      <c r="CE1229" s="0"/>
      <c r="CF1229" s="0"/>
      <c r="CG1229" s="0"/>
      <c r="CH1229" s="0"/>
      <c r="CI1229" s="0"/>
      <c r="CJ1229" s="0"/>
      <c r="CK1229" s="0"/>
      <c r="CL1229" s="0"/>
      <c r="CM1229" s="0"/>
      <c r="CN1229" s="0"/>
      <c r="CO1229" s="0"/>
      <c r="CP1229" s="0"/>
      <c r="CQ1229" s="0"/>
      <c r="CR1229" s="0"/>
      <c r="CS1229" s="0"/>
      <c r="CT1229" s="0"/>
      <c r="CU1229" s="0"/>
      <c r="CV1229" s="0"/>
      <c r="CW1229" s="0"/>
      <c r="CX1229" s="0"/>
      <c r="CY1229" s="0"/>
      <c r="CZ1229" s="0"/>
      <c r="DA1229" s="0"/>
      <c r="DB1229" s="0"/>
      <c r="DC1229" s="0"/>
      <c r="DD1229" s="0"/>
      <c r="DE1229" s="0"/>
      <c r="DF1229" s="0"/>
      <c r="DG1229" s="0"/>
      <c r="DH1229" s="0"/>
      <c r="DI1229" s="0"/>
      <c r="DJ1229" s="0"/>
      <c r="DK1229" s="0"/>
      <c r="DL1229" s="0"/>
      <c r="DM1229" s="0"/>
      <c r="DN1229" s="0"/>
      <c r="DO1229" s="0"/>
      <c r="DP1229" s="0"/>
      <c r="DQ1229" s="0"/>
      <c r="DR1229" s="0"/>
      <c r="DS1229" s="0"/>
      <c r="DT1229" s="0"/>
      <c r="DU1229" s="0"/>
      <c r="DV1229" s="0"/>
      <c r="DW1229" s="0"/>
      <c r="DX1229" s="0"/>
      <c r="DY1229" s="0"/>
      <c r="DZ1229" s="0"/>
      <c r="EA1229" s="0"/>
      <c r="EB1229" s="0"/>
      <c r="EC1229" s="0"/>
      <c r="ED1229" s="0"/>
      <c r="EE1229" s="0"/>
      <c r="EF1229" s="0"/>
      <c r="EG1229" s="0"/>
      <c r="EH1229" s="0"/>
      <c r="EI1229" s="0"/>
      <c r="EJ1229" s="0"/>
      <c r="EK1229" s="0"/>
      <c r="EL1229" s="0"/>
      <c r="EM1229" s="0"/>
      <c r="EN1229" s="0"/>
      <c r="EO1229" s="0"/>
      <c r="EP1229" s="0"/>
      <c r="EQ1229" s="0"/>
      <c r="ER1229" s="0"/>
      <c r="ES1229" s="0"/>
      <c r="ET1229" s="0"/>
      <c r="EU1229" s="0"/>
      <c r="EV1229" s="0"/>
      <c r="EW1229" s="0"/>
      <c r="EX1229" s="0"/>
      <c r="EY1229" s="0"/>
      <c r="EZ1229" s="0"/>
      <c r="FA1229" s="0"/>
      <c r="FB1229" s="0"/>
      <c r="FC1229" s="0"/>
      <c r="FD1229" s="0"/>
      <c r="FE1229" s="0"/>
      <c r="FF1229" s="0"/>
      <c r="FG1229" s="0"/>
      <c r="FH1229" s="0"/>
      <c r="FI1229" s="0"/>
      <c r="FJ1229" s="0"/>
      <c r="FK1229" s="0"/>
      <c r="FL1229" s="0"/>
      <c r="FM1229" s="0"/>
      <c r="FN1229" s="0"/>
      <c r="FO1229" s="0"/>
      <c r="FP1229" s="0"/>
      <c r="FQ1229" s="0"/>
      <c r="FR1229" s="0"/>
      <c r="FS1229" s="0"/>
      <c r="FT1229" s="0"/>
      <c r="FU1229" s="0"/>
      <c r="FV1229" s="0"/>
      <c r="FW1229" s="0"/>
      <c r="FX1229" s="0"/>
      <c r="FY1229" s="0"/>
      <c r="FZ1229" s="0"/>
      <c r="GA1229" s="0"/>
      <c r="GB1229" s="0"/>
      <c r="GC1229" s="0"/>
      <c r="GD1229" s="0"/>
      <c r="GE1229" s="0"/>
      <c r="GF1229" s="0"/>
      <c r="GG1229" s="0"/>
      <c r="GH1229" s="0"/>
      <c r="GI1229" s="0"/>
      <c r="GJ1229" s="0"/>
      <c r="GK1229" s="0"/>
      <c r="GL1229" s="0"/>
      <c r="GM1229" s="0"/>
      <c r="GN1229" s="0"/>
      <c r="GO1229" s="0"/>
      <c r="GP1229" s="0"/>
      <c r="GQ1229" s="0"/>
      <c r="GR1229" s="0"/>
      <c r="GS1229" s="0"/>
      <c r="GT1229" s="0"/>
      <c r="GU1229" s="0"/>
      <c r="GV1229" s="0"/>
      <c r="GW1229" s="0"/>
      <c r="GX1229" s="0"/>
      <c r="GY1229" s="0"/>
      <c r="GZ1229" s="0"/>
      <c r="HA1229" s="0"/>
      <c r="HB1229" s="0"/>
      <c r="HC1229" s="0"/>
      <c r="HD1229" s="0"/>
      <c r="HE1229" s="0"/>
      <c r="HF1229" s="0"/>
      <c r="HG1229" s="0"/>
      <c r="HH1229" s="0"/>
      <c r="HI1229" s="0"/>
      <c r="HJ1229" s="0"/>
      <c r="HK1229" s="0"/>
      <c r="HL1229" s="0"/>
      <c r="HM1229" s="0"/>
      <c r="HN1229" s="0"/>
      <c r="HO1229" s="0"/>
      <c r="HP1229" s="0"/>
      <c r="HQ1229" s="0"/>
      <c r="HR1229" s="0"/>
      <c r="HS1229" s="0"/>
      <c r="HT1229" s="0"/>
      <c r="HU1229" s="0"/>
      <c r="HV1229" s="0"/>
      <c r="HW1229" s="0"/>
      <c r="HX1229" s="0"/>
      <c r="HY1229" s="0"/>
      <c r="HZ1229" s="0"/>
      <c r="IA1229" s="0"/>
      <c r="IB1229" s="0"/>
      <c r="IC1229" s="0"/>
      <c r="ID1229" s="0"/>
      <c r="IE1229" s="0"/>
      <c r="IF1229" s="0"/>
      <c r="IG1229" s="0"/>
      <c r="IH1229" s="0"/>
      <c r="II1229" s="0"/>
      <c r="IJ1229" s="0"/>
      <c r="IK1229" s="0"/>
      <c r="IL1229" s="0"/>
      <c r="IM1229" s="0"/>
      <c r="IN1229" s="0"/>
      <c r="IO1229" s="0"/>
      <c r="IP1229" s="0"/>
      <c r="IQ1229" s="0"/>
      <c r="IR1229" s="0"/>
      <c r="IS1229" s="0"/>
      <c r="IT1229" s="0"/>
      <c r="IU1229" s="0"/>
      <c r="IV1229" s="0"/>
    </row>
    <row r="1230" customFormat="false" ht="15.75" hidden="false" customHeight="true" outlineLevel="0" collapsed="false">
      <c r="A1230" s="456"/>
      <c r="B1230" s="0"/>
      <c r="C1230" s="0"/>
      <c r="D1230" s="0"/>
      <c r="E1230" s="0"/>
      <c r="F1230" s="456"/>
      <c r="G1230" s="456"/>
      <c r="H1230" s="1332"/>
      <c r="K1230" s="55"/>
      <c r="N1230" s="0"/>
      <c r="S1230" s="0"/>
      <c r="T1230" s="0"/>
      <c r="U1230" s="0"/>
      <c r="V1230" s="0"/>
      <c r="W1230" s="0"/>
      <c r="X1230" s="0"/>
      <c r="Y1230" s="0"/>
      <c r="Z1230" s="0"/>
      <c r="AA1230" s="0"/>
      <c r="AB1230" s="0"/>
      <c r="AC1230" s="0"/>
      <c r="AD1230" s="0"/>
      <c r="AE1230" s="0"/>
      <c r="AF1230" s="0"/>
      <c r="AG1230" s="0"/>
      <c r="AH1230" s="0"/>
      <c r="AI1230" s="0"/>
      <c r="AJ1230" s="0"/>
      <c r="AK1230" s="0"/>
      <c r="AL1230" s="0"/>
      <c r="AM1230" s="0"/>
      <c r="AN1230" s="0"/>
      <c r="AO1230" s="0"/>
      <c r="AP1230" s="0"/>
      <c r="AQ1230" s="0"/>
      <c r="AR1230" s="0"/>
      <c r="AS1230" s="0"/>
      <c r="AT1230" s="0"/>
      <c r="AU1230" s="0"/>
      <c r="AV1230" s="0"/>
      <c r="AW1230" s="0"/>
      <c r="AX1230" s="0"/>
      <c r="AY1230" s="0"/>
      <c r="AZ1230" s="0"/>
      <c r="BA1230" s="0"/>
      <c r="BB1230" s="0"/>
      <c r="BC1230" s="0"/>
      <c r="BD1230" s="0"/>
      <c r="BE1230" s="0"/>
      <c r="BF1230" s="0"/>
      <c r="BG1230" s="0"/>
      <c r="BH1230" s="0"/>
      <c r="BI1230" s="0"/>
      <c r="BJ1230" s="0"/>
      <c r="BK1230" s="0"/>
      <c r="BL1230" s="0"/>
      <c r="BM1230" s="0"/>
      <c r="BN1230" s="0"/>
      <c r="BO1230" s="0"/>
      <c r="BP1230" s="0"/>
      <c r="BQ1230" s="0"/>
      <c r="BR1230" s="0"/>
      <c r="BS1230" s="0"/>
      <c r="BT1230" s="0"/>
      <c r="BU1230" s="0"/>
      <c r="BV1230" s="0"/>
      <c r="BW1230" s="0"/>
      <c r="BX1230" s="0"/>
      <c r="BY1230" s="0"/>
      <c r="BZ1230" s="0"/>
      <c r="CA1230" s="0"/>
      <c r="CB1230" s="0"/>
      <c r="CC1230" s="0"/>
      <c r="CD1230" s="0"/>
      <c r="CE1230" s="0"/>
      <c r="CF1230" s="0"/>
      <c r="CG1230" s="0"/>
      <c r="CH1230" s="0"/>
      <c r="CI1230" s="0"/>
      <c r="CJ1230" s="0"/>
      <c r="CK1230" s="0"/>
      <c r="CL1230" s="0"/>
      <c r="CM1230" s="0"/>
      <c r="CN1230" s="0"/>
      <c r="CO1230" s="0"/>
      <c r="CP1230" s="0"/>
      <c r="CQ1230" s="0"/>
      <c r="CR1230" s="0"/>
      <c r="CS1230" s="0"/>
      <c r="CT1230" s="0"/>
      <c r="CU1230" s="0"/>
      <c r="CV1230" s="0"/>
      <c r="CW1230" s="0"/>
      <c r="CX1230" s="0"/>
      <c r="CY1230" s="0"/>
      <c r="CZ1230" s="0"/>
      <c r="DA1230" s="0"/>
      <c r="DB1230" s="0"/>
      <c r="DC1230" s="0"/>
      <c r="DD1230" s="0"/>
      <c r="DE1230" s="0"/>
      <c r="DF1230" s="0"/>
      <c r="DG1230" s="0"/>
      <c r="DH1230" s="0"/>
      <c r="DI1230" s="0"/>
      <c r="DJ1230" s="0"/>
      <c r="DK1230" s="0"/>
      <c r="DL1230" s="0"/>
      <c r="DM1230" s="0"/>
      <c r="DN1230" s="0"/>
      <c r="DO1230" s="0"/>
      <c r="DP1230" s="0"/>
      <c r="DQ1230" s="0"/>
      <c r="DR1230" s="0"/>
      <c r="DS1230" s="0"/>
      <c r="DT1230" s="0"/>
      <c r="DU1230" s="0"/>
      <c r="DV1230" s="0"/>
      <c r="DW1230" s="0"/>
      <c r="DX1230" s="0"/>
      <c r="DY1230" s="0"/>
      <c r="DZ1230" s="0"/>
      <c r="EA1230" s="0"/>
      <c r="EB1230" s="0"/>
      <c r="EC1230" s="0"/>
      <c r="ED1230" s="0"/>
      <c r="EE1230" s="0"/>
      <c r="EF1230" s="0"/>
      <c r="EG1230" s="0"/>
      <c r="EH1230" s="0"/>
      <c r="EI1230" s="0"/>
      <c r="EJ1230" s="0"/>
      <c r="EK1230" s="0"/>
      <c r="EL1230" s="0"/>
      <c r="EM1230" s="0"/>
      <c r="EN1230" s="0"/>
      <c r="EO1230" s="0"/>
      <c r="EP1230" s="0"/>
      <c r="EQ1230" s="0"/>
      <c r="ER1230" s="0"/>
      <c r="ES1230" s="0"/>
      <c r="ET1230" s="0"/>
      <c r="EU1230" s="0"/>
      <c r="EV1230" s="0"/>
      <c r="EW1230" s="0"/>
      <c r="EX1230" s="0"/>
      <c r="EY1230" s="0"/>
      <c r="EZ1230" s="0"/>
      <c r="FA1230" s="0"/>
      <c r="FB1230" s="0"/>
      <c r="FC1230" s="0"/>
      <c r="FD1230" s="0"/>
      <c r="FE1230" s="0"/>
      <c r="FF1230" s="0"/>
      <c r="FG1230" s="0"/>
      <c r="FH1230" s="0"/>
      <c r="FI1230" s="0"/>
      <c r="FJ1230" s="0"/>
      <c r="FK1230" s="0"/>
      <c r="FL1230" s="0"/>
      <c r="FM1230" s="0"/>
      <c r="FN1230" s="0"/>
      <c r="FO1230" s="0"/>
      <c r="FP1230" s="0"/>
      <c r="FQ1230" s="0"/>
      <c r="FR1230" s="0"/>
      <c r="FS1230" s="0"/>
      <c r="FT1230" s="0"/>
      <c r="FU1230" s="0"/>
      <c r="FV1230" s="0"/>
      <c r="FW1230" s="0"/>
      <c r="FX1230" s="0"/>
      <c r="FY1230" s="0"/>
      <c r="FZ1230" s="0"/>
      <c r="GA1230" s="0"/>
      <c r="GB1230" s="0"/>
      <c r="GC1230" s="0"/>
      <c r="GD1230" s="0"/>
      <c r="GE1230" s="0"/>
      <c r="GF1230" s="0"/>
      <c r="GG1230" s="0"/>
      <c r="GH1230" s="0"/>
      <c r="GI1230" s="0"/>
      <c r="GJ1230" s="0"/>
      <c r="GK1230" s="0"/>
      <c r="GL1230" s="0"/>
      <c r="GM1230" s="0"/>
      <c r="GN1230" s="0"/>
      <c r="GO1230" s="0"/>
      <c r="GP1230" s="0"/>
      <c r="GQ1230" s="0"/>
      <c r="GR1230" s="0"/>
      <c r="GS1230" s="0"/>
      <c r="GT1230" s="0"/>
      <c r="GU1230" s="0"/>
      <c r="GV1230" s="0"/>
      <c r="GW1230" s="0"/>
      <c r="GX1230" s="0"/>
      <c r="GY1230" s="0"/>
      <c r="GZ1230" s="0"/>
      <c r="HA1230" s="0"/>
      <c r="HB1230" s="0"/>
      <c r="HC1230" s="0"/>
      <c r="HD1230" s="0"/>
      <c r="HE1230" s="0"/>
      <c r="HF1230" s="0"/>
      <c r="HG1230" s="0"/>
      <c r="HH1230" s="0"/>
      <c r="HI1230" s="0"/>
      <c r="HJ1230" s="0"/>
      <c r="HK1230" s="0"/>
      <c r="HL1230" s="0"/>
      <c r="HM1230" s="0"/>
      <c r="HN1230" s="0"/>
      <c r="HO1230" s="0"/>
      <c r="HP1230" s="0"/>
      <c r="HQ1230" s="0"/>
      <c r="HR1230" s="0"/>
      <c r="HS1230" s="0"/>
      <c r="HT1230" s="0"/>
      <c r="HU1230" s="0"/>
      <c r="HV1230" s="0"/>
      <c r="HW1230" s="0"/>
      <c r="HX1230" s="0"/>
      <c r="HY1230" s="0"/>
      <c r="HZ1230" s="0"/>
      <c r="IA1230" s="0"/>
      <c r="IB1230" s="0"/>
      <c r="IC1230" s="0"/>
      <c r="ID1230" s="0"/>
      <c r="IE1230" s="0"/>
      <c r="IF1230" s="0"/>
      <c r="IG1230" s="0"/>
      <c r="IH1230" s="0"/>
      <c r="II1230" s="0"/>
      <c r="IJ1230" s="0"/>
      <c r="IK1230" s="0"/>
      <c r="IL1230" s="0"/>
      <c r="IM1230" s="0"/>
      <c r="IN1230" s="0"/>
      <c r="IO1230" s="0"/>
      <c r="IP1230" s="0"/>
      <c r="IQ1230" s="0"/>
      <c r="IR1230" s="0"/>
      <c r="IS1230" s="0"/>
      <c r="IT1230" s="0"/>
      <c r="IU1230" s="0"/>
      <c r="IV1230" s="0"/>
    </row>
    <row r="1231" customFormat="false" ht="16.5" hidden="false" customHeight="true" outlineLevel="0" collapsed="false">
      <c r="A1231" s="869" t="s">
        <v>1764</v>
      </c>
      <c r="B1231" s="869"/>
      <c r="C1231" s="869"/>
      <c r="D1231" s="869"/>
      <c r="E1231" s="869"/>
      <c r="F1231" s="869"/>
      <c r="G1231" s="869"/>
      <c r="H1231" s="53"/>
      <c r="I1231" s="53"/>
      <c r="J1231" s="53"/>
      <c r="K1231" s="870"/>
      <c r="L1231" s="871"/>
      <c r="N1231" s="0"/>
      <c r="S1231" s="0"/>
      <c r="T1231" s="0"/>
      <c r="U1231" s="0"/>
      <c r="V1231" s="0"/>
      <c r="W1231" s="0"/>
      <c r="X1231" s="0"/>
      <c r="Y1231" s="0"/>
      <c r="Z1231" s="0"/>
      <c r="AA1231" s="0"/>
      <c r="AB1231" s="0"/>
      <c r="AC1231" s="0"/>
      <c r="AD1231" s="0"/>
      <c r="AE1231" s="0"/>
      <c r="AF1231" s="0"/>
      <c r="AG1231" s="0"/>
      <c r="AH1231" s="0"/>
      <c r="AI1231" s="0"/>
      <c r="AJ1231" s="0"/>
      <c r="AK1231" s="0"/>
      <c r="AL1231" s="0"/>
      <c r="AM1231" s="0"/>
      <c r="AN1231" s="0"/>
      <c r="AO1231" s="0"/>
      <c r="AP1231" s="0"/>
      <c r="AQ1231" s="0"/>
      <c r="AR1231" s="0"/>
      <c r="AS1231" s="0"/>
      <c r="AT1231" s="0"/>
      <c r="AU1231" s="0"/>
      <c r="AV1231" s="0"/>
      <c r="AW1231" s="0"/>
      <c r="AX1231" s="0"/>
      <c r="AY1231" s="0"/>
      <c r="AZ1231" s="0"/>
      <c r="BA1231" s="0"/>
      <c r="BB1231" s="0"/>
      <c r="BC1231" s="0"/>
      <c r="BD1231" s="0"/>
      <c r="BE1231" s="0"/>
      <c r="BF1231" s="0"/>
      <c r="BG1231" s="0"/>
      <c r="BH1231" s="0"/>
      <c r="BI1231" s="0"/>
      <c r="BJ1231" s="0"/>
      <c r="BK1231" s="0"/>
      <c r="BL1231" s="0"/>
      <c r="BM1231" s="0"/>
      <c r="BN1231" s="0"/>
      <c r="BO1231" s="0"/>
      <c r="BP1231" s="0"/>
      <c r="BQ1231" s="0"/>
      <c r="BR1231" s="0"/>
      <c r="BS1231" s="0"/>
      <c r="BT1231" s="0"/>
      <c r="BU1231" s="0"/>
      <c r="BV1231" s="0"/>
      <c r="BW1231" s="0"/>
      <c r="BX1231" s="0"/>
      <c r="BY1231" s="0"/>
      <c r="BZ1231" s="0"/>
      <c r="CA1231" s="0"/>
      <c r="CB1231" s="0"/>
      <c r="CC1231" s="0"/>
      <c r="CD1231" s="0"/>
      <c r="CE1231" s="0"/>
      <c r="CF1231" s="0"/>
      <c r="CG1231" s="0"/>
      <c r="CH1231" s="0"/>
      <c r="CI1231" s="0"/>
      <c r="CJ1231" s="0"/>
      <c r="CK1231" s="0"/>
      <c r="CL1231" s="0"/>
      <c r="CM1231" s="0"/>
      <c r="CN1231" s="0"/>
      <c r="CO1231" s="0"/>
      <c r="CP1231" s="0"/>
      <c r="CQ1231" s="0"/>
      <c r="CR1231" s="0"/>
      <c r="CS1231" s="0"/>
      <c r="CT1231" s="0"/>
      <c r="CU1231" s="0"/>
      <c r="CV1231" s="0"/>
      <c r="CW1231" s="0"/>
      <c r="CX1231" s="0"/>
      <c r="CY1231" s="0"/>
      <c r="CZ1231" s="0"/>
      <c r="DA1231" s="0"/>
      <c r="DB1231" s="0"/>
      <c r="DC1231" s="0"/>
      <c r="DD1231" s="0"/>
      <c r="DE1231" s="0"/>
      <c r="DF1231" s="0"/>
      <c r="DG1231" s="0"/>
      <c r="DH1231" s="0"/>
      <c r="DI1231" s="0"/>
      <c r="DJ1231" s="0"/>
      <c r="DK1231" s="0"/>
      <c r="DL1231" s="0"/>
      <c r="DM1231" s="0"/>
      <c r="DN1231" s="0"/>
      <c r="DO1231" s="0"/>
      <c r="DP1231" s="0"/>
      <c r="DQ1231" s="0"/>
      <c r="DR1231" s="0"/>
      <c r="DS1231" s="0"/>
      <c r="DT1231" s="0"/>
      <c r="DU1231" s="0"/>
      <c r="DV1231" s="0"/>
      <c r="DW1231" s="0"/>
      <c r="DX1231" s="0"/>
      <c r="DY1231" s="0"/>
      <c r="DZ1231" s="0"/>
      <c r="EA1231" s="0"/>
      <c r="EB1231" s="0"/>
      <c r="EC1231" s="0"/>
      <c r="ED1231" s="0"/>
      <c r="EE1231" s="0"/>
      <c r="EF1231" s="0"/>
      <c r="EG1231" s="0"/>
      <c r="EH1231" s="0"/>
      <c r="EI1231" s="0"/>
      <c r="EJ1231" s="0"/>
      <c r="EK1231" s="0"/>
      <c r="EL1231" s="0"/>
      <c r="EM1231" s="0"/>
      <c r="EN1231" s="0"/>
      <c r="EO1231" s="0"/>
      <c r="EP1231" s="0"/>
      <c r="EQ1231" s="0"/>
      <c r="ER1231" s="0"/>
      <c r="ES1231" s="0"/>
      <c r="ET1231" s="0"/>
      <c r="EU1231" s="0"/>
      <c r="EV1231" s="0"/>
      <c r="EW1231" s="0"/>
      <c r="EX1231" s="0"/>
      <c r="EY1231" s="0"/>
      <c r="EZ1231" s="0"/>
      <c r="FA1231" s="0"/>
      <c r="FB1231" s="0"/>
      <c r="FC1231" s="0"/>
      <c r="FD1231" s="0"/>
      <c r="FE1231" s="0"/>
      <c r="FF1231" s="0"/>
      <c r="FG1231" s="0"/>
      <c r="FH1231" s="0"/>
      <c r="FI1231" s="0"/>
      <c r="FJ1231" s="0"/>
      <c r="FK1231" s="0"/>
      <c r="FL1231" s="0"/>
      <c r="FM1231" s="0"/>
      <c r="FN1231" s="0"/>
      <c r="FO1231" s="0"/>
      <c r="FP1231" s="0"/>
      <c r="FQ1231" s="0"/>
      <c r="FR1231" s="0"/>
      <c r="FS1231" s="0"/>
      <c r="FT1231" s="0"/>
      <c r="FU1231" s="0"/>
      <c r="FV1231" s="0"/>
      <c r="FW1231" s="0"/>
      <c r="FX1231" s="0"/>
      <c r="FY1231" s="0"/>
      <c r="FZ1231" s="0"/>
      <c r="GA1231" s="0"/>
      <c r="GB1231" s="0"/>
      <c r="GC1231" s="0"/>
      <c r="GD1231" s="0"/>
      <c r="GE1231" s="0"/>
      <c r="GF1231" s="0"/>
      <c r="GG1231" s="0"/>
      <c r="GH1231" s="0"/>
      <c r="GI1231" s="0"/>
      <c r="GJ1231" s="0"/>
      <c r="GK1231" s="0"/>
      <c r="GL1231" s="0"/>
      <c r="GM1231" s="0"/>
      <c r="GN1231" s="0"/>
      <c r="GO1231" s="0"/>
      <c r="GP1231" s="0"/>
      <c r="GQ1231" s="0"/>
      <c r="GR1231" s="0"/>
      <c r="GS1231" s="0"/>
      <c r="GT1231" s="0"/>
      <c r="GU1231" s="0"/>
      <c r="GV1231" s="0"/>
      <c r="GW1231" s="0"/>
      <c r="GX1231" s="0"/>
      <c r="GY1231" s="0"/>
      <c r="GZ1231" s="0"/>
      <c r="HA1231" s="0"/>
      <c r="HB1231" s="0"/>
      <c r="HC1231" s="0"/>
      <c r="HD1231" s="0"/>
      <c r="HE1231" s="0"/>
      <c r="HF1231" s="0"/>
      <c r="HG1231" s="0"/>
      <c r="HH1231" s="0"/>
      <c r="HI1231" s="0"/>
      <c r="HJ1231" s="0"/>
      <c r="HK1231" s="0"/>
      <c r="HL1231" s="0"/>
      <c r="HM1231" s="0"/>
      <c r="HN1231" s="0"/>
      <c r="HO1231" s="0"/>
      <c r="HP1231" s="0"/>
      <c r="HQ1231" s="0"/>
      <c r="HR1231" s="0"/>
      <c r="HS1231" s="0"/>
      <c r="HT1231" s="0"/>
      <c r="HU1231" s="0"/>
      <c r="HV1231" s="0"/>
      <c r="HW1231" s="0"/>
      <c r="HX1231" s="0"/>
      <c r="HY1231" s="0"/>
      <c r="HZ1231" s="0"/>
      <c r="IA1231" s="0"/>
      <c r="IB1231" s="0"/>
      <c r="IC1231" s="0"/>
      <c r="ID1231" s="0"/>
      <c r="IE1231" s="0"/>
      <c r="IF1231" s="0"/>
      <c r="IG1231" s="0"/>
      <c r="IH1231" s="0"/>
      <c r="II1231" s="0"/>
      <c r="IJ1231" s="0"/>
      <c r="IK1231" s="0"/>
      <c r="IL1231" s="0"/>
      <c r="IM1231" s="0"/>
      <c r="IN1231" s="0"/>
      <c r="IO1231" s="0"/>
      <c r="IP1231" s="0"/>
      <c r="IQ1231" s="0"/>
      <c r="IR1231" s="0"/>
      <c r="IS1231" s="0"/>
      <c r="IT1231" s="0"/>
      <c r="IU1231" s="0"/>
      <c r="IV1231" s="0"/>
    </row>
    <row r="1232" customFormat="false" ht="16.5" hidden="false" customHeight="true" outlineLevel="0" collapsed="false">
      <c r="A1232" s="1005"/>
      <c r="B1232" s="1005"/>
      <c r="C1232" s="1005"/>
      <c r="D1232" s="1005"/>
      <c r="E1232" s="1005"/>
      <c r="F1232" s="1005"/>
      <c r="G1232" s="1005"/>
      <c r="H1232" s="1332"/>
      <c r="K1232" s="1310"/>
      <c r="L1232" s="1432"/>
      <c r="N1232" s="0"/>
      <c r="S1232" s="0"/>
      <c r="T1232" s="0"/>
      <c r="U1232" s="0"/>
      <c r="V1232" s="0"/>
      <c r="W1232" s="0"/>
      <c r="X1232" s="0"/>
      <c r="Y1232" s="0"/>
      <c r="Z1232" s="0"/>
      <c r="AA1232" s="0"/>
      <c r="AB1232" s="0"/>
      <c r="AC1232" s="0"/>
      <c r="AD1232" s="0"/>
      <c r="AE1232" s="0"/>
      <c r="AF1232" s="0"/>
      <c r="AG1232" s="0"/>
      <c r="AH1232" s="0"/>
      <c r="AI1232" s="0"/>
      <c r="AJ1232" s="0"/>
      <c r="AK1232" s="0"/>
      <c r="AL1232" s="0"/>
      <c r="AM1232" s="0"/>
      <c r="AN1232" s="0"/>
      <c r="AO1232" s="0"/>
      <c r="AP1232" s="0"/>
      <c r="AQ1232" s="0"/>
      <c r="AR1232" s="0"/>
      <c r="AS1232" s="0"/>
      <c r="AT1232" s="0"/>
      <c r="AU1232" s="0"/>
      <c r="AV1232" s="0"/>
      <c r="AW1232" s="0"/>
      <c r="AX1232" s="0"/>
      <c r="AY1232" s="0"/>
      <c r="AZ1232" s="0"/>
      <c r="BA1232" s="0"/>
      <c r="BB1232" s="0"/>
      <c r="BC1232" s="0"/>
      <c r="BD1232" s="0"/>
      <c r="BE1232" s="0"/>
      <c r="BF1232" s="0"/>
      <c r="BG1232" s="0"/>
      <c r="BH1232" s="0"/>
      <c r="BI1232" s="0"/>
      <c r="BJ1232" s="0"/>
      <c r="BK1232" s="0"/>
      <c r="BL1232" s="0"/>
      <c r="BM1232" s="0"/>
      <c r="BN1232" s="0"/>
      <c r="BO1232" s="0"/>
      <c r="BP1232" s="0"/>
      <c r="BQ1232" s="0"/>
      <c r="BR1232" s="0"/>
      <c r="BS1232" s="0"/>
      <c r="BT1232" s="0"/>
      <c r="BU1232" s="0"/>
      <c r="BV1232" s="0"/>
      <c r="BW1232" s="0"/>
      <c r="BX1232" s="0"/>
      <c r="BY1232" s="0"/>
      <c r="BZ1232" s="0"/>
      <c r="CA1232" s="0"/>
      <c r="CB1232" s="0"/>
      <c r="CC1232" s="0"/>
      <c r="CD1232" s="0"/>
      <c r="CE1232" s="0"/>
      <c r="CF1232" s="0"/>
      <c r="CG1232" s="0"/>
      <c r="CH1232" s="0"/>
      <c r="CI1232" s="0"/>
      <c r="CJ1232" s="0"/>
      <c r="CK1232" s="0"/>
      <c r="CL1232" s="0"/>
      <c r="CM1232" s="0"/>
      <c r="CN1232" s="0"/>
      <c r="CO1232" s="0"/>
      <c r="CP1232" s="0"/>
      <c r="CQ1232" s="0"/>
      <c r="CR1232" s="0"/>
      <c r="CS1232" s="0"/>
      <c r="CT1232" s="0"/>
      <c r="CU1232" s="0"/>
      <c r="CV1232" s="0"/>
      <c r="CW1232" s="0"/>
      <c r="CX1232" s="0"/>
      <c r="CY1232" s="0"/>
      <c r="CZ1232" s="0"/>
      <c r="DA1232" s="0"/>
      <c r="DB1232" s="0"/>
      <c r="DC1232" s="0"/>
      <c r="DD1232" s="0"/>
      <c r="DE1232" s="0"/>
      <c r="DF1232" s="0"/>
      <c r="DG1232" s="0"/>
      <c r="DH1232" s="0"/>
      <c r="DI1232" s="0"/>
      <c r="DJ1232" s="0"/>
      <c r="DK1232" s="0"/>
      <c r="DL1232" s="0"/>
      <c r="DM1232" s="0"/>
      <c r="DN1232" s="0"/>
      <c r="DO1232" s="0"/>
      <c r="DP1232" s="0"/>
      <c r="DQ1232" s="0"/>
      <c r="DR1232" s="0"/>
      <c r="DS1232" s="0"/>
      <c r="DT1232" s="0"/>
      <c r="DU1232" s="0"/>
      <c r="DV1232" s="0"/>
      <c r="DW1232" s="0"/>
      <c r="DX1232" s="0"/>
      <c r="DY1232" s="0"/>
      <c r="DZ1232" s="0"/>
      <c r="EA1232" s="0"/>
      <c r="EB1232" s="0"/>
      <c r="EC1232" s="0"/>
      <c r="ED1232" s="0"/>
      <c r="EE1232" s="0"/>
      <c r="EF1232" s="0"/>
      <c r="EG1232" s="0"/>
      <c r="EH1232" s="0"/>
      <c r="EI1232" s="0"/>
      <c r="EJ1232" s="0"/>
      <c r="EK1232" s="0"/>
      <c r="EL1232" s="0"/>
      <c r="EM1232" s="0"/>
      <c r="EN1232" s="0"/>
      <c r="EO1232" s="0"/>
      <c r="EP1232" s="0"/>
      <c r="EQ1232" s="0"/>
      <c r="ER1232" s="0"/>
      <c r="ES1232" s="0"/>
      <c r="ET1232" s="0"/>
      <c r="EU1232" s="0"/>
      <c r="EV1232" s="0"/>
      <c r="EW1232" s="0"/>
      <c r="EX1232" s="0"/>
      <c r="EY1232" s="0"/>
      <c r="EZ1232" s="0"/>
      <c r="FA1232" s="0"/>
      <c r="FB1232" s="0"/>
      <c r="FC1232" s="0"/>
      <c r="FD1232" s="0"/>
      <c r="FE1232" s="0"/>
      <c r="FF1232" s="0"/>
      <c r="FG1232" s="0"/>
      <c r="FH1232" s="0"/>
      <c r="FI1232" s="0"/>
      <c r="FJ1232" s="0"/>
      <c r="FK1232" s="0"/>
      <c r="FL1232" s="0"/>
      <c r="FM1232" s="0"/>
      <c r="FN1232" s="0"/>
      <c r="FO1232" s="0"/>
      <c r="FP1232" s="0"/>
      <c r="FQ1232" s="0"/>
      <c r="FR1232" s="0"/>
      <c r="FS1232" s="0"/>
      <c r="FT1232" s="0"/>
      <c r="FU1232" s="0"/>
      <c r="FV1232" s="0"/>
      <c r="FW1232" s="0"/>
      <c r="FX1232" s="0"/>
      <c r="FY1232" s="0"/>
      <c r="FZ1232" s="0"/>
      <c r="GA1232" s="0"/>
      <c r="GB1232" s="0"/>
      <c r="GC1232" s="0"/>
      <c r="GD1232" s="0"/>
      <c r="GE1232" s="0"/>
      <c r="GF1232" s="0"/>
      <c r="GG1232" s="0"/>
      <c r="GH1232" s="0"/>
      <c r="GI1232" s="0"/>
      <c r="GJ1232" s="0"/>
      <c r="GK1232" s="0"/>
      <c r="GL1232" s="0"/>
      <c r="GM1232" s="0"/>
      <c r="GN1232" s="0"/>
      <c r="GO1232" s="0"/>
      <c r="GP1232" s="0"/>
      <c r="GQ1232" s="0"/>
      <c r="GR1232" s="0"/>
      <c r="GS1232" s="0"/>
      <c r="GT1232" s="0"/>
      <c r="GU1232" s="0"/>
      <c r="GV1232" s="0"/>
      <c r="GW1232" s="0"/>
      <c r="GX1232" s="0"/>
      <c r="GY1232" s="0"/>
      <c r="GZ1232" s="0"/>
      <c r="HA1232" s="0"/>
      <c r="HB1232" s="0"/>
      <c r="HC1232" s="0"/>
      <c r="HD1232" s="0"/>
      <c r="HE1232" s="0"/>
      <c r="HF1232" s="0"/>
      <c r="HG1232" s="0"/>
      <c r="HH1232" s="0"/>
      <c r="HI1232" s="0"/>
      <c r="HJ1232" s="0"/>
      <c r="HK1232" s="0"/>
      <c r="HL1232" s="0"/>
      <c r="HM1232" s="0"/>
      <c r="HN1232" s="0"/>
      <c r="HO1232" s="0"/>
      <c r="HP1232" s="0"/>
      <c r="HQ1232" s="0"/>
      <c r="HR1232" s="0"/>
      <c r="HS1232" s="0"/>
      <c r="HT1232" s="0"/>
      <c r="HU1232" s="0"/>
      <c r="HV1232" s="0"/>
      <c r="HW1232" s="0"/>
      <c r="HX1232" s="0"/>
      <c r="HY1232" s="0"/>
      <c r="HZ1232" s="0"/>
      <c r="IA1232" s="0"/>
      <c r="IB1232" s="0"/>
      <c r="IC1232" s="0"/>
      <c r="ID1232" s="0"/>
      <c r="IE1232" s="0"/>
      <c r="IF1232" s="0"/>
      <c r="IG1232" s="0"/>
      <c r="IH1232" s="0"/>
      <c r="II1232" s="0"/>
      <c r="IJ1232" s="0"/>
      <c r="IK1232" s="0"/>
      <c r="IL1232" s="0"/>
      <c r="IM1232" s="0"/>
      <c r="IN1232" s="0"/>
      <c r="IO1232" s="0"/>
      <c r="IP1232" s="0"/>
      <c r="IQ1232" s="0"/>
      <c r="IR1232" s="0"/>
      <c r="IS1232" s="0"/>
      <c r="IT1232" s="0"/>
      <c r="IU1232" s="0"/>
      <c r="IV1232" s="0"/>
    </row>
    <row r="1233" customFormat="false" ht="15" hidden="false" customHeight="true" outlineLevel="0" collapsed="false">
      <c r="A1233" s="1436" t="s">
        <v>1765</v>
      </c>
      <c r="B1233" s="1436"/>
      <c r="C1233" s="452" t="s">
        <v>1766</v>
      </c>
      <c r="D1233" s="1437" t="n">
        <f aca="false">(I1199+I1197)/I1187</f>
        <v>0.661008831415309</v>
      </c>
      <c r="E1233" s="456"/>
      <c r="F1233" s="456"/>
      <c r="G1233" s="456"/>
      <c r="H1233" s="1332"/>
      <c r="K1233" s="55"/>
      <c r="N1233" s="0"/>
      <c r="S1233" s="0"/>
      <c r="T1233" s="0"/>
      <c r="U1233" s="0"/>
      <c r="V1233" s="0"/>
      <c r="W1233" s="0"/>
      <c r="X1233" s="0"/>
      <c r="Y1233" s="0"/>
      <c r="Z1233" s="0"/>
      <c r="AA1233" s="0"/>
      <c r="AB1233" s="0"/>
      <c r="AC1233" s="0"/>
      <c r="AD1233" s="0"/>
      <c r="AE1233" s="0"/>
      <c r="AF1233" s="0"/>
      <c r="AG1233" s="0"/>
      <c r="AH1233" s="0"/>
      <c r="AI1233" s="0"/>
      <c r="AJ1233" s="0"/>
      <c r="AK1233" s="0"/>
      <c r="AL1233" s="0"/>
      <c r="AM1233" s="0"/>
      <c r="AN1233" s="0"/>
      <c r="AO1233" s="0"/>
      <c r="AP1233" s="0"/>
      <c r="AQ1233" s="0"/>
      <c r="AR1233" s="0"/>
      <c r="AS1233" s="0"/>
      <c r="AT1233" s="0"/>
      <c r="AU1233" s="0"/>
      <c r="AV1233" s="0"/>
      <c r="AW1233" s="0"/>
      <c r="AX1233" s="0"/>
      <c r="AY1233" s="0"/>
      <c r="AZ1233" s="0"/>
      <c r="BA1233" s="0"/>
      <c r="BB1233" s="0"/>
      <c r="BC1233" s="0"/>
      <c r="BD1233" s="0"/>
      <c r="BE1233" s="0"/>
      <c r="BF1233" s="0"/>
      <c r="BG1233" s="0"/>
      <c r="BH1233" s="0"/>
      <c r="BI1233" s="0"/>
      <c r="BJ1233" s="0"/>
      <c r="BK1233" s="0"/>
      <c r="BL1233" s="0"/>
      <c r="BM1233" s="0"/>
      <c r="BN1233" s="0"/>
      <c r="BO1233" s="0"/>
      <c r="BP1233" s="0"/>
      <c r="BQ1233" s="0"/>
      <c r="BR1233" s="0"/>
      <c r="BS1233" s="0"/>
      <c r="BT1233" s="0"/>
      <c r="BU1233" s="0"/>
      <c r="BV1233" s="0"/>
      <c r="BW1233" s="0"/>
      <c r="BX1233" s="0"/>
      <c r="BY1233" s="0"/>
      <c r="BZ1233" s="0"/>
      <c r="CA1233" s="0"/>
      <c r="CB1233" s="0"/>
      <c r="CC1233" s="0"/>
      <c r="CD1233" s="0"/>
      <c r="CE1233" s="0"/>
      <c r="CF1233" s="0"/>
      <c r="CG1233" s="0"/>
      <c r="CH1233" s="0"/>
      <c r="CI1233" s="0"/>
      <c r="CJ1233" s="0"/>
      <c r="CK1233" s="0"/>
      <c r="CL1233" s="0"/>
      <c r="CM1233" s="0"/>
      <c r="CN1233" s="0"/>
      <c r="CO1233" s="0"/>
      <c r="CP1233" s="0"/>
      <c r="CQ1233" s="0"/>
      <c r="CR1233" s="0"/>
      <c r="CS1233" s="0"/>
      <c r="CT1233" s="0"/>
      <c r="CU1233" s="0"/>
      <c r="CV1233" s="0"/>
      <c r="CW1233" s="0"/>
      <c r="CX1233" s="0"/>
      <c r="CY1233" s="0"/>
      <c r="CZ1233" s="0"/>
      <c r="DA1233" s="0"/>
      <c r="DB1233" s="0"/>
      <c r="DC1233" s="0"/>
      <c r="DD1233" s="0"/>
      <c r="DE1233" s="0"/>
      <c r="DF1233" s="0"/>
      <c r="DG1233" s="0"/>
      <c r="DH1233" s="0"/>
      <c r="DI1233" s="0"/>
      <c r="DJ1233" s="0"/>
      <c r="DK1233" s="0"/>
      <c r="DL1233" s="0"/>
      <c r="DM1233" s="0"/>
      <c r="DN1233" s="0"/>
      <c r="DO1233" s="0"/>
      <c r="DP1233" s="0"/>
      <c r="DQ1233" s="0"/>
      <c r="DR1233" s="0"/>
      <c r="DS1233" s="0"/>
      <c r="DT1233" s="0"/>
      <c r="DU1233" s="0"/>
      <c r="DV1233" s="0"/>
      <c r="DW1233" s="0"/>
      <c r="DX1233" s="0"/>
      <c r="DY1233" s="0"/>
      <c r="DZ1233" s="0"/>
      <c r="EA1233" s="0"/>
      <c r="EB1233" s="0"/>
      <c r="EC1233" s="0"/>
      <c r="ED1233" s="0"/>
      <c r="EE1233" s="0"/>
      <c r="EF1233" s="0"/>
      <c r="EG1233" s="0"/>
      <c r="EH1233" s="0"/>
      <c r="EI1233" s="0"/>
      <c r="EJ1233" s="0"/>
      <c r="EK1233" s="0"/>
      <c r="EL1233" s="0"/>
      <c r="EM1233" s="0"/>
      <c r="EN1233" s="0"/>
      <c r="EO1233" s="0"/>
      <c r="EP1233" s="0"/>
      <c r="EQ1233" s="0"/>
      <c r="ER1233" s="0"/>
      <c r="ES1233" s="0"/>
      <c r="ET1233" s="0"/>
      <c r="EU1233" s="0"/>
      <c r="EV1233" s="0"/>
      <c r="EW1233" s="0"/>
      <c r="EX1233" s="0"/>
      <c r="EY1233" s="0"/>
      <c r="EZ1233" s="0"/>
      <c r="FA1233" s="0"/>
      <c r="FB1233" s="0"/>
      <c r="FC1233" s="0"/>
      <c r="FD1233" s="0"/>
      <c r="FE1233" s="0"/>
      <c r="FF1233" s="0"/>
      <c r="FG1233" s="0"/>
      <c r="FH1233" s="0"/>
      <c r="FI1233" s="0"/>
      <c r="FJ1233" s="0"/>
      <c r="FK1233" s="0"/>
      <c r="FL1233" s="0"/>
      <c r="FM1233" s="0"/>
      <c r="FN1233" s="0"/>
      <c r="FO1233" s="0"/>
      <c r="FP1233" s="0"/>
      <c r="FQ1233" s="0"/>
      <c r="FR1233" s="0"/>
      <c r="FS1233" s="0"/>
      <c r="FT1233" s="0"/>
      <c r="FU1233" s="0"/>
      <c r="FV1233" s="0"/>
      <c r="FW1233" s="0"/>
      <c r="FX1233" s="0"/>
      <c r="FY1233" s="0"/>
      <c r="FZ1233" s="0"/>
      <c r="GA1233" s="0"/>
      <c r="GB1233" s="0"/>
      <c r="GC1233" s="0"/>
      <c r="GD1233" s="0"/>
      <c r="GE1233" s="0"/>
      <c r="GF1233" s="0"/>
      <c r="GG1233" s="0"/>
      <c r="GH1233" s="0"/>
      <c r="GI1233" s="0"/>
      <c r="GJ1233" s="0"/>
      <c r="GK1233" s="0"/>
      <c r="GL1233" s="0"/>
      <c r="GM1233" s="0"/>
      <c r="GN1233" s="0"/>
      <c r="GO1233" s="0"/>
      <c r="GP1233" s="0"/>
      <c r="GQ1233" s="0"/>
      <c r="GR1233" s="0"/>
      <c r="GS1233" s="0"/>
      <c r="GT1233" s="0"/>
      <c r="GU1233" s="0"/>
      <c r="GV1233" s="0"/>
      <c r="GW1233" s="0"/>
      <c r="GX1233" s="0"/>
      <c r="GY1233" s="0"/>
      <c r="GZ1233" s="0"/>
      <c r="HA1233" s="0"/>
      <c r="HB1233" s="0"/>
      <c r="HC1233" s="0"/>
      <c r="HD1233" s="0"/>
      <c r="HE1233" s="0"/>
      <c r="HF1233" s="0"/>
      <c r="HG1233" s="0"/>
      <c r="HH1233" s="0"/>
      <c r="HI1233" s="0"/>
      <c r="HJ1233" s="0"/>
      <c r="HK1233" s="0"/>
      <c r="HL1233" s="0"/>
      <c r="HM1233" s="0"/>
      <c r="HN1233" s="0"/>
      <c r="HO1233" s="0"/>
      <c r="HP1233" s="0"/>
      <c r="HQ1233" s="0"/>
      <c r="HR1233" s="0"/>
      <c r="HS1233" s="0"/>
      <c r="HT1233" s="0"/>
      <c r="HU1233" s="0"/>
      <c r="HV1233" s="0"/>
      <c r="HW1233" s="0"/>
      <c r="HX1233" s="0"/>
      <c r="HY1233" s="0"/>
      <c r="HZ1233" s="0"/>
      <c r="IA1233" s="0"/>
      <c r="IB1233" s="0"/>
      <c r="IC1233" s="0"/>
      <c r="ID1233" s="0"/>
      <c r="IE1233" s="0"/>
      <c r="IF1233" s="0"/>
      <c r="IG1233" s="0"/>
      <c r="IH1233" s="0"/>
      <c r="II1233" s="0"/>
      <c r="IJ1233" s="0"/>
      <c r="IK1233" s="0"/>
      <c r="IL1233" s="0"/>
      <c r="IM1233" s="0"/>
      <c r="IN1233" s="0"/>
      <c r="IO1233" s="0"/>
      <c r="IP1233" s="0"/>
      <c r="IQ1233" s="0"/>
      <c r="IR1233" s="0"/>
      <c r="IS1233" s="0"/>
      <c r="IT1233" s="0"/>
      <c r="IU1233" s="0"/>
      <c r="IV1233" s="0"/>
    </row>
    <row r="1234" customFormat="false" ht="15" hidden="false" customHeight="true" outlineLevel="0" collapsed="false">
      <c r="A1234" s="1143"/>
      <c r="B1234" s="1242"/>
      <c r="C1234" s="456"/>
      <c r="D1234" s="456"/>
      <c r="E1234" s="456"/>
      <c r="F1234" s="456"/>
      <c r="G1234" s="456"/>
      <c r="H1234" s="1332"/>
      <c r="K1234" s="55"/>
      <c r="S1234" s="0"/>
      <c r="T1234" s="0"/>
      <c r="U1234" s="0"/>
      <c r="V1234" s="0"/>
      <c r="W1234" s="0"/>
      <c r="X1234" s="0"/>
      <c r="Y1234" s="0"/>
      <c r="Z1234" s="0"/>
      <c r="AA1234" s="0"/>
      <c r="AB1234" s="0"/>
      <c r="AC1234" s="0"/>
      <c r="AD1234" s="0"/>
      <c r="AE1234" s="0"/>
      <c r="AF1234" s="0"/>
      <c r="AG1234" s="0"/>
      <c r="AH1234" s="0"/>
      <c r="AI1234" s="0"/>
      <c r="AJ1234" s="0"/>
      <c r="AK1234" s="0"/>
      <c r="AL1234" s="0"/>
      <c r="AM1234" s="0"/>
      <c r="AN1234" s="0"/>
      <c r="AO1234" s="0"/>
      <c r="AP1234" s="0"/>
      <c r="AQ1234" s="0"/>
      <c r="AR1234" s="0"/>
      <c r="AS1234" s="0"/>
      <c r="AT1234" s="0"/>
      <c r="AU1234" s="0"/>
      <c r="AV1234" s="0"/>
      <c r="AW1234" s="0"/>
      <c r="AX1234" s="0"/>
      <c r="AY1234" s="0"/>
      <c r="AZ1234" s="0"/>
      <c r="BA1234" s="0"/>
      <c r="BB1234" s="0"/>
      <c r="BC1234" s="0"/>
      <c r="BD1234" s="0"/>
      <c r="BE1234" s="0"/>
      <c r="BF1234" s="0"/>
      <c r="BG1234" s="0"/>
      <c r="BH1234" s="0"/>
      <c r="BI1234" s="0"/>
      <c r="BJ1234" s="0"/>
      <c r="BK1234" s="0"/>
      <c r="BL1234" s="0"/>
      <c r="BM1234" s="0"/>
      <c r="BN1234" s="0"/>
      <c r="BO1234" s="0"/>
      <c r="BP1234" s="0"/>
      <c r="BQ1234" s="0"/>
      <c r="BR1234" s="0"/>
      <c r="BS1234" s="0"/>
      <c r="BT1234" s="0"/>
      <c r="BU1234" s="0"/>
      <c r="BV1234" s="0"/>
      <c r="BW1234" s="0"/>
      <c r="BX1234" s="0"/>
      <c r="BY1234" s="0"/>
      <c r="BZ1234" s="0"/>
      <c r="CA1234" s="0"/>
      <c r="CB1234" s="0"/>
      <c r="CC1234" s="0"/>
      <c r="CD1234" s="0"/>
      <c r="CE1234" s="0"/>
      <c r="CF1234" s="0"/>
      <c r="CG1234" s="0"/>
      <c r="CH1234" s="0"/>
      <c r="CI1234" s="0"/>
      <c r="CJ1234" s="0"/>
      <c r="CK1234" s="0"/>
      <c r="CL1234" s="0"/>
      <c r="CM1234" s="0"/>
      <c r="CN1234" s="0"/>
      <c r="CO1234" s="0"/>
      <c r="CP1234" s="0"/>
      <c r="CQ1234" s="0"/>
      <c r="CR1234" s="0"/>
      <c r="CS1234" s="0"/>
      <c r="CT1234" s="0"/>
      <c r="CU1234" s="0"/>
      <c r="CV1234" s="0"/>
      <c r="CW1234" s="0"/>
      <c r="CX1234" s="0"/>
      <c r="CY1234" s="0"/>
      <c r="CZ1234" s="0"/>
      <c r="DA1234" s="0"/>
      <c r="DB1234" s="0"/>
      <c r="DC1234" s="0"/>
      <c r="DD1234" s="0"/>
      <c r="DE1234" s="0"/>
      <c r="DF1234" s="0"/>
      <c r="DG1234" s="0"/>
      <c r="DH1234" s="0"/>
      <c r="DI1234" s="0"/>
      <c r="DJ1234" s="0"/>
      <c r="DK1234" s="0"/>
      <c r="DL1234" s="0"/>
      <c r="DM1234" s="0"/>
      <c r="DN1234" s="0"/>
      <c r="DO1234" s="0"/>
      <c r="DP1234" s="0"/>
      <c r="DQ1234" s="0"/>
      <c r="DR1234" s="0"/>
      <c r="DS1234" s="0"/>
      <c r="DT1234" s="0"/>
      <c r="DU1234" s="0"/>
      <c r="DV1234" s="0"/>
      <c r="DW1234" s="0"/>
      <c r="DX1234" s="0"/>
      <c r="DY1234" s="0"/>
      <c r="DZ1234" s="0"/>
      <c r="EA1234" s="0"/>
      <c r="EB1234" s="0"/>
      <c r="EC1234" s="0"/>
      <c r="ED1234" s="0"/>
      <c r="EE1234" s="0"/>
      <c r="EF1234" s="0"/>
      <c r="EG1234" s="0"/>
      <c r="EH1234" s="0"/>
      <c r="EI1234" s="0"/>
      <c r="EJ1234" s="0"/>
      <c r="EK1234" s="0"/>
      <c r="EL1234" s="0"/>
      <c r="EM1234" s="0"/>
      <c r="EN1234" s="0"/>
      <c r="EO1234" s="0"/>
      <c r="EP1234" s="0"/>
      <c r="EQ1234" s="0"/>
      <c r="ER1234" s="0"/>
      <c r="ES1234" s="0"/>
      <c r="ET1234" s="0"/>
      <c r="EU1234" s="0"/>
      <c r="EV1234" s="0"/>
      <c r="EW1234" s="0"/>
      <c r="EX1234" s="0"/>
      <c r="EY1234" s="0"/>
      <c r="EZ1234" s="0"/>
      <c r="FA1234" s="0"/>
      <c r="FB1234" s="0"/>
      <c r="FC1234" s="0"/>
      <c r="FD1234" s="0"/>
      <c r="FE1234" s="0"/>
      <c r="FF1234" s="0"/>
      <c r="FG1234" s="0"/>
      <c r="FH1234" s="0"/>
      <c r="FI1234" s="0"/>
      <c r="FJ1234" s="0"/>
      <c r="FK1234" s="0"/>
      <c r="FL1234" s="0"/>
      <c r="FM1234" s="0"/>
      <c r="FN1234" s="0"/>
      <c r="FO1234" s="0"/>
      <c r="FP1234" s="0"/>
      <c r="FQ1234" s="0"/>
      <c r="FR1234" s="0"/>
      <c r="FS1234" s="0"/>
      <c r="FT1234" s="0"/>
      <c r="FU1234" s="0"/>
      <c r="FV1234" s="0"/>
      <c r="FW1234" s="0"/>
      <c r="FX1234" s="0"/>
      <c r="FY1234" s="0"/>
      <c r="FZ1234" s="0"/>
      <c r="GA1234" s="0"/>
      <c r="GB1234" s="0"/>
      <c r="GC1234" s="0"/>
      <c r="GD1234" s="0"/>
      <c r="GE1234" s="0"/>
      <c r="GF1234" s="0"/>
      <c r="GG1234" s="0"/>
      <c r="GH1234" s="0"/>
      <c r="GI1234" s="0"/>
      <c r="GJ1234" s="0"/>
      <c r="GK1234" s="0"/>
      <c r="GL1234" s="0"/>
      <c r="GM1234" s="0"/>
      <c r="GN1234" s="0"/>
      <c r="GO1234" s="0"/>
      <c r="GP1234" s="0"/>
      <c r="GQ1234" s="0"/>
      <c r="GR1234" s="0"/>
      <c r="GS1234" s="0"/>
      <c r="GT1234" s="0"/>
      <c r="GU1234" s="0"/>
      <c r="GV1234" s="0"/>
      <c r="GW1234" s="0"/>
      <c r="GX1234" s="0"/>
      <c r="GY1234" s="0"/>
      <c r="GZ1234" s="0"/>
      <c r="HA1234" s="0"/>
      <c r="HB1234" s="0"/>
      <c r="HC1234" s="0"/>
      <c r="HD1234" s="0"/>
      <c r="HE1234" s="0"/>
      <c r="HF1234" s="0"/>
      <c r="HG1234" s="0"/>
      <c r="HH1234" s="0"/>
      <c r="HI1234" s="0"/>
      <c r="HJ1234" s="0"/>
      <c r="HK1234" s="0"/>
      <c r="HL1234" s="0"/>
      <c r="HM1234" s="0"/>
      <c r="HN1234" s="0"/>
      <c r="HO1234" s="0"/>
      <c r="HP1234" s="0"/>
      <c r="HQ1234" s="0"/>
      <c r="HR1234" s="0"/>
      <c r="HS1234" s="0"/>
      <c r="HT1234" s="0"/>
      <c r="HU1234" s="0"/>
      <c r="HV1234" s="0"/>
      <c r="HW1234" s="0"/>
      <c r="HX1234" s="0"/>
      <c r="HY1234" s="0"/>
      <c r="HZ1234" s="0"/>
      <c r="IA1234" s="0"/>
      <c r="IB1234" s="0"/>
      <c r="IC1234" s="0"/>
      <c r="ID1234" s="0"/>
      <c r="IE1234" s="0"/>
      <c r="IF1234" s="0"/>
      <c r="IG1234" s="0"/>
      <c r="IH1234" s="0"/>
      <c r="II1234" s="0"/>
      <c r="IJ1234" s="0"/>
      <c r="IK1234" s="0"/>
      <c r="IL1234" s="0"/>
      <c r="IM1234" s="0"/>
      <c r="IN1234" s="0"/>
      <c r="IO1234" s="0"/>
      <c r="IP1234" s="0"/>
      <c r="IQ1234" s="0"/>
      <c r="IR1234" s="0"/>
      <c r="IS1234" s="0"/>
      <c r="IT1234" s="0"/>
      <c r="IU1234" s="0"/>
      <c r="IV1234" s="0"/>
    </row>
    <row r="1235" customFormat="false" ht="15" hidden="false" customHeight="true" outlineLevel="0" collapsed="false">
      <c r="A1235" s="1143"/>
      <c r="B1235" s="1242"/>
      <c r="C1235" s="456"/>
      <c r="D1235" s="456"/>
      <c r="E1235" s="456"/>
      <c r="F1235" s="456"/>
      <c r="G1235" s="456"/>
      <c r="H1235" s="1332"/>
      <c r="K1235" s="55"/>
      <c r="S1235" s="0"/>
      <c r="T1235" s="0"/>
      <c r="U1235" s="0"/>
      <c r="V1235" s="0"/>
      <c r="W1235" s="0"/>
      <c r="X1235" s="0"/>
      <c r="Y1235" s="0"/>
      <c r="Z1235" s="0"/>
      <c r="AA1235" s="0"/>
      <c r="AB1235" s="0"/>
      <c r="AC1235" s="0"/>
      <c r="AD1235" s="0"/>
      <c r="AE1235" s="0"/>
      <c r="AF1235" s="0"/>
      <c r="AG1235" s="0"/>
      <c r="AH1235" s="0"/>
      <c r="AI1235" s="0"/>
      <c r="AJ1235" s="0"/>
      <c r="AK1235" s="0"/>
      <c r="AL1235" s="0"/>
      <c r="AM1235" s="0"/>
      <c r="AN1235" s="0"/>
      <c r="AO1235" s="0"/>
      <c r="AP1235" s="0"/>
      <c r="AQ1235" s="0"/>
      <c r="AR1235" s="0"/>
      <c r="AS1235" s="0"/>
      <c r="AT1235" s="0"/>
      <c r="AU1235" s="0"/>
      <c r="AV1235" s="0"/>
      <c r="AW1235" s="0"/>
      <c r="AX1235" s="0"/>
      <c r="AY1235" s="0"/>
      <c r="AZ1235" s="0"/>
      <c r="BA1235" s="0"/>
      <c r="BB1235" s="0"/>
      <c r="BC1235" s="0"/>
      <c r="BD1235" s="0"/>
      <c r="BE1235" s="0"/>
      <c r="BF1235" s="0"/>
      <c r="BG1235" s="0"/>
      <c r="BH1235" s="0"/>
      <c r="BI1235" s="0"/>
      <c r="BJ1235" s="0"/>
      <c r="BK1235" s="0"/>
      <c r="BL1235" s="0"/>
      <c r="BM1235" s="0"/>
      <c r="BN1235" s="0"/>
      <c r="BO1235" s="0"/>
      <c r="BP1235" s="0"/>
      <c r="BQ1235" s="0"/>
      <c r="BR1235" s="0"/>
      <c r="BS1235" s="0"/>
      <c r="BT1235" s="0"/>
      <c r="BU1235" s="0"/>
      <c r="BV1235" s="0"/>
      <c r="BW1235" s="0"/>
      <c r="BX1235" s="0"/>
      <c r="BY1235" s="0"/>
      <c r="BZ1235" s="0"/>
      <c r="CA1235" s="0"/>
      <c r="CB1235" s="0"/>
      <c r="CC1235" s="0"/>
      <c r="CD1235" s="0"/>
      <c r="CE1235" s="0"/>
      <c r="CF1235" s="0"/>
      <c r="CG1235" s="0"/>
      <c r="CH1235" s="0"/>
      <c r="CI1235" s="0"/>
      <c r="CJ1235" s="0"/>
      <c r="CK1235" s="0"/>
      <c r="CL1235" s="0"/>
      <c r="CM1235" s="0"/>
      <c r="CN1235" s="0"/>
      <c r="CO1235" s="0"/>
      <c r="CP1235" s="0"/>
      <c r="CQ1235" s="0"/>
      <c r="CR1235" s="0"/>
      <c r="CS1235" s="0"/>
      <c r="CT1235" s="0"/>
      <c r="CU1235" s="0"/>
      <c r="CV1235" s="0"/>
      <c r="CW1235" s="0"/>
      <c r="CX1235" s="0"/>
      <c r="CY1235" s="0"/>
      <c r="CZ1235" s="0"/>
      <c r="DA1235" s="0"/>
      <c r="DB1235" s="0"/>
      <c r="DC1235" s="0"/>
      <c r="DD1235" s="0"/>
      <c r="DE1235" s="0"/>
      <c r="DF1235" s="0"/>
      <c r="DG1235" s="0"/>
      <c r="DH1235" s="0"/>
      <c r="DI1235" s="0"/>
      <c r="DJ1235" s="0"/>
      <c r="DK1235" s="0"/>
      <c r="DL1235" s="0"/>
      <c r="DM1235" s="0"/>
      <c r="DN1235" s="0"/>
      <c r="DO1235" s="0"/>
      <c r="DP1235" s="0"/>
      <c r="DQ1235" s="0"/>
      <c r="DR1235" s="0"/>
      <c r="DS1235" s="0"/>
      <c r="DT1235" s="0"/>
      <c r="DU1235" s="0"/>
      <c r="DV1235" s="0"/>
      <c r="DW1235" s="0"/>
      <c r="DX1235" s="0"/>
      <c r="DY1235" s="0"/>
      <c r="DZ1235" s="0"/>
      <c r="EA1235" s="0"/>
      <c r="EB1235" s="0"/>
      <c r="EC1235" s="0"/>
      <c r="ED1235" s="0"/>
      <c r="EE1235" s="0"/>
      <c r="EF1235" s="0"/>
      <c r="EG1235" s="0"/>
      <c r="EH1235" s="0"/>
      <c r="EI1235" s="0"/>
      <c r="EJ1235" s="0"/>
      <c r="EK1235" s="0"/>
      <c r="EL1235" s="0"/>
      <c r="EM1235" s="0"/>
      <c r="EN1235" s="0"/>
      <c r="EO1235" s="0"/>
      <c r="EP1235" s="0"/>
      <c r="EQ1235" s="0"/>
      <c r="ER1235" s="0"/>
      <c r="ES1235" s="0"/>
      <c r="ET1235" s="0"/>
      <c r="EU1235" s="0"/>
      <c r="EV1235" s="0"/>
      <c r="EW1235" s="0"/>
      <c r="EX1235" s="0"/>
      <c r="EY1235" s="0"/>
      <c r="EZ1235" s="0"/>
      <c r="FA1235" s="0"/>
      <c r="FB1235" s="0"/>
      <c r="FC1235" s="0"/>
      <c r="FD1235" s="0"/>
      <c r="FE1235" s="0"/>
      <c r="FF1235" s="0"/>
      <c r="FG1235" s="0"/>
      <c r="FH1235" s="0"/>
      <c r="FI1235" s="0"/>
      <c r="FJ1235" s="0"/>
      <c r="FK1235" s="0"/>
      <c r="FL1235" s="0"/>
      <c r="FM1235" s="0"/>
      <c r="FN1235" s="0"/>
      <c r="FO1235" s="0"/>
      <c r="FP1235" s="0"/>
      <c r="FQ1235" s="0"/>
      <c r="FR1235" s="0"/>
      <c r="FS1235" s="0"/>
      <c r="FT1235" s="0"/>
      <c r="FU1235" s="0"/>
      <c r="FV1235" s="0"/>
      <c r="FW1235" s="0"/>
      <c r="FX1235" s="0"/>
      <c r="FY1235" s="0"/>
      <c r="FZ1235" s="0"/>
      <c r="GA1235" s="0"/>
      <c r="GB1235" s="0"/>
      <c r="GC1235" s="0"/>
      <c r="GD1235" s="0"/>
      <c r="GE1235" s="0"/>
      <c r="GF1235" s="0"/>
      <c r="GG1235" s="0"/>
      <c r="GH1235" s="0"/>
      <c r="GI1235" s="0"/>
      <c r="GJ1235" s="0"/>
      <c r="GK1235" s="0"/>
      <c r="GL1235" s="0"/>
      <c r="GM1235" s="0"/>
      <c r="GN1235" s="0"/>
      <c r="GO1235" s="0"/>
      <c r="GP1235" s="0"/>
      <c r="GQ1235" s="0"/>
      <c r="GR1235" s="0"/>
      <c r="GS1235" s="0"/>
      <c r="GT1235" s="0"/>
      <c r="GU1235" s="0"/>
      <c r="GV1235" s="0"/>
      <c r="GW1235" s="0"/>
      <c r="GX1235" s="0"/>
      <c r="GY1235" s="0"/>
      <c r="GZ1235" s="0"/>
      <c r="HA1235" s="0"/>
      <c r="HB1235" s="0"/>
      <c r="HC1235" s="0"/>
      <c r="HD1235" s="0"/>
      <c r="HE1235" s="0"/>
      <c r="HF1235" s="0"/>
      <c r="HG1235" s="0"/>
      <c r="HH1235" s="0"/>
      <c r="HI1235" s="0"/>
      <c r="HJ1235" s="0"/>
      <c r="HK1235" s="0"/>
      <c r="HL1235" s="0"/>
      <c r="HM1235" s="0"/>
      <c r="HN1235" s="0"/>
      <c r="HO1235" s="0"/>
      <c r="HP1235" s="0"/>
      <c r="HQ1235" s="0"/>
      <c r="HR1235" s="0"/>
      <c r="HS1235" s="0"/>
      <c r="HT1235" s="0"/>
      <c r="HU1235" s="0"/>
      <c r="HV1235" s="0"/>
      <c r="HW1235" s="0"/>
      <c r="HX1235" s="0"/>
      <c r="HY1235" s="0"/>
      <c r="HZ1235" s="0"/>
      <c r="IA1235" s="0"/>
      <c r="IB1235" s="0"/>
      <c r="IC1235" s="0"/>
      <c r="ID1235" s="0"/>
      <c r="IE1235" s="0"/>
      <c r="IF1235" s="0"/>
      <c r="IG1235" s="0"/>
      <c r="IH1235" s="0"/>
      <c r="II1235" s="0"/>
      <c r="IJ1235" s="0"/>
      <c r="IK1235" s="0"/>
      <c r="IL1235" s="0"/>
      <c r="IM1235" s="0"/>
      <c r="IN1235" s="0"/>
      <c r="IO1235" s="0"/>
      <c r="IP1235" s="0"/>
      <c r="IQ1235" s="0"/>
      <c r="IR1235" s="0"/>
      <c r="IS1235" s="0"/>
      <c r="IT1235" s="0"/>
      <c r="IU1235" s="0"/>
      <c r="IV1235" s="0"/>
    </row>
    <row r="1236" customFormat="false" ht="16.5" hidden="false" customHeight="true" outlineLevel="0" collapsed="false">
      <c r="A1236" s="869" t="s">
        <v>1767</v>
      </c>
      <c r="B1236" s="869"/>
      <c r="C1236" s="869"/>
      <c r="D1236" s="869"/>
      <c r="E1236" s="869"/>
      <c r="F1236" s="869"/>
      <c r="G1236" s="869"/>
      <c r="H1236" s="53"/>
      <c r="I1236" s="53"/>
      <c r="J1236" s="53"/>
      <c r="K1236" s="870"/>
      <c r="L1236" s="871"/>
      <c r="M1236" s="1438"/>
      <c r="S1236" s="0"/>
      <c r="T1236" s="0"/>
      <c r="U1236" s="0"/>
      <c r="V1236" s="0"/>
      <c r="W1236" s="0"/>
      <c r="X1236" s="0"/>
      <c r="Y1236" s="0"/>
      <c r="Z1236" s="0"/>
      <c r="AA1236" s="0"/>
      <c r="AB1236" s="0"/>
      <c r="AC1236" s="0"/>
      <c r="AD1236" s="0"/>
      <c r="AE1236" s="0"/>
      <c r="AF1236" s="0"/>
      <c r="AG1236" s="0"/>
      <c r="AH1236" s="0"/>
      <c r="AI1236" s="0"/>
      <c r="AJ1236" s="0"/>
      <c r="AK1236" s="0"/>
      <c r="AL1236" s="0"/>
      <c r="AM1236" s="0"/>
      <c r="AN1236" s="0"/>
      <c r="AO1236" s="0"/>
      <c r="AP1236" s="0"/>
      <c r="AQ1236" s="0"/>
      <c r="AR1236" s="0"/>
      <c r="AS1236" s="0"/>
      <c r="AT1236" s="0"/>
      <c r="AU1236" s="0"/>
      <c r="AV1236" s="0"/>
      <c r="AW1236" s="0"/>
      <c r="AX1236" s="0"/>
      <c r="AY1236" s="0"/>
      <c r="AZ1236" s="0"/>
      <c r="BA1236" s="0"/>
      <c r="BB1236" s="0"/>
      <c r="BC1236" s="0"/>
      <c r="BD1236" s="0"/>
      <c r="BE1236" s="0"/>
      <c r="BF1236" s="0"/>
      <c r="BG1236" s="0"/>
      <c r="BH1236" s="0"/>
      <c r="BI1236" s="0"/>
      <c r="BJ1236" s="0"/>
      <c r="BK1236" s="0"/>
      <c r="BL1236" s="0"/>
      <c r="BM1236" s="0"/>
      <c r="BN1236" s="0"/>
      <c r="BO1236" s="0"/>
      <c r="BP1236" s="0"/>
      <c r="BQ1236" s="0"/>
      <c r="BR1236" s="0"/>
      <c r="BS1236" s="0"/>
      <c r="BT1236" s="0"/>
      <c r="BU1236" s="0"/>
      <c r="BV1236" s="0"/>
      <c r="BW1236" s="0"/>
      <c r="BX1236" s="0"/>
      <c r="BY1236" s="0"/>
      <c r="BZ1236" s="0"/>
      <c r="CA1236" s="0"/>
      <c r="CB1236" s="0"/>
      <c r="CC1236" s="0"/>
      <c r="CD1236" s="0"/>
      <c r="CE1236" s="0"/>
      <c r="CF1236" s="0"/>
      <c r="CG1236" s="0"/>
      <c r="CH1236" s="0"/>
      <c r="CI1236" s="0"/>
      <c r="CJ1236" s="0"/>
      <c r="CK1236" s="0"/>
      <c r="CL1236" s="0"/>
      <c r="CM1236" s="0"/>
      <c r="CN1236" s="0"/>
      <c r="CO1236" s="0"/>
      <c r="CP1236" s="0"/>
      <c r="CQ1236" s="0"/>
      <c r="CR1236" s="0"/>
      <c r="CS1236" s="0"/>
      <c r="CT1236" s="0"/>
      <c r="CU1236" s="0"/>
      <c r="CV1236" s="0"/>
      <c r="CW1236" s="0"/>
      <c r="CX1236" s="0"/>
      <c r="CY1236" s="0"/>
      <c r="CZ1236" s="0"/>
      <c r="DA1236" s="0"/>
      <c r="DB1236" s="0"/>
      <c r="DC1236" s="0"/>
      <c r="DD1236" s="0"/>
      <c r="DE1236" s="0"/>
      <c r="DF1236" s="0"/>
      <c r="DG1236" s="0"/>
      <c r="DH1236" s="0"/>
      <c r="DI1236" s="0"/>
      <c r="DJ1236" s="0"/>
      <c r="DK1236" s="0"/>
      <c r="DL1236" s="0"/>
      <c r="DM1236" s="0"/>
      <c r="DN1236" s="0"/>
      <c r="DO1236" s="0"/>
      <c r="DP1236" s="0"/>
      <c r="DQ1236" s="0"/>
      <c r="DR1236" s="0"/>
      <c r="DS1236" s="0"/>
      <c r="DT1236" s="0"/>
      <c r="DU1236" s="0"/>
      <c r="DV1236" s="0"/>
      <c r="DW1236" s="0"/>
      <c r="DX1236" s="0"/>
      <c r="DY1236" s="0"/>
      <c r="DZ1236" s="0"/>
      <c r="EA1236" s="0"/>
      <c r="EB1236" s="0"/>
      <c r="EC1236" s="0"/>
      <c r="ED1236" s="0"/>
      <c r="EE1236" s="0"/>
      <c r="EF1236" s="0"/>
      <c r="EG1236" s="0"/>
      <c r="EH1236" s="0"/>
      <c r="EI1236" s="0"/>
      <c r="EJ1236" s="0"/>
      <c r="EK1236" s="0"/>
      <c r="EL1236" s="0"/>
      <c r="EM1236" s="0"/>
      <c r="EN1236" s="0"/>
      <c r="EO1236" s="0"/>
      <c r="EP1236" s="0"/>
      <c r="EQ1236" s="0"/>
      <c r="ER1236" s="0"/>
      <c r="ES1236" s="0"/>
      <c r="ET1236" s="0"/>
      <c r="EU1236" s="0"/>
      <c r="EV1236" s="0"/>
      <c r="EW1236" s="0"/>
      <c r="EX1236" s="0"/>
      <c r="EY1236" s="0"/>
      <c r="EZ1236" s="0"/>
      <c r="FA1236" s="0"/>
      <c r="FB1236" s="0"/>
      <c r="FC1236" s="0"/>
      <c r="FD1236" s="0"/>
      <c r="FE1236" s="0"/>
      <c r="FF1236" s="0"/>
      <c r="FG1236" s="0"/>
      <c r="FH1236" s="0"/>
      <c r="FI1236" s="0"/>
      <c r="FJ1236" s="0"/>
      <c r="FK1236" s="0"/>
      <c r="FL1236" s="0"/>
      <c r="FM1236" s="0"/>
      <c r="FN1236" s="0"/>
      <c r="FO1236" s="0"/>
      <c r="FP1236" s="0"/>
      <c r="FQ1236" s="0"/>
      <c r="FR1236" s="0"/>
      <c r="FS1236" s="0"/>
      <c r="FT1236" s="0"/>
      <c r="FU1236" s="0"/>
      <c r="FV1236" s="0"/>
      <c r="FW1236" s="0"/>
      <c r="FX1236" s="0"/>
      <c r="FY1236" s="0"/>
      <c r="FZ1236" s="0"/>
      <c r="GA1236" s="0"/>
      <c r="GB1236" s="0"/>
      <c r="GC1236" s="0"/>
      <c r="GD1236" s="0"/>
      <c r="GE1236" s="0"/>
      <c r="GF1236" s="0"/>
      <c r="GG1236" s="0"/>
      <c r="GH1236" s="0"/>
      <c r="GI1236" s="0"/>
      <c r="GJ1236" s="0"/>
      <c r="GK1236" s="0"/>
      <c r="GL1236" s="0"/>
      <c r="GM1236" s="0"/>
      <c r="GN1236" s="0"/>
      <c r="GO1236" s="0"/>
      <c r="GP1236" s="0"/>
      <c r="GQ1236" s="0"/>
      <c r="GR1236" s="0"/>
      <c r="GS1236" s="0"/>
      <c r="GT1236" s="0"/>
      <c r="GU1236" s="0"/>
      <c r="GV1236" s="0"/>
      <c r="GW1236" s="0"/>
      <c r="GX1236" s="0"/>
      <c r="GY1236" s="0"/>
      <c r="GZ1236" s="0"/>
      <c r="HA1236" s="0"/>
      <c r="HB1236" s="0"/>
      <c r="HC1236" s="0"/>
      <c r="HD1236" s="0"/>
      <c r="HE1236" s="0"/>
      <c r="HF1236" s="0"/>
      <c r="HG1236" s="0"/>
      <c r="HH1236" s="0"/>
      <c r="HI1236" s="0"/>
      <c r="HJ1236" s="0"/>
      <c r="HK1236" s="0"/>
      <c r="HL1236" s="0"/>
      <c r="HM1236" s="0"/>
      <c r="HN1236" s="0"/>
      <c r="HO1236" s="0"/>
      <c r="HP1236" s="0"/>
      <c r="HQ1236" s="0"/>
      <c r="HR1236" s="0"/>
      <c r="HS1236" s="0"/>
      <c r="HT1236" s="0"/>
      <c r="HU1236" s="0"/>
      <c r="HV1236" s="0"/>
      <c r="HW1236" s="0"/>
      <c r="HX1236" s="0"/>
      <c r="HY1236" s="0"/>
      <c r="HZ1236" s="0"/>
      <c r="IA1236" s="0"/>
      <c r="IB1236" s="0"/>
      <c r="IC1236" s="0"/>
      <c r="ID1236" s="0"/>
      <c r="IE1236" s="0"/>
      <c r="IF1236" s="0"/>
      <c r="IG1236" s="0"/>
      <c r="IH1236" s="0"/>
      <c r="II1236" s="0"/>
      <c r="IJ1236" s="0"/>
      <c r="IK1236" s="0"/>
      <c r="IL1236" s="0"/>
      <c r="IM1236" s="0"/>
      <c r="IN1236" s="0"/>
      <c r="IO1236" s="0"/>
      <c r="IP1236" s="0"/>
      <c r="IQ1236" s="0"/>
      <c r="IR1236" s="0"/>
      <c r="IS1236" s="0"/>
      <c r="IT1236" s="0"/>
      <c r="IU1236" s="0"/>
      <c r="IV1236" s="0"/>
    </row>
    <row r="1237" customFormat="false" ht="16.5" hidden="false" customHeight="true" outlineLevel="0" collapsed="false">
      <c r="A1237" s="1005"/>
      <c r="B1237" s="1005"/>
      <c r="C1237" s="1005"/>
      <c r="D1237" s="1005"/>
      <c r="E1237" s="1005"/>
      <c r="F1237" s="1005"/>
      <c r="G1237" s="1005"/>
      <c r="H1237" s="1332"/>
      <c r="K1237" s="1310"/>
      <c r="L1237" s="1432"/>
      <c r="M1237" s="1438"/>
      <c r="S1237" s="0"/>
      <c r="T1237" s="0"/>
      <c r="U1237" s="0"/>
      <c r="V1237" s="0"/>
      <c r="W1237" s="0"/>
      <c r="X1237" s="0"/>
      <c r="Y1237" s="0"/>
      <c r="Z1237" s="0"/>
      <c r="AA1237" s="0"/>
      <c r="AB1237" s="0"/>
      <c r="AC1237" s="0"/>
      <c r="AD1237" s="0"/>
      <c r="AE1237" s="0"/>
      <c r="AF1237" s="0"/>
      <c r="AG1237" s="0"/>
      <c r="AH1237" s="0"/>
      <c r="AI1237" s="0"/>
      <c r="AJ1237" s="0"/>
      <c r="AK1237" s="0"/>
      <c r="AL1237" s="0"/>
      <c r="AM1237" s="0"/>
      <c r="AN1237" s="0"/>
      <c r="AO1237" s="0"/>
      <c r="AP1237" s="0"/>
      <c r="AQ1237" s="0"/>
      <c r="AR1237" s="0"/>
      <c r="AS1237" s="0"/>
      <c r="AT1237" s="0"/>
      <c r="AU1237" s="0"/>
      <c r="AV1237" s="0"/>
      <c r="AW1237" s="0"/>
      <c r="AX1237" s="0"/>
      <c r="AY1237" s="0"/>
      <c r="AZ1237" s="0"/>
      <c r="BA1237" s="0"/>
      <c r="BB1237" s="0"/>
      <c r="BC1237" s="0"/>
      <c r="BD1237" s="0"/>
      <c r="BE1237" s="0"/>
      <c r="BF1237" s="0"/>
      <c r="BG1237" s="0"/>
      <c r="BH1237" s="0"/>
      <c r="BI1237" s="0"/>
      <c r="BJ1237" s="0"/>
      <c r="BK1237" s="0"/>
      <c r="BL1237" s="0"/>
      <c r="BM1237" s="0"/>
      <c r="BN1237" s="0"/>
      <c r="BO1237" s="0"/>
      <c r="BP1237" s="0"/>
      <c r="BQ1237" s="0"/>
      <c r="BR1237" s="0"/>
      <c r="BS1237" s="0"/>
      <c r="BT1237" s="0"/>
      <c r="BU1237" s="0"/>
      <c r="BV1237" s="0"/>
      <c r="BW1237" s="0"/>
      <c r="BX1237" s="0"/>
      <c r="BY1237" s="0"/>
      <c r="BZ1237" s="0"/>
      <c r="CA1237" s="0"/>
      <c r="CB1237" s="0"/>
      <c r="CC1237" s="0"/>
      <c r="CD1237" s="0"/>
      <c r="CE1237" s="0"/>
      <c r="CF1237" s="0"/>
      <c r="CG1237" s="0"/>
      <c r="CH1237" s="0"/>
      <c r="CI1237" s="0"/>
      <c r="CJ1237" s="0"/>
      <c r="CK1237" s="0"/>
      <c r="CL1237" s="0"/>
      <c r="CM1237" s="0"/>
      <c r="CN1237" s="0"/>
      <c r="CO1237" s="0"/>
      <c r="CP1237" s="0"/>
      <c r="CQ1237" s="0"/>
      <c r="CR1237" s="0"/>
      <c r="CS1237" s="0"/>
      <c r="CT1237" s="0"/>
      <c r="CU1237" s="0"/>
      <c r="CV1237" s="0"/>
      <c r="CW1237" s="0"/>
      <c r="CX1237" s="0"/>
      <c r="CY1237" s="0"/>
      <c r="CZ1237" s="0"/>
      <c r="DA1237" s="0"/>
      <c r="DB1237" s="0"/>
      <c r="DC1237" s="0"/>
      <c r="DD1237" s="0"/>
      <c r="DE1237" s="0"/>
      <c r="DF1237" s="0"/>
      <c r="DG1237" s="0"/>
      <c r="DH1237" s="0"/>
      <c r="DI1237" s="0"/>
      <c r="DJ1237" s="0"/>
      <c r="DK1237" s="0"/>
      <c r="DL1237" s="0"/>
      <c r="DM1237" s="0"/>
      <c r="DN1237" s="0"/>
      <c r="DO1237" s="0"/>
      <c r="DP1237" s="0"/>
      <c r="DQ1237" s="0"/>
      <c r="DR1237" s="0"/>
      <c r="DS1237" s="0"/>
      <c r="DT1237" s="0"/>
      <c r="DU1237" s="0"/>
      <c r="DV1237" s="0"/>
      <c r="DW1237" s="0"/>
      <c r="DX1237" s="0"/>
      <c r="DY1237" s="0"/>
      <c r="DZ1237" s="0"/>
      <c r="EA1237" s="0"/>
      <c r="EB1237" s="0"/>
      <c r="EC1237" s="0"/>
      <c r="ED1237" s="0"/>
      <c r="EE1237" s="0"/>
      <c r="EF1237" s="0"/>
      <c r="EG1237" s="0"/>
      <c r="EH1237" s="0"/>
      <c r="EI1237" s="0"/>
      <c r="EJ1237" s="0"/>
      <c r="EK1237" s="0"/>
      <c r="EL1237" s="0"/>
      <c r="EM1237" s="0"/>
      <c r="EN1237" s="0"/>
      <c r="EO1237" s="0"/>
      <c r="EP1237" s="0"/>
      <c r="EQ1237" s="0"/>
      <c r="ER1237" s="0"/>
      <c r="ES1237" s="0"/>
      <c r="ET1237" s="0"/>
      <c r="EU1237" s="0"/>
      <c r="EV1237" s="0"/>
      <c r="EW1237" s="0"/>
      <c r="EX1237" s="0"/>
      <c r="EY1237" s="0"/>
      <c r="EZ1237" s="0"/>
      <c r="FA1237" s="0"/>
      <c r="FB1237" s="0"/>
      <c r="FC1237" s="0"/>
      <c r="FD1237" s="0"/>
      <c r="FE1237" s="0"/>
      <c r="FF1237" s="0"/>
      <c r="FG1237" s="0"/>
      <c r="FH1237" s="0"/>
      <c r="FI1237" s="0"/>
      <c r="FJ1237" s="0"/>
      <c r="FK1237" s="0"/>
      <c r="FL1237" s="0"/>
      <c r="FM1237" s="0"/>
      <c r="FN1237" s="0"/>
      <c r="FO1237" s="0"/>
      <c r="FP1237" s="0"/>
      <c r="FQ1237" s="0"/>
      <c r="FR1237" s="0"/>
      <c r="FS1237" s="0"/>
      <c r="FT1237" s="0"/>
      <c r="FU1237" s="0"/>
      <c r="FV1237" s="0"/>
      <c r="FW1237" s="0"/>
      <c r="FX1237" s="0"/>
      <c r="FY1237" s="0"/>
      <c r="FZ1237" s="0"/>
      <c r="GA1237" s="0"/>
      <c r="GB1237" s="0"/>
      <c r="GC1237" s="0"/>
      <c r="GD1237" s="0"/>
      <c r="GE1237" s="0"/>
      <c r="GF1237" s="0"/>
      <c r="GG1237" s="0"/>
      <c r="GH1237" s="0"/>
      <c r="GI1237" s="0"/>
      <c r="GJ1237" s="0"/>
      <c r="GK1237" s="0"/>
      <c r="GL1237" s="0"/>
      <c r="GM1237" s="0"/>
      <c r="GN1237" s="0"/>
      <c r="GO1237" s="0"/>
      <c r="GP1237" s="0"/>
      <c r="GQ1237" s="0"/>
      <c r="GR1237" s="0"/>
      <c r="GS1237" s="0"/>
      <c r="GT1237" s="0"/>
      <c r="GU1237" s="0"/>
      <c r="GV1237" s="0"/>
      <c r="GW1237" s="0"/>
      <c r="GX1237" s="0"/>
      <c r="GY1237" s="0"/>
      <c r="GZ1237" s="0"/>
      <c r="HA1237" s="0"/>
      <c r="HB1237" s="0"/>
      <c r="HC1237" s="0"/>
      <c r="HD1237" s="0"/>
      <c r="HE1237" s="0"/>
      <c r="HF1237" s="0"/>
      <c r="HG1237" s="0"/>
      <c r="HH1237" s="0"/>
      <c r="HI1237" s="0"/>
      <c r="HJ1237" s="0"/>
      <c r="HK1237" s="0"/>
      <c r="HL1237" s="0"/>
      <c r="HM1237" s="0"/>
      <c r="HN1237" s="0"/>
      <c r="HO1237" s="0"/>
      <c r="HP1237" s="0"/>
      <c r="HQ1237" s="0"/>
      <c r="HR1237" s="0"/>
      <c r="HS1237" s="0"/>
      <c r="HT1237" s="0"/>
      <c r="HU1237" s="0"/>
      <c r="HV1237" s="0"/>
      <c r="HW1237" s="0"/>
      <c r="HX1237" s="0"/>
      <c r="HY1237" s="0"/>
      <c r="HZ1237" s="0"/>
      <c r="IA1237" s="0"/>
      <c r="IB1237" s="0"/>
      <c r="IC1237" s="0"/>
      <c r="ID1237" s="0"/>
      <c r="IE1237" s="0"/>
      <c r="IF1237" s="0"/>
      <c r="IG1237" s="0"/>
      <c r="IH1237" s="0"/>
      <c r="II1237" s="0"/>
      <c r="IJ1237" s="0"/>
      <c r="IK1237" s="0"/>
      <c r="IL1237" s="0"/>
      <c r="IM1237" s="0"/>
      <c r="IN1237" s="0"/>
      <c r="IO1237" s="0"/>
      <c r="IP1237" s="0"/>
      <c r="IQ1237" s="0"/>
      <c r="IR1237" s="0"/>
      <c r="IS1237" s="0"/>
      <c r="IT1237" s="0"/>
      <c r="IU1237" s="0"/>
      <c r="IV1237" s="0"/>
    </row>
    <row r="1238" customFormat="false" ht="15" hidden="false" customHeight="true" outlineLevel="0" collapsed="false">
      <c r="A1238" s="1436" t="s">
        <v>1768</v>
      </c>
      <c r="B1238" s="1436"/>
      <c r="C1238" s="452" t="s">
        <v>1769</v>
      </c>
      <c r="D1238" s="1437" t="n">
        <f aca="false">I1195/I1212</f>
        <v>0.145652369202033</v>
      </c>
      <c r="G1238" s="456"/>
      <c r="H1238" s="1332"/>
      <c r="K1238" s="55"/>
      <c r="M1238" s="0"/>
      <c r="S1238" s="0"/>
      <c r="T1238" s="0"/>
      <c r="U1238" s="0"/>
      <c r="V1238" s="0"/>
      <c r="W1238" s="0"/>
      <c r="X1238" s="0"/>
      <c r="Y1238" s="0"/>
      <c r="Z1238" s="0"/>
      <c r="AA1238" s="0"/>
      <c r="AB1238" s="0"/>
      <c r="AC1238" s="0"/>
      <c r="AD1238" s="0"/>
      <c r="AE1238" s="0"/>
      <c r="AF1238" s="0"/>
      <c r="AG1238" s="0"/>
      <c r="AH1238" s="0"/>
      <c r="AI1238" s="0"/>
      <c r="AJ1238" s="0"/>
      <c r="AK1238" s="0"/>
      <c r="AL1238" s="0"/>
      <c r="AM1238" s="0"/>
      <c r="AN1238" s="0"/>
      <c r="AO1238" s="0"/>
      <c r="AP1238" s="0"/>
      <c r="AQ1238" s="0"/>
      <c r="AR1238" s="0"/>
      <c r="AS1238" s="0"/>
      <c r="AT1238" s="0"/>
      <c r="AU1238" s="0"/>
      <c r="AV1238" s="0"/>
      <c r="AW1238" s="0"/>
      <c r="AX1238" s="0"/>
      <c r="AY1238" s="0"/>
      <c r="AZ1238" s="0"/>
      <c r="BA1238" s="0"/>
      <c r="BB1238" s="0"/>
      <c r="BC1238" s="0"/>
      <c r="BD1238" s="0"/>
      <c r="BE1238" s="0"/>
      <c r="BF1238" s="0"/>
      <c r="BG1238" s="0"/>
      <c r="BH1238" s="0"/>
      <c r="BI1238" s="0"/>
      <c r="BJ1238" s="0"/>
      <c r="BK1238" s="0"/>
      <c r="BL1238" s="0"/>
      <c r="BM1238" s="0"/>
      <c r="BN1238" s="0"/>
      <c r="BO1238" s="0"/>
      <c r="BP1238" s="0"/>
      <c r="BQ1238" s="0"/>
      <c r="BR1238" s="0"/>
      <c r="BS1238" s="0"/>
      <c r="BT1238" s="0"/>
      <c r="BU1238" s="0"/>
      <c r="BV1238" s="0"/>
      <c r="BW1238" s="0"/>
      <c r="BX1238" s="0"/>
      <c r="BY1238" s="0"/>
      <c r="BZ1238" s="0"/>
      <c r="CA1238" s="0"/>
      <c r="CB1238" s="0"/>
      <c r="CC1238" s="0"/>
      <c r="CD1238" s="0"/>
      <c r="CE1238" s="0"/>
      <c r="CF1238" s="0"/>
      <c r="CG1238" s="0"/>
      <c r="CH1238" s="0"/>
      <c r="CI1238" s="0"/>
      <c r="CJ1238" s="0"/>
      <c r="CK1238" s="0"/>
      <c r="CL1238" s="0"/>
      <c r="CM1238" s="0"/>
      <c r="CN1238" s="0"/>
      <c r="CO1238" s="0"/>
      <c r="CP1238" s="0"/>
      <c r="CQ1238" s="0"/>
      <c r="CR1238" s="0"/>
      <c r="CS1238" s="0"/>
      <c r="CT1238" s="0"/>
      <c r="CU1238" s="0"/>
      <c r="CV1238" s="0"/>
      <c r="CW1238" s="0"/>
      <c r="CX1238" s="0"/>
      <c r="CY1238" s="0"/>
      <c r="CZ1238" s="0"/>
      <c r="DA1238" s="0"/>
      <c r="DB1238" s="0"/>
      <c r="DC1238" s="0"/>
      <c r="DD1238" s="0"/>
      <c r="DE1238" s="0"/>
      <c r="DF1238" s="0"/>
      <c r="DG1238" s="0"/>
      <c r="DH1238" s="0"/>
      <c r="DI1238" s="0"/>
      <c r="DJ1238" s="0"/>
      <c r="DK1238" s="0"/>
      <c r="DL1238" s="0"/>
      <c r="DM1238" s="0"/>
      <c r="DN1238" s="0"/>
      <c r="DO1238" s="0"/>
      <c r="DP1238" s="0"/>
      <c r="DQ1238" s="0"/>
      <c r="DR1238" s="0"/>
      <c r="DS1238" s="0"/>
      <c r="DT1238" s="0"/>
      <c r="DU1238" s="0"/>
      <c r="DV1238" s="0"/>
      <c r="DW1238" s="0"/>
      <c r="DX1238" s="0"/>
      <c r="DY1238" s="0"/>
      <c r="DZ1238" s="0"/>
      <c r="EA1238" s="0"/>
      <c r="EB1238" s="0"/>
      <c r="EC1238" s="0"/>
      <c r="ED1238" s="0"/>
      <c r="EE1238" s="0"/>
      <c r="EF1238" s="0"/>
      <c r="EG1238" s="0"/>
      <c r="EH1238" s="0"/>
      <c r="EI1238" s="0"/>
      <c r="EJ1238" s="0"/>
      <c r="EK1238" s="0"/>
      <c r="EL1238" s="0"/>
      <c r="EM1238" s="0"/>
      <c r="EN1238" s="0"/>
      <c r="EO1238" s="0"/>
      <c r="EP1238" s="0"/>
      <c r="EQ1238" s="0"/>
      <c r="ER1238" s="0"/>
      <c r="ES1238" s="0"/>
      <c r="ET1238" s="0"/>
      <c r="EU1238" s="0"/>
      <c r="EV1238" s="0"/>
      <c r="EW1238" s="0"/>
      <c r="EX1238" s="0"/>
      <c r="EY1238" s="0"/>
      <c r="EZ1238" s="0"/>
      <c r="FA1238" s="0"/>
      <c r="FB1238" s="0"/>
      <c r="FC1238" s="0"/>
      <c r="FD1238" s="0"/>
      <c r="FE1238" s="0"/>
      <c r="FF1238" s="0"/>
      <c r="FG1238" s="0"/>
      <c r="FH1238" s="0"/>
      <c r="FI1238" s="0"/>
      <c r="FJ1238" s="0"/>
      <c r="FK1238" s="0"/>
      <c r="FL1238" s="0"/>
      <c r="FM1238" s="0"/>
      <c r="FN1238" s="0"/>
      <c r="FO1238" s="0"/>
      <c r="FP1238" s="0"/>
      <c r="FQ1238" s="0"/>
      <c r="FR1238" s="0"/>
      <c r="FS1238" s="0"/>
      <c r="FT1238" s="0"/>
      <c r="FU1238" s="0"/>
      <c r="FV1238" s="0"/>
      <c r="FW1238" s="0"/>
      <c r="FX1238" s="0"/>
      <c r="FY1238" s="0"/>
      <c r="FZ1238" s="0"/>
      <c r="GA1238" s="0"/>
      <c r="GB1238" s="0"/>
      <c r="GC1238" s="0"/>
      <c r="GD1238" s="0"/>
      <c r="GE1238" s="0"/>
      <c r="GF1238" s="0"/>
      <c r="GG1238" s="0"/>
      <c r="GH1238" s="0"/>
      <c r="GI1238" s="0"/>
      <c r="GJ1238" s="0"/>
      <c r="GK1238" s="0"/>
      <c r="GL1238" s="0"/>
      <c r="GM1238" s="0"/>
      <c r="GN1238" s="0"/>
      <c r="GO1238" s="0"/>
      <c r="GP1238" s="0"/>
      <c r="GQ1238" s="0"/>
      <c r="GR1238" s="0"/>
      <c r="GS1238" s="0"/>
      <c r="GT1238" s="0"/>
      <c r="GU1238" s="0"/>
      <c r="GV1238" s="0"/>
      <c r="GW1238" s="0"/>
      <c r="GX1238" s="0"/>
      <c r="GY1238" s="0"/>
      <c r="GZ1238" s="0"/>
      <c r="HA1238" s="0"/>
      <c r="HB1238" s="0"/>
      <c r="HC1238" s="0"/>
      <c r="HD1238" s="0"/>
      <c r="HE1238" s="0"/>
      <c r="HF1238" s="0"/>
      <c r="HG1238" s="0"/>
      <c r="HH1238" s="0"/>
      <c r="HI1238" s="0"/>
      <c r="HJ1238" s="0"/>
      <c r="HK1238" s="0"/>
      <c r="HL1238" s="0"/>
      <c r="HM1238" s="0"/>
      <c r="HN1238" s="0"/>
      <c r="HO1238" s="0"/>
      <c r="HP1238" s="0"/>
      <c r="HQ1238" s="0"/>
      <c r="HR1238" s="0"/>
      <c r="HS1238" s="0"/>
      <c r="HT1238" s="0"/>
      <c r="HU1238" s="0"/>
      <c r="HV1238" s="0"/>
      <c r="HW1238" s="0"/>
      <c r="HX1238" s="0"/>
      <c r="HY1238" s="0"/>
      <c r="HZ1238" s="0"/>
      <c r="IA1238" s="0"/>
      <c r="IB1238" s="0"/>
      <c r="IC1238" s="0"/>
      <c r="ID1238" s="0"/>
      <c r="IE1238" s="0"/>
      <c r="IF1238" s="0"/>
      <c r="IG1238" s="0"/>
      <c r="IH1238" s="0"/>
      <c r="II1238" s="0"/>
      <c r="IJ1238" s="0"/>
      <c r="IK1238" s="0"/>
      <c r="IL1238" s="0"/>
      <c r="IM1238" s="0"/>
      <c r="IN1238" s="0"/>
      <c r="IO1238" s="0"/>
      <c r="IP1238" s="0"/>
      <c r="IQ1238" s="0"/>
      <c r="IR1238" s="0"/>
      <c r="IS1238" s="0"/>
      <c r="IT1238" s="0"/>
      <c r="IU1238" s="0"/>
      <c r="IV1238" s="0"/>
    </row>
    <row r="1239" customFormat="false" ht="15" hidden="false" customHeight="true" outlineLevel="0" collapsed="false">
      <c r="A1239" s="1439"/>
      <c r="B1239" s="19"/>
      <c r="C1239" s="411"/>
      <c r="D1239" s="19"/>
      <c r="E1239" s="456"/>
      <c r="F1239" s="1440"/>
      <c r="G1239" s="456"/>
      <c r="H1239" s="1332"/>
      <c r="K1239" s="55"/>
      <c r="M1239" s="1438"/>
      <c r="S1239" s="0"/>
      <c r="T1239" s="0"/>
      <c r="U1239" s="0"/>
      <c r="V1239" s="0"/>
      <c r="W1239" s="0"/>
      <c r="X1239" s="0"/>
      <c r="Y1239" s="0"/>
      <c r="Z1239" s="0"/>
      <c r="AA1239" s="0"/>
      <c r="AB1239" s="0"/>
      <c r="AC1239" s="0"/>
      <c r="AD1239" s="0"/>
      <c r="AE1239" s="0"/>
      <c r="AF1239" s="0"/>
      <c r="AG1239" s="0"/>
      <c r="AH1239" s="0"/>
      <c r="AI1239" s="0"/>
      <c r="AJ1239" s="0"/>
      <c r="AK1239" s="0"/>
      <c r="AL1239" s="0"/>
      <c r="AM1239" s="0"/>
      <c r="AN1239" s="0"/>
      <c r="AO1239" s="0"/>
      <c r="AP1239" s="0"/>
      <c r="AQ1239" s="0"/>
      <c r="AR1239" s="0"/>
      <c r="AS1239" s="0"/>
      <c r="AT1239" s="0"/>
      <c r="AU1239" s="0"/>
      <c r="AV1239" s="0"/>
      <c r="AW1239" s="0"/>
      <c r="AX1239" s="0"/>
      <c r="AY1239" s="0"/>
      <c r="AZ1239" s="0"/>
      <c r="BA1239" s="0"/>
      <c r="BB1239" s="0"/>
      <c r="BC1239" s="0"/>
      <c r="BD1239" s="0"/>
      <c r="BE1239" s="0"/>
      <c r="BF1239" s="0"/>
      <c r="BG1239" s="0"/>
      <c r="BH1239" s="0"/>
      <c r="BI1239" s="0"/>
      <c r="BJ1239" s="0"/>
      <c r="BK1239" s="0"/>
      <c r="BL1239" s="0"/>
      <c r="BM1239" s="0"/>
      <c r="BN1239" s="0"/>
      <c r="BO1239" s="0"/>
      <c r="BP1239" s="0"/>
      <c r="BQ1239" s="0"/>
      <c r="BR1239" s="0"/>
      <c r="BS1239" s="0"/>
      <c r="BT1239" s="0"/>
      <c r="BU1239" s="0"/>
      <c r="BV1239" s="0"/>
      <c r="BW1239" s="0"/>
      <c r="BX1239" s="0"/>
      <c r="BY1239" s="0"/>
      <c r="BZ1239" s="0"/>
      <c r="CA1239" s="0"/>
      <c r="CB1239" s="0"/>
      <c r="CC1239" s="0"/>
      <c r="CD1239" s="0"/>
      <c r="CE1239" s="0"/>
      <c r="CF1239" s="0"/>
      <c r="CG1239" s="0"/>
      <c r="CH1239" s="0"/>
      <c r="CI1239" s="0"/>
      <c r="CJ1239" s="0"/>
      <c r="CK1239" s="0"/>
      <c r="CL1239" s="0"/>
      <c r="CM1239" s="0"/>
      <c r="CN1239" s="0"/>
      <c r="CO1239" s="0"/>
      <c r="CP1239" s="0"/>
      <c r="CQ1239" s="0"/>
      <c r="CR1239" s="0"/>
      <c r="CS1239" s="0"/>
      <c r="CT1239" s="0"/>
      <c r="CU1239" s="0"/>
      <c r="CV1239" s="0"/>
      <c r="CW1239" s="0"/>
      <c r="CX1239" s="0"/>
      <c r="CY1239" s="0"/>
      <c r="CZ1239" s="0"/>
      <c r="DA1239" s="0"/>
      <c r="DB1239" s="0"/>
      <c r="DC1239" s="0"/>
      <c r="DD1239" s="0"/>
      <c r="DE1239" s="0"/>
      <c r="DF1239" s="0"/>
      <c r="DG1239" s="0"/>
      <c r="DH1239" s="0"/>
      <c r="DI1239" s="0"/>
      <c r="DJ1239" s="0"/>
      <c r="DK1239" s="0"/>
      <c r="DL1239" s="0"/>
      <c r="DM1239" s="0"/>
      <c r="DN1239" s="0"/>
      <c r="DO1239" s="0"/>
      <c r="DP1239" s="0"/>
      <c r="DQ1239" s="0"/>
      <c r="DR1239" s="0"/>
      <c r="DS1239" s="0"/>
      <c r="DT1239" s="0"/>
      <c r="DU1239" s="0"/>
      <c r="DV1239" s="0"/>
      <c r="DW1239" s="0"/>
      <c r="DX1239" s="0"/>
      <c r="DY1239" s="0"/>
      <c r="DZ1239" s="0"/>
      <c r="EA1239" s="0"/>
      <c r="EB1239" s="0"/>
      <c r="EC1239" s="0"/>
      <c r="ED1239" s="0"/>
      <c r="EE1239" s="0"/>
      <c r="EF1239" s="0"/>
      <c r="EG1239" s="0"/>
      <c r="EH1239" s="0"/>
      <c r="EI1239" s="0"/>
      <c r="EJ1239" s="0"/>
      <c r="EK1239" s="0"/>
      <c r="EL1239" s="0"/>
      <c r="EM1239" s="0"/>
      <c r="EN1239" s="0"/>
      <c r="EO1239" s="0"/>
      <c r="EP1239" s="0"/>
      <c r="EQ1239" s="0"/>
      <c r="ER1239" s="0"/>
      <c r="ES1239" s="0"/>
      <c r="ET1239" s="0"/>
      <c r="EU1239" s="0"/>
      <c r="EV1239" s="0"/>
      <c r="EW1239" s="0"/>
      <c r="EX1239" s="0"/>
      <c r="EY1239" s="0"/>
      <c r="EZ1239" s="0"/>
      <c r="FA1239" s="0"/>
      <c r="FB1239" s="0"/>
      <c r="FC1239" s="0"/>
      <c r="FD1239" s="0"/>
      <c r="FE1239" s="0"/>
      <c r="FF1239" s="0"/>
      <c r="FG1239" s="0"/>
      <c r="FH1239" s="0"/>
      <c r="FI1239" s="0"/>
      <c r="FJ1239" s="0"/>
      <c r="FK1239" s="0"/>
      <c r="FL1239" s="0"/>
      <c r="FM1239" s="0"/>
      <c r="FN1239" s="0"/>
      <c r="FO1239" s="0"/>
      <c r="FP1239" s="0"/>
      <c r="FQ1239" s="0"/>
      <c r="FR1239" s="0"/>
      <c r="FS1239" s="0"/>
      <c r="FT1239" s="0"/>
      <c r="FU1239" s="0"/>
      <c r="FV1239" s="0"/>
      <c r="FW1239" s="0"/>
      <c r="FX1239" s="0"/>
      <c r="FY1239" s="0"/>
      <c r="FZ1239" s="0"/>
      <c r="GA1239" s="0"/>
      <c r="GB1239" s="0"/>
      <c r="GC1239" s="0"/>
      <c r="GD1239" s="0"/>
      <c r="GE1239" s="0"/>
      <c r="GF1239" s="0"/>
      <c r="GG1239" s="0"/>
      <c r="GH1239" s="0"/>
      <c r="GI1239" s="0"/>
      <c r="GJ1239" s="0"/>
      <c r="GK1239" s="0"/>
      <c r="GL1239" s="0"/>
      <c r="GM1239" s="0"/>
      <c r="GN1239" s="0"/>
      <c r="GO1239" s="0"/>
      <c r="GP1239" s="0"/>
      <c r="GQ1239" s="0"/>
      <c r="GR1239" s="0"/>
      <c r="GS1239" s="0"/>
      <c r="GT1239" s="0"/>
      <c r="GU1239" s="0"/>
      <c r="GV1239" s="0"/>
      <c r="GW1239" s="0"/>
      <c r="GX1239" s="0"/>
      <c r="GY1239" s="0"/>
      <c r="GZ1239" s="0"/>
      <c r="HA1239" s="0"/>
      <c r="HB1239" s="0"/>
      <c r="HC1239" s="0"/>
      <c r="HD1239" s="0"/>
      <c r="HE1239" s="0"/>
      <c r="HF1239" s="0"/>
      <c r="HG1239" s="0"/>
      <c r="HH1239" s="0"/>
      <c r="HI1239" s="0"/>
      <c r="HJ1239" s="0"/>
      <c r="HK1239" s="0"/>
      <c r="HL1239" s="0"/>
      <c r="HM1239" s="0"/>
      <c r="HN1239" s="0"/>
      <c r="HO1239" s="0"/>
      <c r="HP1239" s="0"/>
      <c r="HQ1239" s="0"/>
      <c r="HR1239" s="0"/>
      <c r="HS1239" s="0"/>
      <c r="HT1239" s="0"/>
      <c r="HU1239" s="0"/>
      <c r="HV1239" s="0"/>
      <c r="HW1239" s="0"/>
      <c r="HX1239" s="0"/>
      <c r="HY1239" s="0"/>
      <c r="HZ1239" s="0"/>
      <c r="IA1239" s="0"/>
      <c r="IB1239" s="0"/>
      <c r="IC1239" s="0"/>
      <c r="ID1239" s="0"/>
      <c r="IE1239" s="0"/>
      <c r="IF1239" s="0"/>
      <c r="IG1239" s="0"/>
      <c r="IH1239" s="0"/>
      <c r="II1239" s="0"/>
      <c r="IJ1239" s="0"/>
      <c r="IK1239" s="0"/>
      <c r="IL1239" s="0"/>
      <c r="IM1239" s="0"/>
      <c r="IN1239" s="0"/>
      <c r="IO1239" s="0"/>
      <c r="IP1239" s="0"/>
      <c r="IQ1239" s="0"/>
      <c r="IR1239" s="0"/>
      <c r="IS1239" s="0"/>
      <c r="IT1239" s="0"/>
      <c r="IU1239" s="0"/>
      <c r="IV1239" s="0"/>
    </row>
    <row r="1240" customFormat="false" ht="15" hidden="false" customHeight="true" outlineLevel="0" collapsed="false">
      <c r="A1240" s="1439"/>
      <c r="B1240" s="19"/>
      <c r="C1240" s="411"/>
      <c r="D1240" s="19"/>
      <c r="E1240" s="456"/>
      <c r="F1240" s="1440"/>
      <c r="G1240" s="456"/>
      <c r="H1240" s="1332"/>
      <c r="K1240" s="55"/>
      <c r="T1240" s="0"/>
      <c r="U1240" s="0"/>
      <c r="V1240" s="0"/>
      <c r="W1240" s="0"/>
      <c r="X1240" s="0"/>
      <c r="Y1240" s="0"/>
      <c r="Z1240" s="0"/>
      <c r="AA1240" s="0"/>
      <c r="AB1240" s="0"/>
      <c r="AC1240" s="0"/>
      <c r="AD1240" s="0"/>
      <c r="AE1240" s="0"/>
      <c r="AF1240" s="0"/>
      <c r="AG1240" s="0"/>
      <c r="AH1240" s="0"/>
      <c r="AI1240" s="0"/>
      <c r="AJ1240" s="0"/>
      <c r="AK1240" s="0"/>
      <c r="AL1240" s="0"/>
      <c r="AM1240" s="0"/>
      <c r="AN1240" s="0"/>
      <c r="AO1240" s="0"/>
      <c r="AP1240" s="0"/>
      <c r="AQ1240" s="0"/>
      <c r="AR1240" s="0"/>
      <c r="AS1240" s="0"/>
      <c r="AT1240" s="0"/>
      <c r="AU1240" s="0"/>
      <c r="AV1240" s="0"/>
      <c r="AW1240" s="0"/>
      <c r="AX1240" s="0"/>
      <c r="AY1240" s="0"/>
      <c r="AZ1240" s="0"/>
      <c r="BA1240" s="0"/>
      <c r="BB1240" s="0"/>
      <c r="BC1240" s="0"/>
      <c r="BD1240" s="0"/>
      <c r="BE1240" s="0"/>
      <c r="BF1240" s="0"/>
      <c r="BG1240" s="0"/>
      <c r="BH1240" s="0"/>
      <c r="BI1240" s="0"/>
      <c r="BJ1240" s="0"/>
      <c r="BK1240" s="0"/>
      <c r="BL1240" s="0"/>
      <c r="BM1240" s="0"/>
      <c r="BN1240" s="0"/>
      <c r="BO1240" s="0"/>
      <c r="BP1240" s="0"/>
      <c r="BQ1240" s="0"/>
      <c r="BR1240" s="0"/>
      <c r="BS1240" s="0"/>
      <c r="BT1240" s="0"/>
      <c r="BU1240" s="0"/>
      <c r="BV1240" s="0"/>
      <c r="BW1240" s="0"/>
      <c r="BX1240" s="0"/>
      <c r="BY1240" s="0"/>
      <c r="BZ1240" s="0"/>
      <c r="CA1240" s="0"/>
      <c r="CB1240" s="0"/>
      <c r="CC1240" s="0"/>
      <c r="CD1240" s="0"/>
      <c r="CE1240" s="0"/>
      <c r="CF1240" s="0"/>
      <c r="CG1240" s="0"/>
      <c r="CH1240" s="0"/>
      <c r="CI1240" s="0"/>
      <c r="CJ1240" s="0"/>
      <c r="CK1240" s="0"/>
      <c r="CL1240" s="0"/>
      <c r="CM1240" s="0"/>
      <c r="CN1240" s="0"/>
      <c r="CO1240" s="0"/>
      <c r="CP1240" s="0"/>
      <c r="CQ1240" s="0"/>
      <c r="CR1240" s="0"/>
      <c r="CS1240" s="0"/>
      <c r="CT1240" s="0"/>
      <c r="CU1240" s="0"/>
      <c r="CV1240" s="0"/>
      <c r="CW1240" s="0"/>
      <c r="CX1240" s="0"/>
      <c r="CY1240" s="0"/>
      <c r="CZ1240" s="0"/>
      <c r="DA1240" s="0"/>
      <c r="DB1240" s="0"/>
      <c r="DC1240" s="0"/>
      <c r="DD1240" s="0"/>
      <c r="DE1240" s="0"/>
      <c r="DF1240" s="0"/>
      <c r="DG1240" s="0"/>
      <c r="DH1240" s="0"/>
      <c r="DI1240" s="0"/>
      <c r="DJ1240" s="0"/>
      <c r="DK1240" s="0"/>
      <c r="DL1240" s="0"/>
      <c r="DM1240" s="0"/>
      <c r="DN1240" s="0"/>
      <c r="DO1240" s="0"/>
      <c r="DP1240" s="0"/>
      <c r="DQ1240" s="0"/>
      <c r="DR1240" s="0"/>
      <c r="DS1240" s="0"/>
      <c r="DT1240" s="0"/>
      <c r="DU1240" s="0"/>
      <c r="DV1240" s="0"/>
      <c r="DW1240" s="0"/>
      <c r="DX1240" s="0"/>
      <c r="DY1240" s="0"/>
      <c r="DZ1240" s="0"/>
      <c r="EA1240" s="0"/>
      <c r="EB1240" s="0"/>
      <c r="EC1240" s="0"/>
      <c r="ED1240" s="0"/>
      <c r="EE1240" s="0"/>
      <c r="EF1240" s="0"/>
      <c r="EG1240" s="0"/>
      <c r="EH1240" s="0"/>
      <c r="EI1240" s="0"/>
      <c r="EJ1240" s="0"/>
      <c r="EK1240" s="0"/>
      <c r="EL1240" s="0"/>
      <c r="EM1240" s="0"/>
      <c r="EN1240" s="0"/>
      <c r="EO1240" s="0"/>
      <c r="EP1240" s="0"/>
      <c r="EQ1240" s="0"/>
      <c r="ER1240" s="0"/>
      <c r="ES1240" s="0"/>
      <c r="ET1240" s="0"/>
      <c r="EU1240" s="0"/>
      <c r="EV1240" s="0"/>
      <c r="EW1240" s="0"/>
      <c r="EX1240" s="0"/>
      <c r="EY1240" s="0"/>
      <c r="EZ1240" s="0"/>
      <c r="FA1240" s="0"/>
      <c r="FB1240" s="0"/>
      <c r="FC1240" s="0"/>
      <c r="FD1240" s="0"/>
      <c r="FE1240" s="0"/>
      <c r="FF1240" s="0"/>
      <c r="FG1240" s="0"/>
      <c r="FH1240" s="0"/>
      <c r="FI1240" s="0"/>
      <c r="FJ1240" s="0"/>
      <c r="FK1240" s="0"/>
      <c r="FL1240" s="0"/>
      <c r="FM1240" s="0"/>
      <c r="FN1240" s="0"/>
      <c r="FO1240" s="0"/>
      <c r="FP1240" s="0"/>
      <c r="FQ1240" s="0"/>
      <c r="FR1240" s="0"/>
      <c r="FS1240" s="0"/>
      <c r="FT1240" s="0"/>
      <c r="FU1240" s="0"/>
      <c r="FV1240" s="0"/>
      <c r="FW1240" s="0"/>
      <c r="FX1240" s="0"/>
      <c r="FY1240" s="0"/>
      <c r="FZ1240" s="0"/>
      <c r="GA1240" s="0"/>
      <c r="GB1240" s="0"/>
      <c r="GC1240" s="0"/>
      <c r="GD1240" s="0"/>
      <c r="GE1240" s="0"/>
      <c r="GF1240" s="0"/>
      <c r="GG1240" s="0"/>
      <c r="GH1240" s="0"/>
      <c r="GI1240" s="0"/>
      <c r="GJ1240" s="0"/>
      <c r="GK1240" s="0"/>
      <c r="GL1240" s="0"/>
      <c r="GM1240" s="0"/>
      <c r="GN1240" s="0"/>
      <c r="GO1240" s="0"/>
      <c r="GP1240" s="0"/>
      <c r="GQ1240" s="0"/>
      <c r="GR1240" s="0"/>
      <c r="GS1240" s="0"/>
      <c r="GT1240" s="0"/>
      <c r="GU1240" s="0"/>
      <c r="GV1240" s="0"/>
      <c r="GW1240" s="0"/>
      <c r="GX1240" s="0"/>
      <c r="GY1240" s="0"/>
      <c r="GZ1240" s="0"/>
      <c r="HA1240" s="0"/>
      <c r="HB1240" s="0"/>
      <c r="HC1240" s="0"/>
      <c r="HD1240" s="0"/>
      <c r="HE1240" s="0"/>
      <c r="HF1240" s="0"/>
      <c r="HG1240" s="0"/>
      <c r="HH1240" s="0"/>
      <c r="HI1240" s="0"/>
      <c r="HJ1240" s="0"/>
      <c r="HK1240" s="0"/>
      <c r="HL1240" s="0"/>
      <c r="HM1240" s="0"/>
      <c r="HN1240" s="0"/>
      <c r="HO1240" s="0"/>
      <c r="HP1240" s="0"/>
      <c r="HQ1240" s="0"/>
      <c r="HR1240" s="0"/>
      <c r="HS1240" s="0"/>
      <c r="HT1240" s="0"/>
      <c r="HU1240" s="0"/>
      <c r="HV1240" s="0"/>
      <c r="HW1240" s="0"/>
      <c r="HX1240" s="0"/>
      <c r="HY1240" s="0"/>
      <c r="HZ1240" s="0"/>
      <c r="IA1240" s="0"/>
      <c r="IB1240" s="0"/>
      <c r="IC1240" s="0"/>
      <c r="ID1240" s="0"/>
      <c r="IE1240" s="0"/>
      <c r="IF1240" s="0"/>
      <c r="IG1240" s="0"/>
      <c r="IH1240" s="0"/>
      <c r="II1240" s="0"/>
      <c r="IJ1240" s="0"/>
      <c r="IK1240" s="0"/>
      <c r="IL1240" s="0"/>
      <c r="IM1240" s="0"/>
      <c r="IN1240" s="0"/>
      <c r="IO1240" s="0"/>
      <c r="IP1240" s="0"/>
      <c r="IQ1240" s="0"/>
      <c r="IR1240" s="0"/>
      <c r="IS1240" s="0"/>
      <c r="IT1240" s="0"/>
      <c r="IU1240" s="0"/>
      <c r="IV1240" s="0"/>
    </row>
    <row r="1241" customFormat="false" ht="15.75" hidden="false" customHeight="true" outlineLevel="0" collapsed="false">
      <c r="A1241" s="869" t="s">
        <v>1770</v>
      </c>
      <c r="B1241" s="869"/>
      <c r="C1241" s="869"/>
      <c r="D1241" s="869"/>
      <c r="E1241" s="869"/>
      <c r="F1241" s="869"/>
      <c r="G1241" s="869"/>
      <c r="H1241" s="53"/>
      <c r="I1241" s="53"/>
      <c r="J1241" s="53"/>
      <c r="K1241" s="870"/>
      <c r="L1241" s="871" t="s">
        <v>1771</v>
      </c>
      <c r="M1241" s="912"/>
      <c r="T1241" s="0"/>
      <c r="U1241" s="0"/>
      <c r="V1241" s="0"/>
      <c r="W1241" s="0"/>
      <c r="X1241" s="0"/>
      <c r="Y1241" s="0"/>
      <c r="Z1241" s="0"/>
      <c r="AA1241" s="0"/>
      <c r="AB1241" s="0"/>
      <c r="AC1241" s="0"/>
      <c r="AD1241" s="0"/>
      <c r="AE1241" s="0"/>
      <c r="AF1241" s="0"/>
      <c r="AG1241" s="0"/>
      <c r="AH1241" s="0"/>
      <c r="AI1241" s="0"/>
      <c r="AJ1241" s="0"/>
      <c r="AK1241" s="0"/>
      <c r="AL1241" s="0"/>
      <c r="AM1241" s="0"/>
      <c r="AN1241" s="0"/>
      <c r="AO1241" s="0"/>
      <c r="AP1241" s="0"/>
      <c r="AQ1241" s="0"/>
      <c r="AR1241" s="0"/>
      <c r="AS1241" s="0"/>
      <c r="AT1241" s="0"/>
      <c r="AU1241" s="0"/>
      <c r="AV1241" s="0"/>
      <c r="AW1241" s="0"/>
      <c r="AX1241" s="0"/>
      <c r="AY1241" s="0"/>
      <c r="AZ1241" s="0"/>
      <c r="BA1241" s="0"/>
      <c r="BB1241" s="0"/>
      <c r="BC1241" s="0"/>
      <c r="BD1241" s="0"/>
      <c r="BE1241" s="0"/>
      <c r="BF1241" s="0"/>
      <c r="BG1241" s="0"/>
      <c r="BH1241" s="0"/>
      <c r="BI1241" s="0"/>
      <c r="BJ1241" s="0"/>
      <c r="BK1241" s="0"/>
      <c r="BL1241" s="0"/>
      <c r="BM1241" s="0"/>
      <c r="BN1241" s="0"/>
      <c r="BO1241" s="0"/>
      <c r="BP1241" s="0"/>
      <c r="BQ1241" s="0"/>
      <c r="BR1241" s="0"/>
      <c r="BS1241" s="0"/>
      <c r="BT1241" s="0"/>
      <c r="BU1241" s="0"/>
      <c r="BV1241" s="0"/>
      <c r="BW1241" s="0"/>
      <c r="BX1241" s="0"/>
      <c r="BY1241" s="0"/>
      <c r="BZ1241" s="0"/>
      <c r="CA1241" s="0"/>
      <c r="CB1241" s="0"/>
      <c r="CC1241" s="0"/>
      <c r="CD1241" s="0"/>
      <c r="CE1241" s="0"/>
      <c r="CF1241" s="0"/>
      <c r="CG1241" s="0"/>
      <c r="CH1241" s="0"/>
      <c r="CI1241" s="0"/>
      <c r="CJ1241" s="0"/>
      <c r="CK1241" s="0"/>
      <c r="CL1241" s="0"/>
      <c r="CM1241" s="0"/>
      <c r="CN1241" s="0"/>
      <c r="CO1241" s="0"/>
      <c r="CP1241" s="0"/>
      <c r="CQ1241" s="0"/>
      <c r="CR1241" s="0"/>
      <c r="CS1241" s="0"/>
      <c r="CT1241" s="0"/>
      <c r="CU1241" s="0"/>
      <c r="CV1241" s="0"/>
      <c r="CW1241" s="0"/>
      <c r="CX1241" s="0"/>
      <c r="CY1241" s="0"/>
      <c r="CZ1241" s="0"/>
      <c r="DA1241" s="0"/>
      <c r="DB1241" s="0"/>
      <c r="DC1241" s="0"/>
      <c r="DD1241" s="0"/>
      <c r="DE1241" s="0"/>
      <c r="DF1241" s="0"/>
      <c r="DG1241" s="0"/>
      <c r="DH1241" s="0"/>
      <c r="DI1241" s="0"/>
      <c r="DJ1241" s="0"/>
      <c r="DK1241" s="0"/>
      <c r="DL1241" s="0"/>
      <c r="DM1241" s="0"/>
      <c r="DN1241" s="0"/>
      <c r="DO1241" s="0"/>
      <c r="DP1241" s="0"/>
      <c r="DQ1241" s="0"/>
      <c r="DR1241" s="0"/>
      <c r="DS1241" s="0"/>
      <c r="DT1241" s="0"/>
      <c r="DU1241" s="0"/>
      <c r="DV1241" s="0"/>
      <c r="DW1241" s="0"/>
      <c r="DX1241" s="0"/>
      <c r="DY1241" s="0"/>
      <c r="DZ1241" s="0"/>
      <c r="EA1241" s="0"/>
      <c r="EB1241" s="0"/>
      <c r="EC1241" s="0"/>
      <c r="ED1241" s="0"/>
      <c r="EE1241" s="0"/>
      <c r="EF1241" s="0"/>
      <c r="EG1241" s="0"/>
      <c r="EH1241" s="0"/>
      <c r="EI1241" s="0"/>
      <c r="EJ1241" s="0"/>
      <c r="EK1241" s="0"/>
      <c r="EL1241" s="0"/>
      <c r="EM1241" s="0"/>
      <c r="EN1241" s="0"/>
      <c r="EO1241" s="0"/>
      <c r="EP1241" s="0"/>
      <c r="EQ1241" s="0"/>
      <c r="ER1241" s="0"/>
      <c r="ES1241" s="0"/>
      <c r="ET1241" s="0"/>
      <c r="EU1241" s="0"/>
      <c r="EV1241" s="0"/>
      <c r="EW1241" s="0"/>
      <c r="EX1241" s="0"/>
      <c r="EY1241" s="0"/>
      <c r="EZ1241" s="0"/>
      <c r="FA1241" s="0"/>
      <c r="FB1241" s="0"/>
      <c r="FC1241" s="0"/>
      <c r="FD1241" s="0"/>
      <c r="FE1241" s="0"/>
      <c r="FF1241" s="0"/>
      <c r="FG1241" s="0"/>
      <c r="FH1241" s="0"/>
      <c r="FI1241" s="0"/>
      <c r="FJ1241" s="0"/>
      <c r="FK1241" s="0"/>
      <c r="FL1241" s="0"/>
      <c r="FM1241" s="0"/>
      <c r="FN1241" s="0"/>
      <c r="FO1241" s="0"/>
      <c r="FP1241" s="0"/>
      <c r="FQ1241" s="0"/>
      <c r="FR1241" s="0"/>
      <c r="FS1241" s="0"/>
      <c r="FT1241" s="0"/>
      <c r="FU1241" s="0"/>
      <c r="FV1241" s="0"/>
      <c r="FW1241" s="0"/>
      <c r="FX1241" s="0"/>
      <c r="FY1241" s="0"/>
      <c r="FZ1241" s="0"/>
      <c r="GA1241" s="0"/>
      <c r="GB1241" s="0"/>
      <c r="GC1241" s="0"/>
      <c r="GD1241" s="0"/>
      <c r="GE1241" s="0"/>
      <c r="GF1241" s="0"/>
      <c r="GG1241" s="0"/>
      <c r="GH1241" s="0"/>
      <c r="GI1241" s="0"/>
      <c r="GJ1241" s="0"/>
      <c r="GK1241" s="0"/>
      <c r="GL1241" s="0"/>
      <c r="GM1241" s="0"/>
      <c r="GN1241" s="0"/>
      <c r="GO1241" s="0"/>
      <c r="GP1241" s="0"/>
      <c r="GQ1241" s="0"/>
      <c r="GR1241" s="0"/>
      <c r="GS1241" s="0"/>
      <c r="GT1241" s="0"/>
      <c r="GU1241" s="0"/>
      <c r="GV1241" s="0"/>
      <c r="GW1241" s="0"/>
      <c r="GX1241" s="0"/>
      <c r="GY1241" s="0"/>
      <c r="GZ1241" s="0"/>
      <c r="HA1241" s="0"/>
      <c r="HB1241" s="0"/>
      <c r="HC1241" s="0"/>
      <c r="HD1241" s="0"/>
      <c r="HE1241" s="0"/>
      <c r="HF1241" s="0"/>
      <c r="HG1241" s="0"/>
      <c r="HH1241" s="0"/>
      <c r="HI1241" s="0"/>
      <c r="HJ1241" s="0"/>
      <c r="HK1241" s="0"/>
      <c r="HL1241" s="0"/>
      <c r="HM1241" s="0"/>
      <c r="HN1241" s="0"/>
      <c r="HO1241" s="0"/>
      <c r="HP1241" s="0"/>
      <c r="HQ1241" s="0"/>
      <c r="HR1241" s="0"/>
      <c r="HS1241" s="0"/>
      <c r="HT1241" s="0"/>
      <c r="HU1241" s="0"/>
      <c r="HV1241" s="0"/>
      <c r="HW1241" s="0"/>
      <c r="HX1241" s="0"/>
      <c r="HY1241" s="0"/>
      <c r="HZ1241" s="0"/>
      <c r="IA1241" s="0"/>
      <c r="IB1241" s="0"/>
      <c r="IC1241" s="0"/>
      <c r="ID1241" s="0"/>
      <c r="IE1241" s="0"/>
      <c r="IF1241" s="0"/>
      <c r="IG1241" s="0"/>
      <c r="IH1241" s="0"/>
      <c r="II1241" s="0"/>
      <c r="IJ1241" s="0"/>
      <c r="IK1241" s="0"/>
      <c r="IL1241" s="0"/>
      <c r="IM1241" s="0"/>
      <c r="IN1241" s="0"/>
      <c r="IO1241" s="0"/>
      <c r="IP1241" s="0"/>
      <c r="IQ1241" s="0"/>
      <c r="IR1241" s="0"/>
      <c r="IS1241" s="0"/>
      <c r="IT1241" s="0"/>
      <c r="IU1241" s="0"/>
      <c r="IV1241" s="0"/>
    </row>
    <row r="1242" s="11" customFormat="true" ht="15.75" hidden="false" customHeight="true" outlineLevel="0" collapsed="false">
      <c r="A1242" s="1005"/>
      <c r="B1242" s="1005"/>
      <c r="C1242" s="1005"/>
      <c r="D1242" s="1005"/>
      <c r="E1242" s="1005"/>
      <c r="F1242" s="1005"/>
      <c r="G1242" s="1005"/>
      <c r="H1242" s="0"/>
      <c r="I1242" s="0"/>
      <c r="J1242" s="0"/>
      <c r="K1242" s="903"/>
      <c r="L1242" s="877"/>
      <c r="M1242" s="912"/>
      <c r="T1242" s="0"/>
      <c r="U1242" s="0"/>
      <c r="V1242" s="0"/>
      <c r="W1242" s="0"/>
      <c r="X1242" s="0"/>
      <c r="Y1242" s="0"/>
      <c r="Z1242" s="0"/>
      <c r="AA1242" s="0"/>
      <c r="AB1242" s="0"/>
      <c r="AC1242" s="0"/>
      <c r="AD1242" s="0"/>
      <c r="AE1242" s="0"/>
      <c r="AF1242" s="0"/>
      <c r="AG1242" s="0"/>
      <c r="AH1242" s="0"/>
      <c r="AI1242" s="0"/>
      <c r="AJ1242" s="0"/>
      <c r="AK1242" s="0"/>
      <c r="AL1242" s="0"/>
      <c r="AM1242" s="0"/>
      <c r="AN1242" s="0"/>
      <c r="AO1242" s="0"/>
      <c r="AP1242" s="0"/>
      <c r="AQ1242" s="0"/>
      <c r="AR1242" s="0"/>
      <c r="AS1242" s="0"/>
      <c r="AT1242" s="0"/>
      <c r="AU1242" s="0"/>
      <c r="AV1242" s="0"/>
      <c r="AW1242" s="0"/>
      <c r="AX1242" s="0"/>
      <c r="AY1242" s="0"/>
      <c r="AZ1242" s="0"/>
      <c r="BA1242" s="0"/>
      <c r="BB1242" s="0"/>
      <c r="BC1242" s="0"/>
      <c r="BD1242" s="0"/>
      <c r="BE1242" s="0"/>
      <c r="BF1242" s="0"/>
      <c r="BG1242" s="0"/>
      <c r="BH1242" s="0"/>
      <c r="BI1242" s="0"/>
      <c r="BJ1242" s="0"/>
      <c r="BK1242" s="0"/>
      <c r="BL1242" s="0"/>
      <c r="BM1242" s="0"/>
      <c r="BN1242" s="0"/>
      <c r="BO1242" s="0"/>
      <c r="BP1242" s="0"/>
      <c r="BQ1242" s="0"/>
      <c r="BR1242" s="0"/>
      <c r="BS1242" s="0"/>
      <c r="BT1242" s="0"/>
      <c r="BU1242" s="0"/>
      <c r="BV1242" s="0"/>
      <c r="BW1242" s="0"/>
      <c r="BX1242" s="0"/>
      <c r="BY1242" s="0"/>
      <c r="BZ1242" s="0"/>
      <c r="CA1242" s="0"/>
      <c r="CB1242" s="0"/>
      <c r="CC1242" s="0"/>
      <c r="CD1242" s="0"/>
      <c r="CE1242" s="0"/>
      <c r="CF1242" s="0"/>
      <c r="CG1242" s="0"/>
      <c r="CH1242" s="0"/>
      <c r="CI1242" s="0"/>
      <c r="CJ1242" s="0"/>
      <c r="CK1242" s="0"/>
      <c r="CL1242" s="0"/>
      <c r="CM1242" s="0"/>
      <c r="CN1242" s="0"/>
      <c r="CO1242" s="0"/>
      <c r="CP1242" s="0"/>
      <c r="CQ1242" s="0"/>
      <c r="CR1242" s="0"/>
      <c r="CS1242" s="0"/>
      <c r="CT1242" s="0"/>
      <c r="CU1242" s="0"/>
      <c r="CV1242" s="0"/>
      <c r="CW1242" s="0"/>
      <c r="CX1242" s="0"/>
      <c r="CY1242" s="0"/>
      <c r="CZ1242" s="0"/>
      <c r="DA1242" s="0"/>
      <c r="DB1242" s="0"/>
      <c r="DC1242" s="0"/>
      <c r="DD1242" s="0"/>
      <c r="DE1242" s="0"/>
      <c r="DF1242" s="0"/>
      <c r="DG1242" s="0"/>
      <c r="DH1242" s="0"/>
      <c r="DI1242" s="0"/>
      <c r="DJ1242" s="0"/>
      <c r="DK1242" s="0"/>
      <c r="DL1242" s="0"/>
      <c r="DM1242" s="0"/>
      <c r="DN1242" s="0"/>
      <c r="DO1242" s="0"/>
      <c r="DP1242" s="0"/>
      <c r="DQ1242" s="0"/>
      <c r="DR1242" s="0"/>
      <c r="DS1242" s="0"/>
      <c r="DT1242" s="0"/>
      <c r="DU1242" s="0"/>
      <c r="DV1242" s="0"/>
      <c r="DW1242" s="0"/>
      <c r="DX1242" s="0"/>
      <c r="DY1242" s="0"/>
      <c r="DZ1242" s="0"/>
      <c r="EA1242" s="0"/>
      <c r="EB1242" s="0"/>
      <c r="EC1242" s="0"/>
      <c r="ED1242" s="0"/>
      <c r="EE1242" s="0"/>
      <c r="EF1242" s="0"/>
      <c r="EG1242" s="0"/>
      <c r="EH1242" s="0"/>
      <c r="EI1242" s="0"/>
      <c r="EJ1242" s="0"/>
      <c r="EK1242" s="0"/>
      <c r="EL1242" s="0"/>
      <c r="EM1242" s="0"/>
      <c r="EN1242" s="0"/>
      <c r="EO1242" s="0"/>
      <c r="EP1242" s="0"/>
      <c r="EQ1242" s="0"/>
      <c r="ER1242" s="0"/>
      <c r="ES1242" s="0"/>
      <c r="ET1242" s="0"/>
      <c r="EU1242" s="0"/>
      <c r="EV1242" s="0"/>
      <c r="EW1242" s="0"/>
      <c r="EX1242" s="0"/>
      <c r="EY1242" s="0"/>
      <c r="EZ1242" s="0"/>
      <c r="FA1242" s="0"/>
      <c r="FB1242" s="0"/>
      <c r="FC1242" s="0"/>
      <c r="FD1242" s="0"/>
      <c r="FE1242" s="0"/>
      <c r="FF1242" s="0"/>
      <c r="FG1242" s="0"/>
      <c r="FH1242" s="0"/>
      <c r="FI1242" s="0"/>
      <c r="FJ1242" s="0"/>
      <c r="FK1242" s="0"/>
      <c r="FL1242" s="0"/>
      <c r="FM1242" s="0"/>
      <c r="FN1242" s="0"/>
      <c r="FO1242" s="0"/>
      <c r="FP1242" s="0"/>
      <c r="FQ1242" s="0"/>
      <c r="FR1242" s="0"/>
      <c r="FS1242" s="0"/>
      <c r="FT1242" s="0"/>
      <c r="FU1242" s="0"/>
      <c r="FV1242" s="0"/>
      <c r="FW1242" s="0"/>
      <c r="FX1242" s="0"/>
      <c r="FY1242" s="0"/>
      <c r="FZ1242" s="0"/>
      <c r="GA1242" s="0"/>
      <c r="GB1242" s="0"/>
      <c r="GC1242" s="0"/>
      <c r="GD1242" s="0"/>
      <c r="GE1242" s="0"/>
      <c r="GF1242" s="0"/>
      <c r="GG1242" s="0"/>
      <c r="GH1242" s="0"/>
      <c r="GI1242" s="0"/>
      <c r="GJ1242" s="0"/>
      <c r="GK1242" s="0"/>
      <c r="GL1242" s="0"/>
      <c r="GM1242" s="0"/>
      <c r="GN1242" s="0"/>
      <c r="GO1242" s="0"/>
      <c r="GP1242" s="0"/>
      <c r="GQ1242" s="0"/>
      <c r="GR1242" s="0"/>
      <c r="GS1242" s="0"/>
      <c r="GT1242" s="0"/>
      <c r="GU1242" s="0"/>
      <c r="GV1242" s="0"/>
      <c r="GW1242" s="0"/>
      <c r="GX1242" s="0"/>
      <c r="GY1242" s="0"/>
      <c r="GZ1242" s="0"/>
      <c r="HA1242" s="0"/>
      <c r="HB1242" s="0"/>
      <c r="HC1242" s="0"/>
      <c r="HD1242" s="0"/>
      <c r="HE1242" s="0"/>
      <c r="HF1242" s="0"/>
      <c r="HG1242" s="0"/>
      <c r="HH1242" s="0"/>
      <c r="HI1242" s="0"/>
      <c r="HJ1242" s="0"/>
      <c r="HK1242" s="0"/>
      <c r="HL1242" s="0"/>
      <c r="HM1242" s="0"/>
      <c r="HN1242" s="0"/>
      <c r="HO1242" s="0"/>
      <c r="HP1242" s="0"/>
      <c r="HQ1242" s="0"/>
      <c r="HR1242" s="0"/>
      <c r="HS1242" s="0"/>
      <c r="HT1242" s="0"/>
      <c r="HU1242" s="0"/>
      <c r="HV1242" s="0"/>
      <c r="HW1242" s="0"/>
      <c r="HX1242" s="0"/>
      <c r="HY1242" s="0"/>
      <c r="HZ1242" s="0"/>
      <c r="IA1242" s="0"/>
      <c r="IB1242" s="0"/>
      <c r="IC1242" s="0"/>
      <c r="ID1242" s="0"/>
      <c r="IE1242" s="0"/>
      <c r="IF1242" s="0"/>
      <c r="IG1242" s="0"/>
      <c r="IH1242" s="0"/>
      <c r="II1242" s="0"/>
      <c r="IJ1242" s="0"/>
      <c r="IK1242" s="0"/>
      <c r="IL1242" s="0"/>
      <c r="IM1242" s="0"/>
      <c r="IN1242" s="0"/>
      <c r="IO1242" s="0"/>
      <c r="IP1242" s="0"/>
      <c r="IQ1242" s="0"/>
      <c r="IR1242" s="0"/>
      <c r="IS1242" s="0"/>
      <c r="IT1242" s="0"/>
      <c r="IU1242" s="0"/>
      <c r="IV1242" s="0"/>
    </row>
    <row r="1243" customFormat="false" ht="36" hidden="false" customHeight="true" outlineLevel="0" collapsed="false">
      <c r="A1243" s="18"/>
      <c r="B1243" s="812"/>
      <c r="C1243" s="812"/>
      <c r="D1243" s="812"/>
      <c r="E1243" s="1441" t="s">
        <v>1772</v>
      </c>
      <c r="F1243" s="1442" t="s">
        <v>1773</v>
      </c>
      <c r="G1243" s="1443" t="s">
        <v>1774</v>
      </c>
      <c r="I1243" s="12"/>
      <c r="J1243" s="11"/>
      <c r="K1243" s="1310"/>
      <c r="L1243" s="1444"/>
      <c r="T1243" s="0"/>
      <c r="U1243" s="0"/>
      <c r="V1243" s="0"/>
      <c r="W1243" s="0"/>
      <c r="X1243" s="0"/>
      <c r="Y1243" s="0"/>
      <c r="Z1243" s="0"/>
      <c r="AA1243" s="0"/>
      <c r="AB1243" s="0"/>
      <c r="AC1243" s="0"/>
      <c r="AD1243" s="0"/>
      <c r="AE1243" s="0"/>
      <c r="AF1243" s="0"/>
      <c r="AG1243" s="0"/>
      <c r="AH1243" s="0"/>
      <c r="AI1243" s="0"/>
      <c r="AJ1243" s="0"/>
      <c r="AK1243" s="0"/>
      <c r="AL1243" s="0"/>
      <c r="AM1243" s="0"/>
      <c r="AN1243" s="0"/>
      <c r="AO1243" s="0"/>
      <c r="AP1243" s="0"/>
      <c r="AQ1243" s="0"/>
      <c r="AR1243" s="0"/>
      <c r="AS1243" s="0"/>
      <c r="AT1243" s="0"/>
      <c r="AU1243" s="0"/>
      <c r="AV1243" s="0"/>
      <c r="AW1243" s="0"/>
      <c r="AX1243" s="0"/>
      <c r="AY1243" s="0"/>
      <c r="AZ1243" s="0"/>
      <c r="BA1243" s="0"/>
      <c r="BB1243" s="0"/>
      <c r="BC1243" s="0"/>
      <c r="BD1243" s="0"/>
      <c r="BE1243" s="0"/>
      <c r="BF1243" s="0"/>
      <c r="BG1243" s="0"/>
      <c r="BH1243" s="0"/>
      <c r="BI1243" s="0"/>
      <c r="BJ1243" s="0"/>
      <c r="BK1243" s="0"/>
      <c r="BL1243" s="0"/>
      <c r="BM1243" s="0"/>
      <c r="BN1243" s="0"/>
      <c r="BO1243" s="0"/>
      <c r="BP1243" s="0"/>
      <c r="BQ1243" s="0"/>
      <c r="BR1243" s="0"/>
      <c r="BS1243" s="0"/>
      <c r="BT1243" s="0"/>
      <c r="BU1243" s="0"/>
      <c r="BV1243" s="0"/>
      <c r="BW1243" s="0"/>
      <c r="BX1243" s="0"/>
      <c r="BY1243" s="0"/>
      <c r="BZ1243" s="0"/>
      <c r="CA1243" s="0"/>
      <c r="CB1243" s="0"/>
      <c r="CC1243" s="0"/>
      <c r="CD1243" s="0"/>
      <c r="CE1243" s="0"/>
      <c r="CF1243" s="0"/>
      <c r="CG1243" s="0"/>
      <c r="CH1243" s="0"/>
      <c r="CI1243" s="0"/>
      <c r="CJ1243" s="0"/>
      <c r="CK1243" s="0"/>
      <c r="CL1243" s="0"/>
      <c r="CM1243" s="0"/>
      <c r="CN1243" s="0"/>
      <c r="CO1243" s="0"/>
      <c r="CP1243" s="0"/>
      <c r="CQ1243" s="0"/>
      <c r="CR1243" s="0"/>
      <c r="CS1243" s="0"/>
      <c r="CT1243" s="0"/>
      <c r="CU1243" s="0"/>
      <c r="CV1243" s="0"/>
      <c r="CW1243" s="0"/>
      <c r="CX1243" s="0"/>
      <c r="CY1243" s="0"/>
      <c r="CZ1243" s="0"/>
      <c r="DA1243" s="0"/>
      <c r="DB1243" s="0"/>
      <c r="DC1243" s="0"/>
      <c r="DD1243" s="0"/>
      <c r="DE1243" s="0"/>
      <c r="DF1243" s="0"/>
      <c r="DG1243" s="0"/>
      <c r="DH1243" s="0"/>
      <c r="DI1243" s="0"/>
      <c r="DJ1243" s="0"/>
      <c r="DK1243" s="0"/>
      <c r="DL1243" s="0"/>
      <c r="DM1243" s="0"/>
      <c r="DN1243" s="0"/>
      <c r="DO1243" s="0"/>
      <c r="DP1243" s="0"/>
      <c r="DQ1243" s="0"/>
      <c r="DR1243" s="0"/>
      <c r="DS1243" s="0"/>
      <c r="DT1243" s="0"/>
      <c r="DU1243" s="0"/>
      <c r="DV1243" s="0"/>
      <c r="DW1243" s="0"/>
      <c r="DX1243" s="0"/>
      <c r="DY1243" s="0"/>
      <c r="DZ1243" s="0"/>
      <c r="EA1243" s="0"/>
      <c r="EB1243" s="0"/>
      <c r="EC1243" s="0"/>
      <c r="ED1243" s="0"/>
      <c r="EE1243" s="0"/>
      <c r="EF1243" s="0"/>
      <c r="EG1243" s="0"/>
      <c r="EH1243" s="0"/>
      <c r="EI1243" s="0"/>
      <c r="EJ1243" s="0"/>
      <c r="EK1243" s="0"/>
      <c r="EL1243" s="0"/>
      <c r="EM1243" s="0"/>
      <c r="EN1243" s="0"/>
      <c r="EO1243" s="0"/>
      <c r="EP1243" s="0"/>
      <c r="EQ1243" s="0"/>
      <c r="ER1243" s="0"/>
      <c r="ES1243" s="0"/>
      <c r="ET1243" s="0"/>
      <c r="EU1243" s="0"/>
      <c r="EV1243" s="0"/>
      <c r="EW1243" s="0"/>
      <c r="EX1243" s="0"/>
      <c r="EY1243" s="0"/>
      <c r="EZ1243" s="0"/>
      <c r="FA1243" s="0"/>
      <c r="FB1243" s="0"/>
      <c r="FC1243" s="0"/>
      <c r="FD1243" s="0"/>
      <c r="FE1243" s="0"/>
      <c r="FF1243" s="0"/>
      <c r="FG1243" s="0"/>
      <c r="FH1243" s="0"/>
      <c r="FI1243" s="0"/>
      <c r="FJ1243" s="0"/>
      <c r="FK1243" s="0"/>
      <c r="FL1243" s="0"/>
      <c r="FM1243" s="0"/>
      <c r="FN1243" s="0"/>
      <c r="FO1243" s="0"/>
      <c r="FP1243" s="0"/>
      <c r="FQ1243" s="0"/>
      <c r="FR1243" s="0"/>
      <c r="FS1243" s="0"/>
      <c r="FT1243" s="0"/>
      <c r="FU1243" s="0"/>
      <c r="FV1243" s="0"/>
      <c r="FW1243" s="0"/>
      <c r="FX1243" s="0"/>
      <c r="FY1243" s="0"/>
      <c r="FZ1243" s="0"/>
      <c r="GA1243" s="0"/>
      <c r="GB1243" s="0"/>
      <c r="GC1243" s="0"/>
      <c r="GD1243" s="0"/>
      <c r="GE1243" s="0"/>
      <c r="GF1243" s="0"/>
      <c r="GG1243" s="0"/>
      <c r="GH1243" s="0"/>
      <c r="GI1243" s="0"/>
      <c r="GJ1243" s="0"/>
      <c r="GK1243" s="0"/>
      <c r="GL1243" s="0"/>
      <c r="GM1243" s="0"/>
      <c r="GN1243" s="0"/>
      <c r="GO1243" s="0"/>
      <c r="GP1243" s="0"/>
      <c r="GQ1243" s="0"/>
      <c r="GR1243" s="0"/>
      <c r="GS1243" s="0"/>
      <c r="GT1243" s="0"/>
      <c r="GU1243" s="0"/>
      <c r="GV1243" s="0"/>
      <c r="GW1243" s="0"/>
      <c r="GX1243" s="0"/>
      <c r="GY1243" s="0"/>
      <c r="GZ1243" s="0"/>
      <c r="HA1243" s="0"/>
      <c r="HB1243" s="0"/>
      <c r="HC1243" s="0"/>
      <c r="HD1243" s="0"/>
      <c r="HE1243" s="0"/>
      <c r="HF1243" s="0"/>
      <c r="HG1243" s="0"/>
      <c r="HH1243" s="0"/>
      <c r="HI1243" s="0"/>
      <c r="HJ1243" s="0"/>
      <c r="HK1243" s="0"/>
      <c r="HL1243" s="0"/>
      <c r="HM1243" s="0"/>
      <c r="HN1243" s="0"/>
      <c r="HO1243" s="0"/>
      <c r="HP1243" s="0"/>
      <c r="HQ1243" s="0"/>
      <c r="HR1243" s="0"/>
      <c r="HS1243" s="0"/>
      <c r="HT1243" s="0"/>
      <c r="HU1243" s="0"/>
      <c r="HV1243" s="0"/>
      <c r="HW1243" s="0"/>
      <c r="HX1243" s="0"/>
      <c r="HY1243" s="0"/>
      <c r="HZ1243" s="0"/>
      <c r="IA1243" s="0"/>
      <c r="IB1243" s="0"/>
      <c r="IC1243" s="0"/>
      <c r="ID1243" s="0"/>
      <c r="IE1243" s="0"/>
      <c r="IF1243" s="0"/>
      <c r="IG1243" s="0"/>
      <c r="IH1243" s="0"/>
      <c r="II1243" s="0"/>
      <c r="IJ1243" s="0"/>
      <c r="IK1243" s="0"/>
      <c r="IL1243" s="0"/>
      <c r="IM1243" s="0"/>
      <c r="IN1243" s="0"/>
      <c r="IO1243" s="0"/>
      <c r="IP1243" s="0"/>
      <c r="IQ1243" s="0"/>
      <c r="IR1243" s="0"/>
      <c r="IS1243" s="0"/>
      <c r="IT1243" s="0"/>
      <c r="IU1243" s="0"/>
      <c r="IV1243" s="0"/>
    </row>
    <row r="1244" customFormat="false" ht="13.9" hidden="false" customHeight="true" outlineLevel="0" collapsed="false">
      <c r="A1244" s="18"/>
      <c r="B1244" s="812"/>
      <c r="C1244" s="812"/>
      <c r="D1244" s="812"/>
      <c r="E1244" s="1445" t="s">
        <v>900</v>
      </c>
      <c r="F1244" s="1446" t="s">
        <v>1130</v>
      </c>
      <c r="G1244" s="1447" t="s">
        <v>900</v>
      </c>
      <c r="I1244" s="12"/>
      <c r="J1244" s="11"/>
      <c r="K1244" s="1310"/>
      <c r="L1244" s="1444"/>
      <c r="T1244" s="0"/>
      <c r="U1244" s="0"/>
      <c r="V1244" s="0"/>
      <c r="W1244" s="0"/>
      <c r="X1244" s="0"/>
      <c r="Y1244" s="0"/>
      <c r="Z1244" s="0"/>
      <c r="AA1244" s="0"/>
      <c r="AB1244" s="0"/>
      <c r="AC1244" s="0"/>
      <c r="AD1244" s="0"/>
      <c r="AE1244" s="0"/>
      <c r="AF1244" s="0"/>
      <c r="AG1244" s="0"/>
      <c r="AH1244" s="0"/>
      <c r="AI1244" s="0"/>
      <c r="AJ1244" s="0"/>
      <c r="AK1244" s="0"/>
      <c r="AL1244" s="0"/>
      <c r="AM1244" s="0"/>
      <c r="AN1244" s="0"/>
      <c r="AO1244" s="0"/>
      <c r="AP1244" s="0"/>
      <c r="AQ1244" s="0"/>
      <c r="AR1244" s="0"/>
      <c r="AS1244" s="0"/>
      <c r="AT1244" s="0"/>
      <c r="AU1244" s="0"/>
      <c r="AV1244" s="0"/>
      <c r="AW1244" s="0"/>
      <c r="AX1244" s="0"/>
      <c r="AY1244" s="0"/>
      <c r="AZ1244" s="0"/>
      <c r="BA1244" s="0"/>
      <c r="BB1244" s="0"/>
      <c r="BC1244" s="0"/>
      <c r="BD1244" s="0"/>
      <c r="BE1244" s="0"/>
      <c r="BF1244" s="0"/>
      <c r="BG1244" s="0"/>
      <c r="BH1244" s="0"/>
      <c r="BI1244" s="0"/>
      <c r="BJ1244" s="0"/>
      <c r="BK1244" s="0"/>
      <c r="BL1244" s="0"/>
      <c r="BM1244" s="0"/>
      <c r="BN1244" s="0"/>
      <c r="BO1244" s="0"/>
      <c r="BP1244" s="0"/>
      <c r="BQ1244" s="0"/>
      <c r="BR1244" s="0"/>
      <c r="BS1244" s="0"/>
      <c r="BT1244" s="0"/>
      <c r="BU1244" s="0"/>
      <c r="BV1244" s="0"/>
      <c r="BW1244" s="0"/>
      <c r="BX1244" s="0"/>
      <c r="BY1244" s="0"/>
      <c r="BZ1244" s="0"/>
      <c r="CA1244" s="0"/>
      <c r="CB1244" s="0"/>
      <c r="CC1244" s="0"/>
      <c r="CD1244" s="0"/>
      <c r="CE1244" s="0"/>
      <c r="CF1244" s="0"/>
      <c r="CG1244" s="0"/>
      <c r="CH1244" s="0"/>
      <c r="CI1244" s="0"/>
      <c r="CJ1244" s="0"/>
      <c r="CK1244" s="0"/>
      <c r="CL1244" s="0"/>
      <c r="CM1244" s="0"/>
      <c r="CN1244" s="0"/>
      <c r="CO1244" s="0"/>
      <c r="CP1244" s="0"/>
      <c r="CQ1244" s="0"/>
      <c r="CR1244" s="0"/>
      <c r="CS1244" s="0"/>
      <c r="CT1244" s="0"/>
      <c r="CU1244" s="0"/>
      <c r="CV1244" s="0"/>
      <c r="CW1244" s="0"/>
      <c r="CX1244" s="0"/>
      <c r="CY1244" s="0"/>
      <c r="CZ1244" s="0"/>
      <c r="DA1244" s="0"/>
      <c r="DB1244" s="0"/>
      <c r="DC1244" s="0"/>
      <c r="DD1244" s="0"/>
      <c r="DE1244" s="0"/>
      <c r="DF1244" s="0"/>
      <c r="DG1244" s="0"/>
      <c r="DH1244" s="0"/>
      <c r="DI1244" s="0"/>
      <c r="DJ1244" s="0"/>
      <c r="DK1244" s="0"/>
      <c r="DL1244" s="0"/>
      <c r="DM1244" s="0"/>
      <c r="DN1244" s="0"/>
      <c r="DO1244" s="0"/>
      <c r="DP1244" s="0"/>
      <c r="DQ1244" s="0"/>
      <c r="DR1244" s="0"/>
      <c r="DS1244" s="0"/>
      <c r="DT1244" s="0"/>
      <c r="DU1244" s="0"/>
      <c r="DV1244" s="0"/>
      <c r="DW1244" s="0"/>
      <c r="DX1244" s="0"/>
      <c r="DY1244" s="0"/>
      <c r="DZ1244" s="0"/>
      <c r="EA1244" s="0"/>
      <c r="EB1244" s="0"/>
      <c r="EC1244" s="0"/>
      <c r="ED1244" s="0"/>
      <c r="EE1244" s="0"/>
      <c r="EF1244" s="0"/>
      <c r="EG1244" s="0"/>
      <c r="EH1244" s="0"/>
      <c r="EI1244" s="0"/>
      <c r="EJ1244" s="0"/>
      <c r="EK1244" s="0"/>
      <c r="EL1244" s="0"/>
      <c r="EM1244" s="0"/>
      <c r="EN1244" s="0"/>
      <c r="EO1244" s="0"/>
      <c r="EP1244" s="0"/>
      <c r="EQ1244" s="0"/>
      <c r="ER1244" s="0"/>
      <c r="ES1244" s="0"/>
      <c r="ET1244" s="0"/>
      <c r="EU1244" s="0"/>
      <c r="EV1244" s="0"/>
      <c r="EW1244" s="0"/>
      <c r="EX1244" s="0"/>
      <c r="EY1244" s="0"/>
      <c r="EZ1244" s="0"/>
      <c r="FA1244" s="0"/>
      <c r="FB1244" s="0"/>
      <c r="FC1244" s="0"/>
      <c r="FD1244" s="0"/>
      <c r="FE1244" s="0"/>
      <c r="FF1244" s="0"/>
      <c r="FG1244" s="0"/>
      <c r="FH1244" s="0"/>
      <c r="FI1244" s="0"/>
      <c r="FJ1244" s="0"/>
      <c r="FK1244" s="0"/>
      <c r="FL1244" s="0"/>
      <c r="FM1244" s="0"/>
      <c r="FN1244" s="0"/>
      <c r="FO1244" s="0"/>
      <c r="FP1244" s="0"/>
      <c r="FQ1244" s="0"/>
      <c r="FR1244" s="0"/>
      <c r="FS1244" s="0"/>
      <c r="FT1244" s="0"/>
      <c r="FU1244" s="0"/>
      <c r="FV1244" s="0"/>
      <c r="FW1244" s="0"/>
      <c r="FX1244" s="0"/>
      <c r="FY1244" s="0"/>
      <c r="FZ1244" s="0"/>
      <c r="GA1244" s="0"/>
      <c r="GB1244" s="0"/>
      <c r="GC1244" s="0"/>
      <c r="GD1244" s="0"/>
      <c r="GE1244" s="0"/>
      <c r="GF1244" s="0"/>
      <c r="GG1244" s="0"/>
      <c r="GH1244" s="0"/>
      <c r="GI1244" s="0"/>
      <c r="GJ1244" s="0"/>
      <c r="GK1244" s="0"/>
      <c r="GL1244" s="0"/>
      <c r="GM1244" s="0"/>
      <c r="GN1244" s="0"/>
      <c r="GO1244" s="0"/>
      <c r="GP1244" s="0"/>
      <c r="GQ1244" s="0"/>
      <c r="GR1244" s="0"/>
      <c r="GS1244" s="0"/>
      <c r="GT1244" s="0"/>
      <c r="GU1244" s="0"/>
      <c r="GV1244" s="0"/>
      <c r="GW1244" s="0"/>
      <c r="GX1244" s="0"/>
      <c r="GY1244" s="0"/>
      <c r="GZ1244" s="0"/>
      <c r="HA1244" s="0"/>
      <c r="HB1244" s="0"/>
      <c r="HC1244" s="0"/>
      <c r="HD1244" s="0"/>
      <c r="HE1244" s="0"/>
      <c r="HF1244" s="0"/>
      <c r="HG1244" s="0"/>
      <c r="HH1244" s="0"/>
      <c r="HI1244" s="0"/>
      <c r="HJ1244" s="0"/>
      <c r="HK1244" s="0"/>
      <c r="HL1244" s="0"/>
      <c r="HM1244" s="0"/>
      <c r="HN1244" s="0"/>
      <c r="HO1244" s="0"/>
      <c r="HP1244" s="0"/>
      <c r="HQ1244" s="0"/>
      <c r="HR1244" s="0"/>
      <c r="HS1244" s="0"/>
      <c r="HT1244" s="0"/>
      <c r="HU1244" s="0"/>
      <c r="HV1244" s="0"/>
      <c r="HW1244" s="0"/>
      <c r="HX1244" s="0"/>
      <c r="HY1244" s="0"/>
      <c r="HZ1244" s="0"/>
      <c r="IA1244" s="0"/>
      <c r="IB1244" s="0"/>
      <c r="IC1244" s="0"/>
      <c r="ID1244" s="0"/>
      <c r="IE1244" s="0"/>
      <c r="IF1244" s="0"/>
      <c r="IG1244" s="0"/>
      <c r="IH1244" s="0"/>
      <c r="II1244" s="0"/>
      <c r="IJ1244" s="0"/>
      <c r="IK1244" s="0"/>
      <c r="IL1244" s="0"/>
      <c r="IM1244" s="0"/>
      <c r="IN1244" s="0"/>
      <c r="IO1244" s="0"/>
      <c r="IP1244" s="0"/>
      <c r="IQ1244" s="0"/>
      <c r="IR1244" s="0"/>
      <c r="IS1244" s="0"/>
      <c r="IT1244" s="0"/>
      <c r="IU1244" s="0"/>
      <c r="IV1244" s="0"/>
    </row>
    <row r="1245" customFormat="false" ht="15" hidden="false" customHeight="true" outlineLevel="0" collapsed="false">
      <c r="A1245" s="1448" t="s">
        <v>1775</v>
      </c>
      <c r="B1245" s="1449"/>
      <c r="C1245" s="1449"/>
      <c r="D1245" s="1449"/>
      <c r="E1245" s="1450" t="n">
        <f aca="false">SUM(E1246:E1249)</f>
        <v>216</v>
      </c>
      <c r="F1245" s="1451"/>
      <c r="G1245" s="1452" t="n">
        <v>216</v>
      </c>
      <c r="I1245" s="1249"/>
      <c r="J1245" s="0"/>
      <c r="K1245" s="1453"/>
      <c r="L1245" s="1444"/>
      <c r="T1245" s="0"/>
      <c r="U1245" s="0"/>
      <c r="V1245" s="0"/>
      <c r="W1245" s="0"/>
      <c r="X1245" s="0"/>
      <c r="Y1245" s="0"/>
      <c r="Z1245" s="0"/>
      <c r="AA1245" s="0"/>
      <c r="AB1245" s="0"/>
      <c r="AC1245" s="0"/>
      <c r="AD1245" s="0"/>
      <c r="AE1245" s="0"/>
      <c r="AF1245" s="0"/>
      <c r="AG1245" s="0"/>
      <c r="AH1245" s="0"/>
      <c r="AI1245" s="0"/>
      <c r="AJ1245" s="0"/>
      <c r="AK1245" s="0"/>
      <c r="AL1245" s="0"/>
      <c r="AM1245" s="0"/>
      <c r="AN1245" s="0"/>
      <c r="AO1245" s="0"/>
      <c r="AP1245" s="0"/>
      <c r="AQ1245" s="0"/>
      <c r="AR1245" s="0"/>
      <c r="AS1245" s="0"/>
      <c r="AT1245" s="0"/>
      <c r="AU1245" s="0"/>
      <c r="AV1245" s="0"/>
      <c r="AW1245" s="0"/>
      <c r="AX1245" s="0"/>
      <c r="AY1245" s="0"/>
      <c r="AZ1245" s="0"/>
      <c r="BA1245" s="0"/>
      <c r="BB1245" s="0"/>
      <c r="BC1245" s="0"/>
      <c r="BD1245" s="0"/>
      <c r="BE1245" s="0"/>
      <c r="BF1245" s="0"/>
      <c r="BG1245" s="0"/>
      <c r="BH1245" s="0"/>
      <c r="BI1245" s="0"/>
      <c r="BJ1245" s="0"/>
      <c r="BK1245" s="0"/>
      <c r="BL1245" s="0"/>
      <c r="BM1245" s="0"/>
      <c r="BN1245" s="0"/>
      <c r="BO1245" s="0"/>
      <c r="BP1245" s="0"/>
      <c r="BQ1245" s="0"/>
      <c r="BR1245" s="0"/>
      <c r="BS1245" s="0"/>
      <c r="BT1245" s="0"/>
      <c r="BU1245" s="0"/>
      <c r="BV1245" s="0"/>
      <c r="BW1245" s="0"/>
      <c r="BX1245" s="0"/>
      <c r="BY1245" s="0"/>
      <c r="BZ1245" s="0"/>
      <c r="CA1245" s="0"/>
      <c r="CB1245" s="0"/>
      <c r="CC1245" s="0"/>
      <c r="CD1245" s="0"/>
      <c r="CE1245" s="0"/>
      <c r="CF1245" s="0"/>
      <c r="CG1245" s="0"/>
      <c r="CH1245" s="0"/>
      <c r="CI1245" s="0"/>
      <c r="CJ1245" s="0"/>
      <c r="CK1245" s="0"/>
      <c r="CL1245" s="0"/>
      <c r="CM1245" s="0"/>
      <c r="CN1245" s="0"/>
      <c r="CO1245" s="0"/>
      <c r="CP1245" s="0"/>
      <c r="CQ1245" s="0"/>
      <c r="CR1245" s="0"/>
      <c r="CS1245" s="0"/>
      <c r="CT1245" s="0"/>
      <c r="CU1245" s="0"/>
      <c r="CV1245" s="0"/>
      <c r="CW1245" s="0"/>
      <c r="CX1245" s="0"/>
      <c r="CY1245" s="0"/>
      <c r="CZ1245" s="0"/>
      <c r="DA1245" s="0"/>
      <c r="DB1245" s="0"/>
      <c r="DC1245" s="0"/>
      <c r="DD1245" s="0"/>
      <c r="DE1245" s="0"/>
      <c r="DF1245" s="0"/>
      <c r="DG1245" s="0"/>
      <c r="DH1245" s="0"/>
      <c r="DI1245" s="0"/>
      <c r="DJ1245" s="0"/>
      <c r="DK1245" s="0"/>
      <c r="DL1245" s="0"/>
      <c r="DM1245" s="0"/>
      <c r="DN1245" s="0"/>
      <c r="DO1245" s="0"/>
      <c r="DP1245" s="0"/>
      <c r="DQ1245" s="0"/>
      <c r="DR1245" s="0"/>
      <c r="DS1245" s="0"/>
      <c r="DT1245" s="0"/>
      <c r="DU1245" s="0"/>
      <c r="DV1245" s="0"/>
      <c r="DW1245" s="0"/>
      <c r="DX1245" s="0"/>
      <c r="DY1245" s="0"/>
      <c r="DZ1245" s="0"/>
      <c r="EA1245" s="0"/>
      <c r="EB1245" s="0"/>
      <c r="EC1245" s="0"/>
      <c r="ED1245" s="0"/>
      <c r="EE1245" s="0"/>
      <c r="EF1245" s="0"/>
      <c r="EG1245" s="0"/>
      <c r="EH1245" s="0"/>
      <c r="EI1245" s="0"/>
      <c r="EJ1245" s="0"/>
      <c r="EK1245" s="0"/>
      <c r="EL1245" s="0"/>
      <c r="EM1245" s="0"/>
      <c r="EN1245" s="0"/>
      <c r="EO1245" s="0"/>
      <c r="EP1245" s="0"/>
      <c r="EQ1245" s="0"/>
      <c r="ER1245" s="0"/>
      <c r="ES1245" s="0"/>
      <c r="ET1245" s="0"/>
      <c r="EU1245" s="0"/>
      <c r="EV1245" s="0"/>
      <c r="EW1245" s="0"/>
      <c r="EX1245" s="0"/>
      <c r="EY1245" s="0"/>
      <c r="EZ1245" s="0"/>
      <c r="FA1245" s="0"/>
      <c r="FB1245" s="0"/>
      <c r="FC1245" s="0"/>
      <c r="FD1245" s="0"/>
      <c r="FE1245" s="0"/>
      <c r="FF1245" s="0"/>
      <c r="FG1245" s="0"/>
      <c r="FH1245" s="0"/>
      <c r="FI1245" s="0"/>
      <c r="FJ1245" s="0"/>
      <c r="FK1245" s="0"/>
      <c r="FL1245" s="0"/>
      <c r="FM1245" s="0"/>
      <c r="FN1245" s="0"/>
      <c r="FO1245" s="0"/>
      <c r="FP1245" s="0"/>
      <c r="FQ1245" s="0"/>
      <c r="FR1245" s="0"/>
      <c r="FS1245" s="0"/>
      <c r="FT1245" s="0"/>
      <c r="FU1245" s="0"/>
      <c r="FV1245" s="0"/>
      <c r="FW1245" s="0"/>
      <c r="FX1245" s="0"/>
      <c r="FY1245" s="0"/>
      <c r="FZ1245" s="0"/>
      <c r="GA1245" s="0"/>
      <c r="GB1245" s="0"/>
      <c r="GC1245" s="0"/>
      <c r="GD1245" s="0"/>
      <c r="GE1245" s="0"/>
      <c r="GF1245" s="0"/>
      <c r="GG1245" s="0"/>
      <c r="GH1245" s="0"/>
      <c r="GI1245" s="0"/>
      <c r="GJ1245" s="0"/>
      <c r="GK1245" s="0"/>
      <c r="GL1245" s="0"/>
      <c r="GM1245" s="0"/>
      <c r="GN1245" s="0"/>
      <c r="GO1245" s="0"/>
      <c r="GP1245" s="0"/>
      <c r="GQ1245" s="0"/>
      <c r="GR1245" s="0"/>
      <c r="GS1245" s="0"/>
      <c r="GT1245" s="0"/>
      <c r="GU1245" s="0"/>
      <c r="GV1245" s="0"/>
      <c r="GW1245" s="0"/>
      <c r="GX1245" s="0"/>
      <c r="GY1245" s="0"/>
      <c r="GZ1245" s="0"/>
      <c r="HA1245" s="0"/>
      <c r="HB1245" s="0"/>
      <c r="HC1245" s="0"/>
      <c r="HD1245" s="0"/>
      <c r="HE1245" s="0"/>
      <c r="HF1245" s="0"/>
      <c r="HG1245" s="0"/>
      <c r="HH1245" s="0"/>
      <c r="HI1245" s="0"/>
      <c r="HJ1245" s="0"/>
      <c r="HK1245" s="0"/>
      <c r="HL1245" s="0"/>
      <c r="HM1245" s="0"/>
      <c r="HN1245" s="0"/>
      <c r="HO1245" s="0"/>
      <c r="HP1245" s="0"/>
      <c r="HQ1245" s="0"/>
      <c r="HR1245" s="0"/>
      <c r="HS1245" s="0"/>
      <c r="HT1245" s="0"/>
      <c r="HU1245" s="0"/>
      <c r="HV1245" s="0"/>
      <c r="HW1245" s="0"/>
      <c r="HX1245" s="0"/>
      <c r="HY1245" s="0"/>
      <c r="HZ1245" s="0"/>
      <c r="IA1245" s="0"/>
      <c r="IB1245" s="0"/>
      <c r="IC1245" s="0"/>
      <c r="ID1245" s="0"/>
      <c r="IE1245" s="0"/>
      <c r="IF1245" s="0"/>
      <c r="IG1245" s="0"/>
      <c r="IH1245" s="0"/>
      <c r="II1245" s="0"/>
      <c r="IJ1245" s="0"/>
      <c r="IK1245" s="0"/>
      <c r="IL1245" s="0"/>
      <c r="IM1245" s="0"/>
      <c r="IN1245" s="0"/>
      <c r="IO1245" s="0"/>
      <c r="IP1245" s="0"/>
      <c r="IQ1245" s="0"/>
      <c r="IR1245" s="0"/>
      <c r="IS1245" s="0"/>
      <c r="IT1245" s="0"/>
      <c r="IU1245" s="0"/>
      <c r="IV1245" s="0"/>
    </row>
    <row r="1246" customFormat="false" ht="15" hidden="false" customHeight="true" outlineLevel="0" collapsed="false">
      <c r="A1246" s="1454" t="s">
        <v>902</v>
      </c>
      <c r="B1246" s="1455"/>
      <c r="C1246" s="1455"/>
      <c r="D1246" s="1455"/>
      <c r="E1246" s="1456" t="n">
        <v>27</v>
      </c>
      <c r="F1246" s="1457" t="n">
        <f aca="false">E1246/$E$1304</f>
        <v>0.075</v>
      </c>
      <c r="G1246" s="1458"/>
      <c r="H1246" s="0"/>
      <c r="I1246" s="0"/>
      <c r="J1246" s="0"/>
      <c r="K1246" s="0"/>
      <c r="L1246" s="0"/>
      <c r="T1246" s="0"/>
      <c r="U1246" s="0"/>
      <c r="V1246" s="0"/>
      <c r="W1246" s="0"/>
      <c r="X1246" s="0"/>
      <c r="Y1246" s="0"/>
      <c r="Z1246" s="0"/>
      <c r="AA1246" s="0"/>
      <c r="AB1246" s="0"/>
      <c r="AC1246" s="0"/>
      <c r="AD1246" s="0"/>
      <c r="AE1246" s="0"/>
      <c r="AF1246" s="0"/>
      <c r="AG1246" s="0"/>
      <c r="AH1246" s="0"/>
      <c r="AI1246" s="0"/>
      <c r="AJ1246" s="0"/>
      <c r="AK1246" s="0"/>
      <c r="AL1246" s="0"/>
      <c r="AM1246" s="0"/>
      <c r="AN1246" s="0"/>
      <c r="AO1246" s="0"/>
      <c r="AP1246" s="0"/>
      <c r="AQ1246" s="0"/>
      <c r="AR1246" s="0"/>
      <c r="AS1246" s="0"/>
      <c r="AT1246" s="0"/>
      <c r="AU1246" s="0"/>
      <c r="AV1246" s="0"/>
      <c r="AW1246" s="0"/>
      <c r="AX1246" s="0"/>
      <c r="AY1246" s="0"/>
      <c r="AZ1246" s="0"/>
      <c r="BA1246" s="0"/>
      <c r="BB1246" s="0"/>
      <c r="BC1246" s="0"/>
      <c r="BD1246" s="0"/>
      <c r="BE1246" s="0"/>
      <c r="BF1246" s="0"/>
      <c r="BG1246" s="0"/>
      <c r="BH1246" s="0"/>
      <c r="BI1246" s="0"/>
      <c r="BJ1246" s="0"/>
      <c r="BK1246" s="0"/>
      <c r="BL1246" s="0"/>
      <c r="BM1246" s="0"/>
      <c r="BN1246" s="0"/>
      <c r="BO1246" s="0"/>
      <c r="BP1246" s="0"/>
      <c r="BQ1246" s="0"/>
      <c r="BR1246" s="0"/>
      <c r="BS1246" s="0"/>
      <c r="BT1246" s="0"/>
      <c r="BU1246" s="0"/>
      <c r="BV1246" s="0"/>
      <c r="BW1246" s="0"/>
      <c r="BX1246" s="0"/>
      <c r="BY1246" s="0"/>
      <c r="BZ1246" s="0"/>
      <c r="CA1246" s="0"/>
      <c r="CB1246" s="0"/>
      <c r="CC1246" s="0"/>
      <c r="CD1246" s="0"/>
      <c r="CE1246" s="0"/>
      <c r="CF1246" s="0"/>
      <c r="CG1246" s="0"/>
      <c r="CH1246" s="0"/>
      <c r="CI1246" s="0"/>
      <c r="CJ1246" s="0"/>
      <c r="CK1246" s="0"/>
      <c r="CL1246" s="0"/>
      <c r="CM1246" s="0"/>
      <c r="CN1246" s="0"/>
      <c r="CO1246" s="0"/>
      <c r="CP1246" s="0"/>
      <c r="CQ1246" s="0"/>
      <c r="CR1246" s="0"/>
      <c r="CS1246" s="0"/>
      <c r="CT1246" s="0"/>
      <c r="CU1246" s="0"/>
      <c r="CV1246" s="0"/>
      <c r="CW1246" s="0"/>
      <c r="CX1246" s="0"/>
      <c r="CY1246" s="0"/>
      <c r="CZ1246" s="0"/>
      <c r="DA1246" s="0"/>
      <c r="DB1246" s="0"/>
      <c r="DC1246" s="0"/>
      <c r="DD1246" s="0"/>
      <c r="DE1246" s="0"/>
      <c r="DF1246" s="0"/>
      <c r="DG1246" s="0"/>
      <c r="DH1246" s="0"/>
      <c r="DI1246" s="0"/>
      <c r="DJ1246" s="0"/>
      <c r="DK1246" s="0"/>
      <c r="DL1246" s="0"/>
      <c r="DM1246" s="0"/>
      <c r="DN1246" s="0"/>
      <c r="DO1246" s="0"/>
      <c r="DP1246" s="0"/>
      <c r="DQ1246" s="0"/>
      <c r="DR1246" s="0"/>
      <c r="DS1246" s="0"/>
      <c r="DT1246" s="0"/>
      <c r="DU1246" s="0"/>
      <c r="DV1246" s="0"/>
      <c r="DW1246" s="0"/>
      <c r="DX1246" s="0"/>
      <c r="DY1246" s="0"/>
      <c r="DZ1246" s="0"/>
      <c r="EA1246" s="0"/>
      <c r="EB1246" s="0"/>
      <c r="EC1246" s="0"/>
      <c r="ED1246" s="0"/>
      <c r="EE1246" s="0"/>
      <c r="EF1246" s="0"/>
      <c r="EG1246" s="0"/>
      <c r="EH1246" s="0"/>
      <c r="EI1246" s="0"/>
      <c r="EJ1246" s="0"/>
      <c r="EK1246" s="0"/>
      <c r="EL1246" s="0"/>
      <c r="EM1246" s="0"/>
      <c r="EN1246" s="0"/>
      <c r="EO1246" s="0"/>
      <c r="EP1246" s="0"/>
      <c r="EQ1246" s="0"/>
      <c r="ER1246" s="0"/>
      <c r="ES1246" s="0"/>
      <c r="ET1246" s="0"/>
      <c r="EU1246" s="0"/>
      <c r="EV1246" s="0"/>
      <c r="EW1246" s="0"/>
      <c r="EX1246" s="0"/>
      <c r="EY1246" s="0"/>
      <c r="EZ1246" s="0"/>
      <c r="FA1246" s="0"/>
      <c r="FB1246" s="0"/>
      <c r="FC1246" s="0"/>
      <c r="FD1246" s="0"/>
      <c r="FE1246" s="0"/>
      <c r="FF1246" s="0"/>
      <c r="FG1246" s="0"/>
      <c r="FH1246" s="0"/>
      <c r="FI1246" s="0"/>
      <c r="FJ1246" s="0"/>
      <c r="FK1246" s="0"/>
      <c r="FL1246" s="0"/>
      <c r="FM1246" s="0"/>
      <c r="FN1246" s="0"/>
      <c r="FO1246" s="0"/>
      <c r="FP1246" s="0"/>
      <c r="FQ1246" s="0"/>
      <c r="FR1246" s="0"/>
      <c r="FS1246" s="0"/>
      <c r="FT1246" s="0"/>
      <c r="FU1246" s="0"/>
      <c r="FV1246" s="0"/>
      <c r="FW1246" s="0"/>
      <c r="FX1246" s="0"/>
      <c r="FY1246" s="0"/>
      <c r="FZ1246" s="0"/>
      <c r="GA1246" s="0"/>
      <c r="GB1246" s="0"/>
      <c r="GC1246" s="0"/>
      <c r="GD1246" s="0"/>
      <c r="GE1246" s="0"/>
      <c r="GF1246" s="0"/>
      <c r="GG1246" s="0"/>
      <c r="GH1246" s="0"/>
      <c r="GI1246" s="0"/>
      <c r="GJ1246" s="0"/>
      <c r="GK1246" s="0"/>
      <c r="GL1246" s="0"/>
      <c r="GM1246" s="0"/>
      <c r="GN1246" s="0"/>
      <c r="GO1246" s="0"/>
      <c r="GP1246" s="0"/>
      <c r="GQ1246" s="0"/>
      <c r="GR1246" s="0"/>
      <c r="GS1246" s="0"/>
      <c r="GT1246" s="0"/>
      <c r="GU1246" s="0"/>
      <c r="GV1246" s="0"/>
      <c r="GW1246" s="0"/>
      <c r="GX1246" s="0"/>
      <c r="GY1246" s="0"/>
      <c r="GZ1246" s="0"/>
      <c r="HA1246" s="0"/>
      <c r="HB1246" s="0"/>
      <c r="HC1246" s="0"/>
      <c r="HD1246" s="0"/>
      <c r="HE1246" s="0"/>
      <c r="HF1246" s="0"/>
      <c r="HG1246" s="0"/>
      <c r="HH1246" s="0"/>
      <c r="HI1246" s="0"/>
      <c r="HJ1246" s="0"/>
      <c r="HK1246" s="0"/>
      <c r="HL1246" s="0"/>
      <c r="HM1246" s="0"/>
      <c r="HN1246" s="0"/>
      <c r="HO1246" s="0"/>
      <c r="HP1246" s="0"/>
      <c r="HQ1246" s="0"/>
      <c r="HR1246" s="0"/>
      <c r="HS1246" s="0"/>
      <c r="HT1246" s="0"/>
      <c r="HU1246" s="0"/>
      <c r="HV1246" s="0"/>
      <c r="HW1246" s="0"/>
      <c r="HX1246" s="0"/>
      <c r="HY1246" s="0"/>
      <c r="HZ1246" s="0"/>
      <c r="IA1246" s="0"/>
      <c r="IB1246" s="0"/>
      <c r="IC1246" s="0"/>
      <c r="ID1246" s="0"/>
      <c r="IE1246" s="0"/>
      <c r="IF1246" s="0"/>
      <c r="IG1246" s="0"/>
      <c r="IH1246" s="0"/>
      <c r="II1246" s="0"/>
      <c r="IJ1246" s="0"/>
      <c r="IK1246" s="0"/>
      <c r="IL1246" s="0"/>
      <c r="IM1246" s="0"/>
      <c r="IN1246" s="0"/>
      <c r="IO1246" s="0"/>
      <c r="IP1246" s="0"/>
      <c r="IQ1246" s="0"/>
      <c r="IR1246" s="0"/>
      <c r="IS1246" s="0"/>
      <c r="IT1246" s="0"/>
      <c r="IU1246" s="0"/>
      <c r="IV1246" s="0"/>
    </row>
    <row r="1247" customFormat="false" ht="15" hidden="false" customHeight="true" outlineLevel="0" collapsed="false">
      <c r="A1247" s="1454" t="s">
        <v>1776</v>
      </c>
      <c r="B1247" s="1455"/>
      <c r="C1247" s="1455"/>
      <c r="D1247" s="1455"/>
      <c r="E1247" s="1456" t="n">
        <v>162</v>
      </c>
      <c r="F1247" s="1457" t="n">
        <f aca="false">E1247/$E$1304</f>
        <v>0.45</v>
      </c>
      <c r="G1247" s="1459"/>
      <c r="J1247" s="1249"/>
      <c r="K1247" s="1460"/>
      <c r="L1247" s="867"/>
      <c r="M1247" s="0"/>
      <c r="O1247" s="0"/>
      <c r="P1247" s="0"/>
      <c r="T1247" s="0"/>
      <c r="U1247" s="0"/>
      <c r="V1247" s="0"/>
      <c r="W1247" s="0"/>
      <c r="X1247" s="0"/>
      <c r="Y1247" s="0"/>
      <c r="Z1247" s="0"/>
      <c r="AA1247" s="0"/>
      <c r="AB1247" s="0"/>
      <c r="AC1247" s="0"/>
      <c r="AD1247" s="0"/>
      <c r="AE1247" s="0"/>
      <c r="AF1247" s="0"/>
      <c r="AG1247" s="0"/>
      <c r="AH1247" s="0"/>
      <c r="AI1247" s="0"/>
      <c r="AJ1247" s="0"/>
      <c r="AK1247" s="0"/>
      <c r="AL1247" s="0"/>
      <c r="AM1247" s="0"/>
      <c r="AN1247" s="0"/>
      <c r="AO1247" s="0"/>
      <c r="AP1247" s="0"/>
      <c r="AQ1247" s="0"/>
      <c r="AR1247" s="0"/>
      <c r="AS1247" s="0"/>
      <c r="AT1247" s="0"/>
      <c r="AU1247" s="0"/>
      <c r="AV1247" s="0"/>
      <c r="AW1247" s="0"/>
      <c r="AX1247" s="0"/>
      <c r="AY1247" s="0"/>
      <c r="AZ1247" s="0"/>
      <c r="BA1247" s="0"/>
      <c r="BB1247" s="0"/>
      <c r="BC1247" s="0"/>
      <c r="BD1247" s="0"/>
      <c r="BE1247" s="0"/>
      <c r="BF1247" s="0"/>
      <c r="BG1247" s="0"/>
      <c r="BH1247" s="0"/>
      <c r="BI1247" s="0"/>
      <c r="BJ1247" s="0"/>
      <c r="BK1247" s="0"/>
      <c r="BL1247" s="0"/>
      <c r="BM1247" s="0"/>
      <c r="BN1247" s="0"/>
      <c r="BO1247" s="0"/>
      <c r="BP1247" s="0"/>
      <c r="BQ1247" s="0"/>
      <c r="BR1247" s="0"/>
      <c r="BS1247" s="0"/>
      <c r="BT1247" s="0"/>
      <c r="BU1247" s="0"/>
      <c r="BV1247" s="0"/>
      <c r="BW1247" s="0"/>
      <c r="BX1247" s="0"/>
      <c r="BY1247" s="0"/>
      <c r="BZ1247" s="0"/>
      <c r="CA1247" s="0"/>
      <c r="CB1247" s="0"/>
      <c r="CC1247" s="0"/>
      <c r="CD1247" s="0"/>
      <c r="CE1247" s="0"/>
      <c r="CF1247" s="0"/>
      <c r="CG1247" s="0"/>
      <c r="CH1247" s="0"/>
      <c r="CI1247" s="0"/>
      <c r="CJ1247" s="0"/>
      <c r="CK1247" s="0"/>
      <c r="CL1247" s="0"/>
      <c r="CM1247" s="0"/>
      <c r="CN1247" s="0"/>
      <c r="CO1247" s="0"/>
      <c r="CP1247" s="0"/>
      <c r="CQ1247" s="0"/>
      <c r="CR1247" s="0"/>
      <c r="CS1247" s="0"/>
      <c r="CT1247" s="0"/>
      <c r="CU1247" s="0"/>
      <c r="CV1247" s="0"/>
      <c r="CW1247" s="0"/>
      <c r="CX1247" s="0"/>
      <c r="CY1247" s="0"/>
      <c r="CZ1247" s="0"/>
      <c r="DA1247" s="0"/>
      <c r="DB1247" s="0"/>
      <c r="DC1247" s="0"/>
      <c r="DD1247" s="0"/>
      <c r="DE1247" s="0"/>
      <c r="DF1247" s="0"/>
      <c r="DG1247" s="0"/>
      <c r="DH1247" s="0"/>
      <c r="DI1247" s="0"/>
      <c r="DJ1247" s="0"/>
      <c r="DK1247" s="0"/>
      <c r="DL1247" s="0"/>
      <c r="DM1247" s="0"/>
      <c r="DN1247" s="0"/>
      <c r="DO1247" s="0"/>
      <c r="DP1247" s="0"/>
      <c r="DQ1247" s="0"/>
      <c r="DR1247" s="0"/>
      <c r="DS1247" s="0"/>
      <c r="DT1247" s="0"/>
      <c r="DU1247" s="0"/>
      <c r="DV1247" s="0"/>
      <c r="DW1247" s="0"/>
      <c r="DX1247" s="0"/>
      <c r="DY1247" s="0"/>
      <c r="DZ1247" s="0"/>
      <c r="EA1247" s="0"/>
      <c r="EB1247" s="0"/>
      <c r="EC1247" s="0"/>
      <c r="ED1247" s="0"/>
      <c r="EE1247" s="0"/>
      <c r="EF1247" s="0"/>
      <c r="EG1247" s="0"/>
      <c r="EH1247" s="0"/>
      <c r="EI1247" s="0"/>
      <c r="EJ1247" s="0"/>
      <c r="EK1247" s="0"/>
      <c r="EL1247" s="0"/>
      <c r="EM1247" s="0"/>
      <c r="EN1247" s="0"/>
      <c r="EO1247" s="0"/>
      <c r="EP1247" s="0"/>
      <c r="EQ1247" s="0"/>
      <c r="ER1247" s="0"/>
      <c r="ES1247" s="0"/>
      <c r="ET1247" s="0"/>
      <c r="EU1247" s="0"/>
      <c r="EV1247" s="0"/>
      <c r="EW1247" s="0"/>
      <c r="EX1247" s="0"/>
      <c r="EY1247" s="0"/>
      <c r="EZ1247" s="0"/>
      <c r="FA1247" s="0"/>
      <c r="FB1247" s="0"/>
      <c r="FC1247" s="0"/>
      <c r="FD1247" s="0"/>
      <c r="FE1247" s="0"/>
      <c r="FF1247" s="0"/>
      <c r="FG1247" s="0"/>
      <c r="FH1247" s="0"/>
      <c r="FI1247" s="0"/>
      <c r="FJ1247" s="0"/>
      <c r="FK1247" s="0"/>
      <c r="FL1247" s="0"/>
      <c r="FM1247" s="0"/>
      <c r="FN1247" s="0"/>
      <c r="FO1247" s="0"/>
      <c r="FP1247" s="0"/>
      <c r="FQ1247" s="0"/>
      <c r="FR1247" s="0"/>
      <c r="FS1247" s="0"/>
      <c r="FT1247" s="0"/>
      <c r="FU1247" s="0"/>
      <c r="FV1247" s="0"/>
      <c r="FW1247" s="0"/>
      <c r="FX1247" s="0"/>
      <c r="FY1247" s="0"/>
      <c r="FZ1247" s="0"/>
      <c r="GA1247" s="0"/>
      <c r="GB1247" s="0"/>
      <c r="GC1247" s="0"/>
      <c r="GD1247" s="0"/>
      <c r="GE1247" s="0"/>
      <c r="GF1247" s="0"/>
      <c r="GG1247" s="0"/>
      <c r="GH1247" s="0"/>
      <c r="GI1247" s="0"/>
      <c r="GJ1247" s="0"/>
      <c r="GK1247" s="0"/>
      <c r="GL1247" s="0"/>
      <c r="GM1247" s="0"/>
      <c r="GN1247" s="0"/>
      <c r="GO1247" s="0"/>
      <c r="GP1247" s="0"/>
      <c r="GQ1247" s="0"/>
      <c r="GR1247" s="0"/>
      <c r="GS1247" s="0"/>
      <c r="GT1247" s="0"/>
      <c r="GU1247" s="0"/>
      <c r="GV1247" s="0"/>
      <c r="GW1247" s="0"/>
      <c r="GX1247" s="0"/>
      <c r="GY1247" s="0"/>
      <c r="GZ1247" s="0"/>
      <c r="HA1247" s="0"/>
      <c r="HB1247" s="0"/>
      <c r="HC1247" s="0"/>
      <c r="HD1247" s="0"/>
      <c r="HE1247" s="0"/>
      <c r="HF1247" s="0"/>
      <c r="HG1247" s="0"/>
      <c r="HH1247" s="0"/>
      <c r="HI1247" s="0"/>
      <c r="HJ1247" s="0"/>
      <c r="HK1247" s="0"/>
      <c r="HL1247" s="0"/>
      <c r="HM1247" s="0"/>
      <c r="HN1247" s="0"/>
      <c r="HO1247" s="0"/>
      <c r="HP1247" s="0"/>
      <c r="HQ1247" s="0"/>
      <c r="HR1247" s="0"/>
      <c r="HS1247" s="0"/>
      <c r="HT1247" s="0"/>
      <c r="HU1247" s="0"/>
      <c r="HV1247" s="0"/>
      <c r="HW1247" s="0"/>
      <c r="HX1247" s="0"/>
      <c r="HY1247" s="0"/>
      <c r="HZ1247" s="0"/>
      <c r="IA1247" s="0"/>
      <c r="IB1247" s="0"/>
      <c r="IC1247" s="0"/>
      <c r="ID1247" s="0"/>
      <c r="IE1247" s="0"/>
      <c r="IF1247" s="0"/>
      <c r="IG1247" s="0"/>
      <c r="IH1247" s="0"/>
      <c r="II1247" s="0"/>
      <c r="IJ1247" s="0"/>
      <c r="IK1247" s="0"/>
      <c r="IL1247" s="0"/>
      <c r="IM1247" s="0"/>
      <c r="IN1247" s="0"/>
      <c r="IO1247" s="0"/>
      <c r="IP1247" s="0"/>
      <c r="IQ1247" s="0"/>
      <c r="IR1247" s="0"/>
      <c r="IS1247" s="0"/>
      <c r="IT1247" s="0"/>
      <c r="IU1247" s="0"/>
      <c r="IV1247" s="0"/>
    </row>
    <row r="1248" customFormat="false" ht="15" hidden="false" customHeight="true" outlineLevel="0" collapsed="false">
      <c r="A1248" s="1454" t="s">
        <v>904</v>
      </c>
      <c r="B1248" s="1455"/>
      <c r="C1248" s="1455"/>
      <c r="D1248" s="1455"/>
      <c r="E1248" s="1456" t="n">
        <v>27</v>
      </c>
      <c r="F1248" s="1457" t="n">
        <f aca="false">E1248/$E$1304</f>
        <v>0.075</v>
      </c>
      <c r="G1248" s="1459"/>
      <c r="J1248" s="1249"/>
      <c r="K1248" s="1460"/>
      <c r="L1248" s="867"/>
      <c r="M1248" s="0"/>
      <c r="O1248" s="0"/>
      <c r="P1248" s="0"/>
      <c r="T1248" s="0"/>
      <c r="U1248" s="0"/>
      <c r="V1248" s="0"/>
      <c r="W1248" s="0"/>
      <c r="X1248" s="0"/>
      <c r="Y1248" s="0"/>
      <c r="Z1248" s="0"/>
      <c r="AA1248" s="0"/>
      <c r="AB1248" s="0"/>
      <c r="AC1248" s="0"/>
      <c r="AD1248" s="0"/>
      <c r="AE1248" s="0"/>
      <c r="AF1248" s="0"/>
      <c r="AG1248" s="0"/>
      <c r="AH1248" s="0"/>
      <c r="AI1248" s="0"/>
      <c r="AJ1248" s="0"/>
      <c r="AK1248" s="0"/>
      <c r="AL1248" s="0"/>
      <c r="AM1248" s="0"/>
      <c r="AN1248" s="0"/>
      <c r="AO1248" s="0"/>
      <c r="AP1248" s="0"/>
      <c r="AQ1248" s="0"/>
      <c r="AR1248" s="0"/>
      <c r="AS1248" s="0"/>
      <c r="AT1248" s="0"/>
      <c r="AU1248" s="0"/>
      <c r="AV1248" s="0"/>
      <c r="AW1248" s="0"/>
      <c r="AX1248" s="0"/>
      <c r="AY1248" s="0"/>
      <c r="AZ1248" s="0"/>
      <c r="BA1248" s="0"/>
      <c r="BB1248" s="0"/>
      <c r="BC1248" s="0"/>
      <c r="BD1248" s="0"/>
      <c r="BE1248" s="0"/>
      <c r="BF1248" s="0"/>
      <c r="BG1248" s="0"/>
      <c r="BH1248" s="0"/>
      <c r="BI1248" s="0"/>
      <c r="BJ1248" s="0"/>
      <c r="BK1248" s="0"/>
      <c r="BL1248" s="0"/>
      <c r="BM1248" s="0"/>
      <c r="BN1248" s="0"/>
      <c r="BO1248" s="0"/>
      <c r="BP1248" s="0"/>
      <c r="BQ1248" s="0"/>
      <c r="BR1248" s="0"/>
      <c r="BS1248" s="0"/>
      <c r="BT1248" s="0"/>
      <c r="BU1248" s="0"/>
      <c r="BV1248" s="0"/>
      <c r="BW1248" s="0"/>
      <c r="BX1248" s="0"/>
      <c r="BY1248" s="0"/>
      <c r="BZ1248" s="0"/>
      <c r="CA1248" s="0"/>
      <c r="CB1248" s="0"/>
      <c r="CC1248" s="0"/>
      <c r="CD1248" s="0"/>
      <c r="CE1248" s="0"/>
      <c r="CF1248" s="0"/>
      <c r="CG1248" s="0"/>
      <c r="CH1248" s="0"/>
      <c r="CI1248" s="0"/>
      <c r="CJ1248" s="0"/>
      <c r="CK1248" s="0"/>
      <c r="CL1248" s="0"/>
      <c r="CM1248" s="0"/>
      <c r="CN1248" s="0"/>
      <c r="CO1248" s="0"/>
      <c r="CP1248" s="0"/>
      <c r="CQ1248" s="0"/>
      <c r="CR1248" s="0"/>
      <c r="CS1248" s="0"/>
      <c r="CT1248" s="0"/>
      <c r="CU1248" s="0"/>
      <c r="CV1248" s="0"/>
      <c r="CW1248" s="0"/>
      <c r="CX1248" s="0"/>
      <c r="CY1248" s="0"/>
      <c r="CZ1248" s="0"/>
      <c r="DA1248" s="0"/>
      <c r="DB1248" s="0"/>
      <c r="DC1248" s="0"/>
      <c r="DD1248" s="0"/>
      <c r="DE1248" s="0"/>
      <c r="DF1248" s="0"/>
      <c r="DG1248" s="0"/>
      <c r="DH1248" s="0"/>
      <c r="DI1248" s="0"/>
      <c r="DJ1248" s="0"/>
      <c r="DK1248" s="0"/>
      <c r="DL1248" s="0"/>
      <c r="DM1248" s="0"/>
      <c r="DN1248" s="0"/>
      <c r="DO1248" s="0"/>
      <c r="DP1248" s="0"/>
      <c r="DQ1248" s="0"/>
      <c r="DR1248" s="0"/>
      <c r="DS1248" s="0"/>
      <c r="DT1248" s="0"/>
      <c r="DU1248" s="0"/>
      <c r="DV1248" s="0"/>
      <c r="DW1248" s="0"/>
      <c r="DX1248" s="0"/>
      <c r="DY1248" s="0"/>
      <c r="DZ1248" s="0"/>
      <c r="EA1248" s="0"/>
      <c r="EB1248" s="0"/>
      <c r="EC1248" s="0"/>
      <c r="ED1248" s="0"/>
      <c r="EE1248" s="0"/>
      <c r="EF1248" s="0"/>
      <c r="EG1248" s="0"/>
      <c r="EH1248" s="0"/>
      <c r="EI1248" s="0"/>
      <c r="EJ1248" s="0"/>
      <c r="EK1248" s="0"/>
      <c r="EL1248" s="0"/>
      <c r="EM1248" s="0"/>
      <c r="EN1248" s="0"/>
      <c r="EO1248" s="0"/>
      <c r="EP1248" s="0"/>
      <c r="EQ1248" s="0"/>
      <c r="ER1248" s="0"/>
      <c r="ES1248" s="0"/>
      <c r="ET1248" s="0"/>
      <c r="EU1248" s="0"/>
      <c r="EV1248" s="0"/>
      <c r="EW1248" s="0"/>
      <c r="EX1248" s="0"/>
      <c r="EY1248" s="0"/>
      <c r="EZ1248" s="0"/>
      <c r="FA1248" s="0"/>
      <c r="FB1248" s="0"/>
      <c r="FC1248" s="0"/>
      <c r="FD1248" s="0"/>
      <c r="FE1248" s="0"/>
      <c r="FF1248" s="0"/>
      <c r="FG1248" s="0"/>
      <c r="FH1248" s="0"/>
      <c r="FI1248" s="0"/>
      <c r="FJ1248" s="0"/>
      <c r="FK1248" s="0"/>
      <c r="FL1248" s="0"/>
      <c r="FM1248" s="0"/>
      <c r="FN1248" s="0"/>
      <c r="FO1248" s="0"/>
      <c r="FP1248" s="0"/>
      <c r="FQ1248" s="0"/>
      <c r="FR1248" s="0"/>
      <c r="FS1248" s="0"/>
      <c r="FT1248" s="0"/>
      <c r="FU1248" s="0"/>
      <c r="FV1248" s="0"/>
      <c r="FW1248" s="0"/>
      <c r="FX1248" s="0"/>
      <c r="FY1248" s="0"/>
      <c r="FZ1248" s="0"/>
      <c r="GA1248" s="0"/>
      <c r="GB1248" s="0"/>
      <c r="GC1248" s="0"/>
      <c r="GD1248" s="0"/>
      <c r="GE1248" s="0"/>
      <c r="GF1248" s="0"/>
      <c r="GG1248" s="0"/>
      <c r="GH1248" s="0"/>
      <c r="GI1248" s="0"/>
      <c r="GJ1248" s="0"/>
      <c r="GK1248" s="0"/>
      <c r="GL1248" s="0"/>
      <c r="GM1248" s="0"/>
      <c r="GN1248" s="0"/>
      <c r="GO1248" s="0"/>
      <c r="GP1248" s="0"/>
      <c r="GQ1248" s="0"/>
      <c r="GR1248" s="0"/>
      <c r="GS1248" s="0"/>
      <c r="GT1248" s="0"/>
      <c r="GU1248" s="0"/>
      <c r="GV1248" s="0"/>
      <c r="GW1248" s="0"/>
      <c r="GX1248" s="0"/>
      <c r="GY1248" s="0"/>
      <c r="GZ1248" s="0"/>
      <c r="HA1248" s="0"/>
      <c r="HB1248" s="0"/>
      <c r="HC1248" s="0"/>
      <c r="HD1248" s="0"/>
      <c r="HE1248" s="0"/>
      <c r="HF1248" s="0"/>
      <c r="HG1248" s="0"/>
      <c r="HH1248" s="0"/>
      <c r="HI1248" s="0"/>
      <c r="HJ1248" s="0"/>
      <c r="HK1248" s="0"/>
      <c r="HL1248" s="0"/>
      <c r="HM1248" s="0"/>
      <c r="HN1248" s="0"/>
      <c r="HO1248" s="0"/>
      <c r="HP1248" s="0"/>
      <c r="HQ1248" s="0"/>
      <c r="HR1248" s="0"/>
      <c r="HS1248" s="0"/>
      <c r="HT1248" s="0"/>
      <c r="HU1248" s="0"/>
      <c r="HV1248" s="0"/>
      <c r="HW1248" s="0"/>
      <c r="HX1248" s="0"/>
      <c r="HY1248" s="0"/>
      <c r="HZ1248" s="0"/>
      <c r="IA1248" s="0"/>
      <c r="IB1248" s="0"/>
      <c r="IC1248" s="0"/>
      <c r="ID1248" s="0"/>
      <c r="IE1248" s="0"/>
      <c r="IF1248" s="0"/>
      <c r="IG1248" s="0"/>
      <c r="IH1248" s="0"/>
      <c r="II1248" s="0"/>
      <c r="IJ1248" s="0"/>
      <c r="IK1248" s="0"/>
      <c r="IL1248" s="0"/>
      <c r="IM1248" s="0"/>
      <c r="IN1248" s="0"/>
      <c r="IO1248" s="0"/>
      <c r="IP1248" s="0"/>
      <c r="IQ1248" s="0"/>
      <c r="IR1248" s="0"/>
      <c r="IS1248" s="0"/>
      <c r="IT1248" s="0"/>
      <c r="IU1248" s="0"/>
      <c r="IV1248" s="0"/>
    </row>
    <row r="1249" customFormat="false" ht="15" hidden="false" customHeight="true" outlineLevel="0" collapsed="false">
      <c r="A1249" s="1461" t="s">
        <v>905</v>
      </c>
      <c r="B1249" s="1455"/>
      <c r="C1249" s="1455"/>
      <c r="D1249" s="1455"/>
      <c r="E1249" s="1456"/>
      <c r="F1249" s="1457" t="n">
        <f aca="false">E1249/$E$1304</f>
        <v>0</v>
      </c>
      <c r="G1249" s="1459"/>
      <c r="J1249" s="1249"/>
      <c r="K1249" s="1460"/>
      <c r="L1249" s="867"/>
      <c r="M1249" s="0"/>
      <c r="O1249" s="0"/>
      <c r="P1249" s="0"/>
      <c r="T1249" s="0"/>
      <c r="U1249" s="0"/>
      <c r="V1249" s="0"/>
      <c r="W1249" s="0"/>
      <c r="X1249" s="0"/>
      <c r="Y1249" s="0"/>
      <c r="Z1249" s="0"/>
      <c r="AA1249" s="0"/>
      <c r="AB1249" s="0"/>
      <c r="AC1249" s="0"/>
      <c r="AD1249" s="0"/>
      <c r="AE1249" s="0"/>
      <c r="AF1249" s="0"/>
      <c r="AG1249" s="0"/>
      <c r="AH1249" s="0"/>
      <c r="AI1249" s="0"/>
      <c r="AJ1249" s="0"/>
      <c r="AK1249" s="0"/>
      <c r="AL1249" s="0"/>
      <c r="AM1249" s="0"/>
      <c r="AN1249" s="0"/>
      <c r="AO1249" s="0"/>
      <c r="AP1249" s="0"/>
      <c r="AQ1249" s="0"/>
      <c r="AR1249" s="0"/>
      <c r="AS1249" s="0"/>
      <c r="AT1249" s="0"/>
      <c r="AU1249" s="0"/>
      <c r="AV1249" s="0"/>
      <c r="AW1249" s="0"/>
      <c r="AX1249" s="0"/>
      <c r="AY1249" s="0"/>
      <c r="AZ1249" s="0"/>
      <c r="BA1249" s="0"/>
      <c r="BB1249" s="0"/>
      <c r="BC1249" s="0"/>
      <c r="BD1249" s="0"/>
      <c r="BE1249" s="0"/>
      <c r="BF1249" s="0"/>
      <c r="BG1249" s="0"/>
      <c r="BH1249" s="0"/>
      <c r="BI1249" s="0"/>
      <c r="BJ1249" s="0"/>
      <c r="BK1249" s="0"/>
      <c r="BL1249" s="0"/>
      <c r="BM1249" s="0"/>
      <c r="BN1249" s="0"/>
      <c r="BO1249" s="0"/>
      <c r="BP1249" s="0"/>
      <c r="BQ1249" s="0"/>
      <c r="BR1249" s="0"/>
      <c r="BS1249" s="0"/>
      <c r="BT1249" s="0"/>
      <c r="BU1249" s="0"/>
      <c r="BV1249" s="0"/>
      <c r="BW1249" s="0"/>
      <c r="BX1249" s="0"/>
      <c r="BY1249" s="0"/>
      <c r="BZ1249" s="0"/>
      <c r="CA1249" s="0"/>
      <c r="CB1249" s="0"/>
      <c r="CC1249" s="0"/>
      <c r="CD1249" s="0"/>
      <c r="CE1249" s="0"/>
      <c r="CF1249" s="0"/>
      <c r="CG1249" s="0"/>
      <c r="CH1249" s="0"/>
      <c r="CI1249" s="0"/>
      <c r="CJ1249" s="0"/>
      <c r="CK1249" s="0"/>
      <c r="CL1249" s="0"/>
      <c r="CM1249" s="0"/>
      <c r="CN1249" s="0"/>
      <c r="CO1249" s="0"/>
      <c r="CP1249" s="0"/>
      <c r="CQ1249" s="0"/>
      <c r="CR1249" s="0"/>
      <c r="CS1249" s="0"/>
      <c r="CT1249" s="0"/>
      <c r="CU1249" s="0"/>
      <c r="CV1249" s="0"/>
      <c r="CW1249" s="0"/>
      <c r="CX1249" s="0"/>
      <c r="CY1249" s="0"/>
      <c r="CZ1249" s="0"/>
      <c r="DA1249" s="0"/>
      <c r="DB1249" s="0"/>
      <c r="DC1249" s="0"/>
      <c r="DD1249" s="0"/>
      <c r="DE1249" s="0"/>
      <c r="DF1249" s="0"/>
      <c r="DG1249" s="0"/>
      <c r="DH1249" s="0"/>
      <c r="DI1249" s="0"/>
      <c r="DJ1249" s="0"/>
      <c r="DK1249" s="0"/>
      <c r="DL1249" s="0"/>
      <c r="DM1249" s="0"/>
      <c r="DN1249" s="0"/>
      <c r="DO1249" s="0"/>
      <c r="DP1249" s="0"/>
      <c r="DQ1249" s="0"/>
      <c r="DR1249" s="0"/>
      <c r="DS1249" s="0"/>
      <c r="DT1249" s="0"/>
      <c r="DU1249" s="0"/>
      <c r="DV1249" s="0"/>
      <c r="DW1249" s="0"/>
      <c r="DX1249" s="0"/>
      <c r="DY1249" s="0"/>
      <c r="DZ1249" s="0"/>
      <c r="EA1249" s="0"/>
      <c r="EB1249" s="0"/>
      <c r="EC1249" s="0"/>
      <c r="ED1249" s="0"/>
      <c r="EE1249" s="0"/>
      <c r="EF1249" s="0"/>
      <c r="EG1249" s="0"/>
      <c r="EH1249" s="0"/>
      <c r="EI1249" s="0"/>
      <c r="EJ1249" s="0"/>
      <c r="EK1249" s="0"/>
      <c r="EL1249" s="0"/>
      <c r="EM1249" s="0"/>
      <c r="EN1249" s="0"/>
      <c r="EO1249" s="0"/>
      <c r="EP1249" s="0"/>
      <c r="EQ1249" s="0"/>
      <c r="ER1249" s="0"/>
      <c r="ES1249" s="0"/>
      <c r="ET1249" s="0"/>
      <c r="EU1249" s="0"/>
      <c r="EV1249" s="0"/>
      <c r="EW1249" s="0"/>
      <c r="EX1249" s="0"/>
      <c r="EY1249" s="0"/>
      <c r="EZ1249" s="0"/>
      <c r="FA1249" s="0"/>
      <c r="FB1249" s="0"/>
      <c r="FC1249" s="0"/>
      <c r="FD1249" s="0"/>
      <c r="FE1249" s="0"/>
      <c r="FF1249" s="0"/>
      <c r="FG1249" s="0"/>
      <c r="FH1249" s="0"/>
      <c r="FI1249" s="0"/>
      <c r="FJ1249" s="0"/>
      <c r="FK1249" s="0"/>
      <c r="FL1249" s="0"/>
      <c r="FM1249" s="0"/>
      <c r="FN1249" s="0"/>
      <c r="FO1249" s="0"/>
      <c r="FP1249" s="0"/>
      <c r="FQ1249" s="0"/>
      <c r="FR1249" s="0"/>
      <c r="FS1249" s="0"/>
      <c r="FT1249" s="0"/>
      <c r="FU1249" s="0"/>
      <c r="FV1249" s="0"/>
      <c r="FW1249" s="0"/>
      <c r="FX1249" s="0"/>
      <c r="FY1249" s="0"/>
      <c r="FZ1249" s="0"/>
      <c r="GA1249" s="0"/>
      <c r="GB1249" s="0"/>
      <c r="GC1249" s="0"/>
      <c r="GD1249" s="0"/>
      <c r="GE1249" s="0"/>
      <c r="GF1249" s="0"/>
      <c r="GG1249" s="0"/>
      <c r="GH1249" s="0"/>
      <c r="GI1249" s="0"/>
      <c r="GJ1249" s="0"/>
      <c r="GK1249" s="0"/>
      <c r="GL1249" s="0"/>
      <c r="GM1249" s="0"/>
      <c r="GN1249" s="0"/>
      <c r="GO1249" s="0"/>
      <c r="GP1249" s="0"/>
      <c r="GQ1249" s="0"/>
      <c r="GR1249" s="0"/>
      <c r="GS1249" s="0"/>
      <c r="GT1249" s="0"/>
      <c r="GU1249" s="0"/>
      <c r="GV1249" s="0"/>
      <c r="GW1249" s="0"/>
      <c r="GX1249" s="0"/>
      <c r="GY1249" s="0"/>
      <c r="GZ1249" s="0"/>
      <c r="HA1249" s="0"/>
      <c r="HB1249" s="0"/>
      <c r="HC1249" s="0"/>
      <c r="HD1249" s="0"/>
      <c r="HE1249" s="0"/>
      <c r="HF1249" s="0"/>
      <c r="HG1249" s="0"/>
      <c r="HH1249" s="0"/>
      <c r="HI1249" s="0"/>
      <c r="HJ1249" s="0"/>
      <c r="HK1249" s="0"/>
      <c r="HL1249" s="0"/>
      <c r="HM1249" s="0"/>
      <c r="HN1249" s="0"/>
      <c r="HO1249" s="0"/>
      <c r="HP1249" s="0"/>
      <c r="HQ1249" s="0"/>
      <c r="HR1249" s="0"/>
      <c r="HS1249" s="0"/>
      <c r="HT1249" s="0"/>
      <c r="HU1249" s="0"/>
      <c r="HV1249" s="0"/>
      <c r="HW1249" s="0"/>
      <c r="HX1249" s="0"/>
      <c r="HY1249" s="0"/>
      <c r="HZ1249" s="0"/>
      <c r="IA1249" s="0"/>
      <c r="IB1249" s="0"/>
      <c r="IC1249" s="0"/>
      <c r="ID1249" s="0"/>
      <c r="IE1249" s="0"/>
      <c r="IF1249" s="0"/>
      <c r="IG1249" s="0"/>
      <c r="IH1249" s="0"/>
      <c r="II1249" s="0"/>
      <c r="IJ1249" s="0"/>
      <c r="IK1249" s="0"/>
      <c r="IL1249" s="0"/>
      <c r="IM1249" s="0"/>
      <c r="IN1249" s="0"/>
      <c r="IO1249" s="0"/>
      <c r="IP1249" s="0"/>
      <c r="IQ1249" s="0"/>
      <c r="IR1249" s="0"/>
      <c r="IS1249" s="0"/>
      <c r="IT1249" s="0"/>
      <c r="IU1249" s="0"/>
      <c r="IV1249" s="0"/>
    </row>
    <row r="1250" customFormat="false" ht="30" hidden="false" customHeight="true" outlineLevel="0" collapsed="false">
      <c r="A1250" s="1462" t="s">
        <v>1777</v>
      </c>
      <c r="B1250" s="1462"/>
      <c r="C1250" s="1462"/>
      <c r="D1250" s="1462"/>
      <c r="E1250" s="1463" t="n">
        <f aca="false">SUM(E1251:E1255)</f>
        <v>0</v>
      </c>
      <c r="F1250" s="1451"/>
      <c r="G1250" s="1452"/>
      <c r="H1250" s="0"/>
      <c r="I1250" s="1464" t="s">
        <v>1778</v>
      </c>
      <c r="J1250" s="1465" t="n">
        <f aca="false">MAX(G1245:G1302)/G1304</f>
        <v>0.6</v>
      </c>
      <c r="K1250" s="1310"/>
      <c r="L1250" s="867"/>
      <c r="M1250" s="931"/>
      <c r="N1250" s="0"/>
      <c r="O1250" s="0"/>
      <c r="P1250" s="0"/>
      <c r="Q1250" s="0"/>
      <c r="R1250" s="0"/>
      <c r="S1250" s="0"/>
      <c r="T1250" s="0"/>
      <c r="U1250" s="0"/>
      <c r="V1250" s="0"/>
      <c r="W1250" s="0"/>
      <c r="X1250" s="0"/>
      <c r="Y1250" s="0"/>
      <c r="Z1250" s="0"/>
      <c r="AA1250" s="0"/>
      <c r="AB1250" s="0"/>
      <c r="AC1250" s="0"/>
      <c r="AD1250" s="0"/>
      <c r="AE1250" s="0"/>
      <c r="AF1250" s="0"/>
      <c r="AG1250" s="0"/>
      <c r="AH1250" s="0"/>
      <c r="AI1250" s="0"/>
      <c r="AJ1250" s="0"/>
      <c r="AK1250" s="0"/>
      <c r="AL1250" s="0"/>
      <c r="AM1250" s="0"/>
      <c r="AN1250" s="0"/>
      <c r="AO1250" s="0"/>
      <c r="AP1250" s="0"/>
      <c r="AQ1250" s="0"/>
      <c r="AR1250" s="0"/>
      <c r="AS1250" s="0"/>
      <c r="AT1250" s="0"/>
      <c r="AU1250" s="0"/>
      <c r="AV1250" s="0"/>
      <c r="AW1250" s="0"/>
      <c r="AX1250" s="0"/>
      <c r="AY1250" s="0"/>
      <c r="AZ1250" s="0"/>
      <c r="BA1250" s="0"/>
      <c r="BB1250" s="0"/>
      <c r="BC1250" s="0"/>
      <c r="BD1250" s="0"/>
      <c r="BE1250" s="0"/>
      <c r="BF1250" s="0"/>
      <c r="BG1250" s="0"/>
      <c r="BH1250" s="0"/>
      <c r="BI1250" s="0"/>
      <c r="BJ1250" s="0"/>
      <c r="BK1250" s="0"/>
      <c r="BL1250" s="0"/>
      <c r="BM1250" s="0"/>
      <c r="BN1250" s="0"/>
      <c r="BO1250" s="0"/>
      <c r="BP1250" s="0"/>
      <c r="BQ1250" s="0"/>
      <c r="BR1250" s="0"/>
      <c r="BS1250" s="0"/>
      <c r="BT1250" s="0"/>
      <c r="BU1250" s="0"/>
      <c r="BV1250" s="0"/>
      <c r="BW1250" s="0"/>
      <c r="BX1250" s="0"/>
      <c r="BY1250" s="0"/>
      <c r="BZ1250" s="0"/>
      <c r="CA1250" s="0"/>
      <c r="CB1250" s="0"/>
      <c r="CC1250" s="0"/>
      <c r="CD1250" s="0"/>
      <c r="CE1250" s="0"/>
      <c r="CF1250" s="0"/>
      <c r="CG1250" s="0"/>
      <c r="CH1250" s="0"/>
      <c r="CI1250" s="0"/>
      <c r="CJ1250" s="0"/>
      <c r="CK1250" s="0"/>
      <c r="CL1250" s="0"/>
      <c r="CM1250" s="0"/>
      <c r="CN1250" s="0"/>
      <c r="CO1250" s="0"/>
      <c r="CP1250" s="0"/>
      <c r="CQ1250" s="0"/>
      <c r="CR1250" s="0"/>
      <c r="CS1250" s="0"/>
      <c r="CT1250" s="0"/>
      <c r="CU1250" s="0"/>
      <c r="CV1250" s="0"/>
      <c r="CW1250" s="0"/>
      <c r="CX1250" s="0"/>
      <c r="CY1250" s="0"/>
      <c r="CZ1250" s="0"/>
      <c r="DA1250" s="0"/>
      <c r="DB1250" s="0"/>
      <c r="DC1250" s="0"/>
      <c r="DD1250" s="0"/>
      <c r="DE1250" s="0"/>
      <c r="DF1250" s="0"/>
      <c r="DG1250" s="0"/>
      <c r="DH1250" s="0"/>
      <c r="DI1250" s="0"/>
      <c r="DJ1250" s="0"/>
      <c r="DK1250" s="0"/>
      <c r="DL1250" s="0"/>
      <c r="DM1250" s="0"/>
      <c r="DN1250" s="0"/>
      <c r="DO1250" s="0"/>
      <c r="DP1250" s="0"/>
      <c r="DQ1250" s="0"/>
      <c r="DR1250" s="0"/>
      <c r="DS1250" s="0"/>
      <c r="DT1250" s="0"/>
      <c r="DU1250" s="0"/>
      <c r="DV1250" s="0"/>
      <c r="DW1250" s="0"/>
      <c r="DX1250" s="0"/>
      <c r="DY1250" s="0"/>
      <c r="DZ1250" s="0"/>
      <c r="EA1250" s="0"/>
      <c r="EB1250" s="0"/>
      <c r="EC1250" s="0"/>
      <c r="ED1250" s="0"/>
      <c r="EE1250" s="0"/>
      <c r="EF1250" s="0"/>
      <c r="EG1250" s="0"/>
      <c r="EH1250" s="0"/>
      <c r="EI1250" s="0"/>
      <c r="EJ1250" s="0"/>
      <c r="EK1250" s="0"/>
      <c r="EL1250" s="0"/>
      <c r="EM1250" s="0"/>
      <c r="EN1250" s="0"/>
      <c r="EO1250" s="0"/>
      <c r="EP1250" s="0"/>
      <c r="EQ1250" s="0"/>
      <c r="ER1250" s="0"/>
      <c r="ES1250" s="0"/>
      <c r="ET1250" s="0"/>
      <c r="EU1250" s="0"/>
      <c r="EV1250" s="0"/>
      <c r="EW1250" s="0"/>
      <c r="EX1250" s="0"/>
      <c r="EY1250" s="0"/>
      <c r="EZ1250" s="0"/>
      <c r="FA1250" s="0"/>
      <c r="FB1250" s="0"/>
      <c r="FC1250" s="0"/>
      <c r="FD1250" s="0"/>
      <c r="FE1250" s="0"/>
      <c r="FF1250" s="0"/>
      <c r="FG1250" s="0"/>
      <c r="FH1250" s="0"/>
      <c r="FI1250" s="0"/>
      <c r="FJ1250" s="0"/>
      <c r="FK1250" s="0"/>
      <c r="FL1250" s="0"/>
      <c r="FM1250" s="0"/>
      <c r="FN1250" s="0"/>
      <c r="FO1250" s="0"/>
      <c r="FP1250" s="0"/>
      <c r="FQ1250" s="0"/>
      <c r="FR1250" s="0"/>
      <c r="FS1250" s="0"/>
      <c r="FT1250" s="0"/>
      <c r="FU1250" s="0"/>
      <c r="FV1250" s="0"/>
      <c r="FW1250" s="0"/>
      <c r="FX1250" s="0"/>
      <c r="FY1250" s="0"/>
      <c r="FZ1250" s="0"/>
      <c r="GA1250" s="0"/>
      <c r="GB1250" s="0"/>
      <c r="GC1250" s="0"/>
      <c r="GD1250" s="0"/>
      <c r="GE1250" s="0"/>
      <c r="GF1250" s="0"/>
      <c r="GG1250" s="0"/>
      <c r="GH1250" s="0"/>
      <c r="GI1250" s="0"/>
      <c r="GJ1250" s="0"/>
      <c r="GK1250" s="0"/>
      <c r="GL1250" s="0"/>
      <c r="GM1250" s="0"/>
      <c r="GN1250" s="0"/>
      <c r="GO1250" s="0"/>
      <c r="GP1250" s="0"/>
      <c r="GQ1250" s="0"/>
      <c r="GR1250" s="0"/>
      <c r="GS1250" s="0"/>
      <c r="GT1250" s="0"/>
      <c r="GU1250" s="0"/>
      <c r="GV1250" s="0"/>
      <c r="GW1250" s="0"/>
      <c r="GX1250" s="0"/>
      <c r="GY1250" s="0"/>
      <c r="GZ1250" s="0"/>
      <c r="HA1250" s="0"/>
      <c r="HB1250" s="0"/>
      <c r="HC1250" s="0"/>
      <c r="HD1250" s="0"/>
      <c r="HE1250" s="0"/>
      <c r="HF1250" s="0"/>
      <c r="HG1250" s="0"/>
      <c r="HH1250" s="0"/>
      <c r="HI1250" s="0"/>
      <c r="HJ1250" s="0"/>
      <c r="HK1250" s="0"/>
      <c r="HL1250" s="0"/>
      <c r="HM1250" s="0"/>
      <c r="HN1250" s="0"/>
      <c r="HO1250" s="0"/>
      <c r="HP1250" s="0"/>
      <c r="HQ1250" s="0"/>
      <c r="HR1250" s="0"/>
      <c r="HS1250" s="0"/>
      <c r="HT1250" s="0"/>
      <c r="HU1250" s="0"/>
      <c r="HV1250" s="0"/>
      <c r="HW1250" s="0"/>
      <c r="HX1250" s="0"/>
      <c r="HY1250" s="0"/>
      <c r="HZ1250" s="0"/>
      <c r="IA1250" s="0"/>
      <c r="IB1250" s="0"/>
      <c r="IC1250" s="0"/>
      <c r="ID1250" s="0"/>
      <c r="IE1250" s="0"/>
      <c r="IF1250" s="0"/>
      <c r="IG1250" s="0"/>
      <c r="IH1250" s="0"/>
      <c r="II1250" s="0"/>
      <c r="IJ1250" s="0"/>
      <c r="IK1250" s="0"/>
      <c r="IL1250" s="0"/>
      <c r="IM1250" s="0"/>
      <c r="IN1250" s="0"/>
      <c r="IO1250" s="0"/>
      <c r="IP1250" s="0"/>
      <c r="IQ1250" s="0"/>
      <c r="IR1250" s="0"/>
      <c r="IS1250" s="0"/>
      <c r="IT1250" s="0"/>
      <c r="IU1250" s="0"/>
      <c r="IV1250" s="0"/>
    </row>
    <row r="1251" customFormat="false" ht="15.75" hidden="false" customHeight="true" outlineLevel="0" collapsed="false">
      <c r="A1251" s="1454" t="s">
        <v>907</v>
      </c>
      <c r="B1251" s="1455"/>
      <c r="C1251" s="1455"/>
      <c r="D1251" s="1455"/>
      <c r="E1251" s="1350"/>
      <c r="F1251" s="1466" t="n">
        <f aca="false">E1251/$E$1304</f>
        <v>0</v>
      </c>
      <c r="G1251" s="1467"/>
      <c r="H1251" s="0"/>
      <c r="I1251" s="1464"/>
      <c r="J1251" s="1465"/>
      <c r="K1251" s="1460"/>
      <c r="L1251" s="867"/>
      <c r="N1251" s="0"/>
      <c r="O1251" s="0"/>
      <c r="P1251" s="0"/>
      <c r="Q1251" s="0"/>
      <c r="R1251" s="0"/>
      <c r="S1251" s="0"/>
      <c r="T1251" s="0"/>
      <c r="U1251" s="0"/>
      <c r="V1251" s="0"/>
      <c r="W1251" s="0"/>
      <c r="X1251" s="0"/>
      <c r="Y1251" s="0"/>
      <c r="Z1251" s="0"/>
      <c r="AA1251" s="0"/>
      <c r="AB1251" s="0"/>
      <c r="AC1251" s="0"/>
      <c r="AD1251" s="0"/>
      <c r="AE1251" s="0"/>
      <c r="AF1251" s="0"/>
      <c r="AG1251" s="0"/>
      <c r="AH1251" s="0"/>
      <c r="AI1251" s="0"/>
      <c r="AJ1251" s="0"/>
      <c r="AK1251" s="0"/>
      <c r="AL1251" s="0"/>
      <c r="AM1251" s="0"/>
      <c r="AN1251" s="0"/>
      <c r="AO1251" s="0"/>
      <c r="AP1251" s="0"/>
      <c r="AQ1251" s="0"/>
      <c r="AR1251" s="0"/>
      <c r="AS1251" s="0"/>
      <c r="AT1251" s="0"/>
      <c r="AU1251" s="0"/>
      <c r="AV1251" s="0"/>
      <c r="AW1251" s="0"/>
      <c r="AX1251" s="0"/>
      <c r="AY1251" s="0"/>
      <c r="AZ1251" s="0"/>
      <c r="BA1251" s="0"/>
      <c r="BB1251" s="0"/>
      <c r="BC1251" s="0"/>
      <c r="BD1251" s="0"/>
      <c r="BE1251" s="0"/>
      <c r="BF1251" s="0"/>
      <c r="BG1251" s="0"/>
      <c r="BH1251" s="0"/>
      <c r="BI1251" s="0"/>
      <c r="BJ1251" s="0"/>
      <c r="BK1251" s="0"/>
      <c r="BL1251" s="0"/>
      <c r="BM1251" s="0"/>
      <c r="BN1251" s="0"/>
      <c r="BO1251" s="0"/>
      <c r="BP1251" s="0"/>
      <c r="BQ1251" s="0"/>
      <c r="BR1251" s="0"/>
      <c r="BS1251" s="0"/>
      <c r="BT1251" s="0"/>
      <c r="BU1251" s="0"/>
      <c r="BV1251" s="0"/>
      <c r="BW1251" s="0"/>
      <c r="BX1251" s="0"/>
      <c r="BY1251" s="0"/>
      <c r="BZ1251" s="0"/>
      <c r="CA1251" s="0"/>
      <c r="CB1251" s="0"/>
      <c r="CC1251" s="0"/>
      <c r="CD1251" s="0"/>
      <c r="CE1251" s="0"/>
      <c r="CF1251" s="0"/>
      <c r="CG1251" s="0"/>
      <c r="CH1251" s="0"/>
      <c r="CI1251" s="0"/>
      <c r="CJ1251" s="0"/>
      <c r="CK1251" s="0"/>
      <c r="CL1251" s="0"/>
      <c r="CM1251" s="0"/>
      <c r="CN1251" s="0"/>
      <c r="CO1251" s="0"/>
      <c r="CP1251" s="0"/>
      <c r="CQ1251" s="0"/>
      <c r="CR1251" s="0"/>
      <c r="CS1251" s="0"/>
      <c r="CT1251" s="0"/>
      <c r="CU1251" s="0"/>
      <c r="CV1251" s="0"/>
      <c r="CW1251" s="0"/>
      <c r="CX1251" s="0"/>
      <c r="CY1251" s="0"/>
      <c r="CZ1251" s="0"/>
      <c r="DA1251" s="0"/>
      <c r="DB1251" s="0"/>
      <c r="DC1251" s="0"/>
      <c r="DD1251" s="0"/>
      <c r="DE1251" s="0"/>
      <c r="DF1251" s="0"/>
      <c r="DG1251" s="0"/>
      <c r="DH1251" s="0"/>
      <c r="DI1251" s="0"/>
      <c r="DJ1251" s="0"/>
      <c r="DK1251" s="0"/>
      <c r="DL1251" s="0"/>
      <c r="DM1251" s="0"/>
      <c r="DN1251" s="0"/>
      <c r="DO1251" s="0"/>
      <c r="DP1251" s="0"/>
      <c r="DQ1251" s="0"/>
      <c r="DR1251" s="0"/>
      <c r="DS1251" s="0"/>
      <c r="DT1251" s="0"/>
      <c r="DU1251" s="0"/>
      <c r="DV1251" s="0"/>
      <c r="DW1251" s="0"/>
      <c r="DX1251" s="0"/>
      <c r="DY1251" s="0"/>
      <c r="DZ1251" s="0"/>
      <c r="EA1251" s="0"/>
      <c r="EB1251" s="0"/>
      <c r="EC1251" s="0"/>
      <c r="ED1251" s="0"/>
      <c r="EE1251" s="0"/>
      <c r="EF1251" s="0"/>
      <c r="EG1251" s="0"/>
      <c r="EH1251" s="0"/>
      <c r="EI1251" s="0"/>
      <c r="EJ1251" s="0"/>
      <c r="EK1251" s="0"/>
      <c r="EL1251" s="0"/>
      <c r="EM1251" s="0"/>
      <c r="EN1251" s="0"/>
      <c r="EO1251" s="0"/>
      <c r="EP1251" s="0"/>
      <c r="EQ1251" s="0"/>
      <c r="ER1251" s="0"/>
      <c r="ES1251" s="0"/>
      <c r="ET1251" s="0"/>
      <c r="EU1251" s="0"/>
      <c r="EV1251" s="0"/>
      <c r="EW1251" s="0"/>
      <c r="EX1251" s="0"/>
      <c r="EY1251" s="0"/>
      <c r="EZ1251" s="0"/>
      <c r="FA1251" s="0"/>
      <c r="FB1251" s="0"/>
      <c r="FC1251" s="0"/>
      <c r="FD1251" s="0"/>
      <c r="FE1251" s="0"/>
      <c r="FF1251" s="0"/>
      <c r="FG1251" s="0"/>
      <c r="FH1251" s="0"/>
      <c r="FI1251" s="0"/>
      <c r="FJ1251" s="0"/>
      <c r="FK1251" s="0"/>
      <c r="FL1251" s="0"/>
      <c r="FM1251" s="0"/>
      <c r="FN1251" s="0"/>
      <c r="FO1251" s="0"/>
      <c r="FP1251" s="0"/>
      <c r="FQ1251" s="0"/>
      <c r="FR1251" s="0"/>
      <c r="FS1251" s="0"/>
      <c r="FT1251" s="0"/>
      <c r="FU1251" s="0"/>
      <c r="FV1251" s="0"/>
      <c r="FW1251" s="0"/>
      <c r="FX1251" s="0"/>
      <c r="FY1251" s="0"/>
      <c r="FZ1251" s="0"/>
      <c r="GA1251" s="0"/>
      <c r="GB1251" s="0"/>
      <c r="GC1251" s="0"/>
      <c r="GD1251" s="0"/>
      <c r="GE1251" s="0"/>
      <c r="GF1251" s="0"/>
      <c r="GG1251" s="0"/>
      <c r="GH1251" s="0"/>
      <c r="GI1251" s="0"/>
      <c r="GJ1251" s="0"/>
      <c r="GK1251" s="0"/>
      <c r="GL1251" s="0"/>
      <c r="GM1251" s="0"/>
      <c r="GN1251" s="0"/>
      <c r="GO1251" s="0"/>
      <c r="GP1251" s="0"/>
      <c r="GQ1251" s="0"/>
      <c r="GR1251" s="0"/>
      <c r="GS1251" s="0"/>
      <c r="GT1251" s="0"/>
      <c r="GU1251" s="0"/>
      <c r="GV1251" s="0"/>
      <c r="GW1251" s="0"/>
      <c r="GX1251" s="0"/>
      <c r="GY1251" s="0"/>
      <c r="GZ1251" s="0"/>
      <c r="HA1251" s="0"/>
      <c r="HB1251" s="0"/>
      <c r="HC1251" s="0"/>
      <c r="HD1251" s="0"/>
      <c r="HE1251" s="0"/>
      <c r="HF1251" s="0"/>
      <c r="HG1251" s="0"/>
      <c r="HH1251" s="0"/>
      <c r="HI1251" s="0"/>
      <c r="HJ1251" s="0"/>
      <c r="HK1251" s="0"/>
      <c r="HL1251" s="0"/>
      <c r="HM1251" s="0"/>
      <c r="HN1251" s="0"/>
      <c r="HO1251" s="0"/>
      <c r="HP1251" s="0"/>
      <c r="HQ1251" s="0"/>
      <c r="HR1251" s="0"/>
      <c r="HS1251" s="0"/>
      <c r="HT1251" s="0"/>
      <c r="HU1251" s="0"/>
      <c r="HV1251" s="0"/>
      <c r="HW1251" s="0"/>
      <c r="HX1251" s="0"/>
      <c r="HY1251" s="0"/>
      <c r="HZ1251" s="0"/>
      <c r="IA1251" s="0"/>
      <c r="IB1251" s="0"/>
      <c r="IC1251" s="0"/>
      <c r="ID1251" s="0"/>
      <c r="IE1251" s="0"/>
      <c r="IF1251" s="0"/>
      <c r="IG1251" s="0"/>
      <c r="IH1251" s="0"/>
      <c r="II1251" s="0"/>
      <c r="IJ1251" s="0"/>
      <c r="IK1251" s="0"/>
      <c r="IL1251" s="0"/>
      <c r="IM1251" s="0"/>
      <c r="IN1251" s="0"/>
      <c r="IO1251" s="0"/>
      <c r="IP1251" s="0"/>
      <c r="IQ1251" s="0"/>
      <c r="IR1251" s="0"/>
      <c r="IS1251" s="0"/>
      <c r="IT1251" s="0"/>
      <c r="IU1251" s="0"/>
      <c r="IV1251" s="0"/>
    </row>
    <row r="1252" customFormat="false" ht="15.75" hidden="false" customHeight="true" outlineLevel="0" collapsed="false">
      <c r="A1252" s="1454" t="s">
        <v>908</v>
      </c>
      <c r="B1252" s="1455"/>
      <c r="C1252" s="1455"/>
      <c r="D1252" s="1455"/>
      <c r="E1252" s="1350"/>
      <c r="F1252" s="1466" t="n">
        <f aca="false">E1252/$E$1304</f>
        <v>0</v>
      </c>
      <c r="G1252" s="1467"/>
      <c r="H1252" s="0"/>
      <c r="I1252" s="1464"/>
      <c r="J1252" s="1465"/>
      <c r="K1252" s="1460"/>
      <c r="L1252" s="867"/>
      <c r="N1252" s="0"/>
      <c r="O1252" s="0"/>
      <c r="P1252" s="0"/>
      <c r="Q1252" s="0"/>
      <c r="R1252" s="0"/>
      <c r="S1252" s="0"/>
      <c r="T1252" s="0"/>
      <c r="U1252" s="0"/>
      <c r="V1252" s="0"/>
      <c r="W1252" s="0"/>
      <c r="X1252" s="0"/>
      <c r="Y1252" s="0"/>
      <c r="Z1252" s="0"/>
      <c r="AA1252" s="0"/>
      <c r="AB1252" s="0"/>
      <c r="AC1252" s="0"/>
      <c r="AD1252" s="0"/>
      <c r="AE1252" s="0"/>
      <c r="AF1252" s="0"/>
      <c r="AG1252" s="0"/>
      <c r="AH1252" s="0"/>
      <c r="AI1252" s="0"/>
      <c r="AJ1252" s="0"/>
      <c r="AK1252" s="0"/>
      <c r="AL1252" s="0"/>
      <c r="AM1252" s="0"/>
      <c r="AN1252" s="0"/>
      <c r="AO1252" s="0"/>
      <c r="AP1252" s="0"/>
      <c r="AQ1252" s="0"/>
      <c r="AR1252" s="0"/>
      <c r="AS1252" s="0"/>
      <c r="AT1252" s="0"/>
      <c r="AU1252" s="0"/>
      <c r="AV1252" s="0"/>
      <c r="AW1252" s="0"/>
      <c r="AX1252" s="0"/>
      <c r="AY1252" s="0"/>
      <c r="AZ1252" s="0"/>
      <c r="BA1252" s="0"/>
      <c r="BB1252" s="0"/>
      <c r="BC1252" s="0"/>
      <c r="BD1252" s="0"/>
      <c r="BE1252" s="0"/>
      <c r="BF1252" s="0"/>
      <c r="BG1252" s="0"/>
      <c r="BH1252" s="0"/>
      <c r="BI1252" s="0"/>
      <c r="BJ1252" s="0"/>
      <c r="BK1252" s="0"/>
      <c r="BL1252" s="0"/>
      <c r="BM1252" s="0"/>
      <c r="BN1252" s="0"/>
      <c r="BO1252" s="0"/>
      <c r="BP1252" s="0"/>
      <c r="BQ1252" s="0"/>
      <c r="BR1252" s="0"/>
      <c r="BS1252" s="0"/>
      <c r="BT1252" s="0"/>
      <c r="BU1252" s="0"/>
      <c r="BV1252" s="0"/>
      <c r="BW1252" s="0"/>
      <c r="BX1252" s="0"/>
      <c r="BY1252" s="0"/>
      <c r="BZ1252" s="0"/>
      <c r="CA1252" s="0"/>
      <c r="CB1252" s="0"/>
      <c r="CC1252" s="0"/>
      <c r="CD1252" s="0"/>
      <c r="CE1252" s="0"/>
      <c r="CF1252" s="0"/>
      <c r="CG1252" s="0"/>
      <c r="CH1252" s="0"/>
      <c r="CI1252" s="0"/>
      <c r="CJ1252" s="0"/>
      <c r="CK1252" s="0"/>
      <c r="CL1252" s="0"/>
      <c r="CM1252" s="0"/>
      <c r="CN1252" s="0"/>
      <c r="CO1252" s="0"/>
      <c r="CP1252" s="0"/>
      <c r="CQ1252" s="0"/>
      <c r="CR1252" s="0"/>
      <c r="CS1252" s="0"/>
      <c r="CT1252" s="0"/>
      <c r="CU1252" s="0"/>
      <c r="CV1252" s="0"/>
      <c r="CW1252" s="0"/>
      <c r="CX1252" s="0"/>
      <c r="CY1252" s="0"/>
      <c r="CZ1252" s="0"/>
      <c r="DA1252" s="0"/>
      <c r="DB1252" s="0"/>
      <c r="DC1252" s="0"/>
      <c r="DD1252" s="0"/>
      <c r="DE1252" s="0"/>
      <c r="DF1252" s="0"/>
      <c r="DG1252" s="0"/>
      <c r="DH1252" s="0"/>
      <c r="DI1252" s="0"/>
      <c r="DJ1252" s="0"/>
      <c r="DK1252" s="0"/>
      <c r="DL1252" s="0"/>
      <c r="DM1252" s="0"/>
      <c r="DN1252" s="0"/>
      <c r="DO1252" s="0"/>
      <c r="DP1252" s="0"/>
      <c r="DQ1252" s="0"/>
      <c r="DR1252" s="0"/>
      <c r="DS1252" s="0"/>
      <c r="DT1252" s="0"/>
      <c r="DU1252" s="0"/>
      <c r="DV1252" s="0"/>
      <c r="DW1252" s="0"/>
      <c r="DX1252" s="0"/>
      <c r="DY1252" s="0"/>
      <c r="DZ1252" s="0"/>
      <c r="EA1252" s="0"/>
      <c r="EB1252" s="0"/>
      <c r="EC1252" s="0"/>
      <c r="ED1252" s="0"/>
      <c r="EE1252" s="0"/>
      <c r="EF1252" s="0"/>
      <c r="EG1252" s="0"/>
      <c r="EH1252" s="0"/>
      <c r="EI1252" s="0"/>
      <c r="EJ1252" s="0"/>
      <c r="EK1252" s="0"/>
      <c r="EL1252" s="0"/>
      <c r="EM1252" s="0"/>
      <c r="EN1252" s="0"/>
      <c r="EO1252" s="0"/>
      <c r="EP1252" s="0"/>
      <c r="EQ1252" s="0"/>
      <c r="ER1252" s="0"/>
      <c r="ES1252" s="0"/>
      <c r="ET1252" s="0"/>
      <c r="EU1252" s="0"/>
      <c r="EV1252" s="0"/>
      <c r="EW1252" s="0"/>
      <c r="EX1252" s="0"/>
      <c r="EY1252" s="0"/>
      <c r="EZ1252" s="0"/>
      <c r="FA1252" s="0"/>
      <c r="FB1252" s="0"/>
      <c r="FC1252" s="0"/>
      <c r="FD1252" s="0"/>
      <c r="FE1252" s="0"/>
      <c r="FF1252" s="0"/>
      <c r="FG1252" s="0"/>
      <c r="FH1252" s="0"/>
      <c r="FI1252" s="0"/>
      <c r="FJ1252" s="0"/>
      <c r="FK1252" s="0"/>
      <c r="FL1252" s="0"/>
      <c r="FM1252" s="0"/>
      <c r="FN1252" s="0"/>
      <c r="FO1252" s="0"/>
      <c r="FP1252" s="0"/>
      <c r="FQ1252" s="0"/>
      <c r="FR1252" s="0"/>
      <c r="FS1252" s="0"/>
      <c r="FT1252" s="0"/>
      <c r="FU1252" s="0"/>
      <c r="FV1252" s="0"/>
      <c r="FW1252" s="0"/>
      <c r="FX1252" s="0"/>
      <c r="FY1252" s="0"/>
      <c r="FZ1252" s="0"/>
      <c r="GA1252" s="0"/>
      <c r="GB1252" s="0"/>
      <c r="GC1252" s="0"/>
      <c r="GD1252" s="0"/>
      <c r="GE1252" s="0"/>
      <c r="GF1252" s="0"/>
      <c r="GG1252" s="0"/>
      <c r="GH1252" s="0"/>
      <c r="GI1252" s="0"/>
      <c r="GJ1252" s="0"/>
      <c r="GK1252" s="0"/>
      <c r="GL1252" s="0"/>
      <c r="GM1252" s="0"/>
      <c r="GN1252" s="0"/>
      <c r="GO1252" s="0"/>
      <c r="GP1252" s="0"/>
      <c r="GQ1252" s="0"/>
      <c r="GR1252" s="0"/>
      <c r="GS1252" s="0"/>
      <c r="GT1252" s="0"/>
      <c r="GU1252" s="0"/>
      <c r="GV1252" s="0"/>
      <c r="GW1252" s="0"/>
      <c r="GX1252" s="0"/>
      <c r="GY1252" s="0"/>
      <c r="GZ1252" s="0"/>
      <c r="HA1252" s="0"/>
      <c r="HB1252" s="0"/>
      <c r="HC1252" s="0"/>
      <c r="HD1252" s="0"/>
      <c r="HE1252" s="0"/>
      <c r="HF1252" s="0"/>
      <c r="HG1252" s="0"/>
      <c r="HH1252" s="0"/>
      <c r="HI1252" s="0"/>
      <c r="HJ1252" s="0"/>
      <c r="HK1252" s="0"/>
      <c r="HL1252" s="0"/>
      <c r="HM1252" s="0"/>
      <c r="HN1252" s="0"/>
      <c r="HO1252" s="0"/>
      <c r="HP1252" s="0"/>
      <c r="HQ1252" s="0"/>
      <c r="HR1252" s="0"/>
      <c r="HS1252" s="0"/>
      <c r="HT1252" s="0"/>
      <c r="HU1252" s="0"/>
      <c r="HV1252" s="0"/>
      <c r="HW1252" s="0"/>
      <c r="HX1252" s="0"/>
      <c r="HY1252" s="0"/>
      <c r="HZ1252" s="0"/>
      <c r="IA1252" s="0"/>
      <c r="IB1252" s="0"/>
      <c r="IC1252" s="0"/>
      <c r="ID1252" s="0"/>
      <c r="IE1252" s="0"/>
      <c r="IF1252" s="0"/>
      <c r="IG1252" s="0"/>
      <c r="IH1252" s="0"/>
      <c r="II1252" s="0"/>
      <c r="IJ1252" s="0"/>
      <c r="IK1252" s="0"/>
      <c r="IL1252" s="0"/>
      <c r="IM1252" s="0"/>
      <c r="IN1252" s="0"/>
      <c r="IO1252" s="0"/>
      <c r="IP1252" s="0"/>
      <c r="IQ1252" s="0"/>
      <c r="IR1252" s="0"/>
      <c r="IS1252" s="0"/>
      <c r="IT1252" s="0"/>
      <c r="IU1252" s="0"/>
      <c r="IV1252" s="0"/>
    </row>
    <row r="1253" customFormat="false" ht="15.75" hidden="false" customHeight="true" outlineLevel="0" collapsed="false">
      <c r="A1253" s="1454" t="s">
        <v>1779</v>
      </c>
      <c r="B1253" s="1455"/>
      <c r="C1253" s="1455"/>
      <c r="D1253" s="1455"/>
      <c r="E1253" s="1350"/>
      <c r="F1253" s="1466" t="n">
        <f aca="false">E1253/$E$1304</f>
        <v>0</v>
      </c>
      <c r="G1253" s="1467"/>
      <c r="H1253" s="0"/>
      <c r="I1253" s="1464"/>
      <c r="J1253" s="1465"/>
      <c r="K1253" s="1460"/>
      <c r="L1253" s="867"/>
      <c r="N1253" s="0"/>
      <c r="O1253" s="0"/>
      <c r="P1253" s="0"/>
      <c r="Q1253" s="0"/>
      <c r="R1253" s="0"/>
      <c r="S1253" s="0"/>
      <c r="T1253" s="0"/>
      <c r="U1253" s="0"/>
      <c r="V1253" s="0"/>
      <c r="W1253" s="0"/>
      <c r="X1253" s="0"/>
      <c r="Y1253" s="0"/>
      <c r="Z1253" s="0"/>
      <c r="AA1253" s="0"/>
      <c r="AB1253" s="0"/>
      <c r="AC1253" s="0"/>
      <c r="AD1253" s="0"/>
      <c r="AE1253" s="0"/>
      <c r="AF1253" s="0"/>
      <c r="AG1253" s="0"/>
      <c r="AH1253" s="0"/>
      <c r="AI1253" s="0"/>
      <c r="AJ1253" s="0"/>
      <c r="AK1253" s="0"/>
      <c r="AL1253" s="0"/>
      <c r="AM1253" s="0"/>
      <c r="AN1253" s="0"/>
      <c r="AO1253" s="0"/>
      <c r="AP1253" s="0"/>
      <c r="AQ1253" s="0"/>
      <c r="AR1253" s="0"/>
      <c r="AS1253" s="0"/>
      <c r="AT1253" s="0"/>
      <c r="AU1253" s="0"/>
      <c r="AV1253" s="0"/>
      <c r="AW1253" s="0"/>
      <c r="AX1253" s="0"/>
      <c r="AY1253" s="0"/>
      <c r="AZ1253" s="0"/>
      <c r="BA1253" s="0"/>
      <c r="BB1253" s="0"/>
      <c r="BC1253" s="0"/>
      <c r="BD1253" s="0"/>
      <c r="BE1253" s="0"/>
      <c r="BF1253" s="0"/>
      <c r="BG1253" s="0"/>
      <c r="BH1253" s="0"/>
      <c r="BI1253" s="0"/>
      <c r="BJ1253" s="0"/>
      <c r="BK1253" s="0"/>
      <c r="BL1253" s="0"/>
      <c r="BM1253" s="0"/>
      <c r="BN1253" s="0"/>
      <c r="BO1253" s="0"/>
      <c r="BP1253" s="0"/>
      <c r="BQ1253" s="0"/>
      <c r="BR1253" s="0"/>
      <c r="BS1253" s="0"/>
      <c r="BT1253" s="0"/>
      <c r="BU1253" s="0"/>
      <c r="BV1253" s="0"/>
      <c r="BW1253" s="0"/>
      <c r="BX1253" s="0"/>
      <c r="BY1253" s="0"/>
      <c r="BZ1253" s="0"/>
      <c r="CA1253" s="0"/>
      <c r="CB1253" s="0"/>
      <c r="CC1253" s="0"/>
      <c r="CD1253" s="0"/>
      <c r="CE1253" s="0"/>
      <c r="CF1253" s="0"/>
      <c r="CG1253" s="0"/>
      <c r="CH1253" s="0"/>
      <c r="CI1253" s="0"/>
      <c r="CJ1253" s="0"/>
      <c r="CK1253" s="0"/>
      <c r="CL1253" s="0"/>
      <c r="CM1253" s="0"/>
      <c r="CN1253" s="0"/>
      <c r="CO1253" s="0"/>
      <c r="CP1253" s="0"/>
      <c r="CQ1253" s="0"/>
      <c r="CR1253" s="0"/>
      <c r="CS1253" s="0"/>
      <c r="CT1253" s="0"/>
      <c r="CU1253" s="0"/>
      <c r="CV1253" s="0"/>
      <c r="CW1253" s="0"/>
      <c r="CX1253" s="0"/>
      <c r="CY1253" s="0"/>
      <c r="CZ1253" s="0"/>
      <c r="DA1253" s="0"/>
      <c r="DB1253" s="0"/>
      <c r="DC1253" s="0"/>
      <c r="DD1253" s="0"/>
      <c r="DE1253" s="0"/>
      <c r="DF1253" s="0"/>
      <c r="DG1253" s="0"/>
      <c r="DH1253" s="0"/>
      <c r="DI1253" s="0"/>
      <c r="DJ1253" s="0"/>
      <c r="DK1253" s="0"/>
      <c r="DL1253" s="0"/>
      <c r="DM1253" s="0"/>
      <c r="DN1253" s="0"/>
      <c r="DO1253" s="0"/>
      <c r="DP1253" s="0"/>
      <c r="DQ1253" s="0"/>
      <c r="DR1253" s="0"/>
      <c r="DS1253" s="0"/>
      <c r="DT1253" s="0"/>
      <c r="DU1253" s="0"/>
      <c r="DV1253" s="0"/>
      <c r="DW1253" s="0"/>
      <c r="DX1253" s="0"/>
      <c r="DY1253" s="0"/>
      <c r="DZ1253" s="0"/>
      <c r="EA1253" s="0"/>
      <c r="EB1253" s="0"/>
      <c r="EC1253" s="0"/>
      <c r="ED1253" s="0"/>
      <c r="EE1253" s="0"/>
      <c r="EF1253" s="0"/>
      <c r="EG1253" s="0"/>
      <c r="EH1253" s="0"/>
      <c r="EI1253" s="0"/>
      <c r="EJ1253" s="0"/>
      <c r="EK1253" s="0"/>
      <c r="EL1253" s="0"/>
      <c r="EM1253" s="0"/>
      <c r="EN1253" s="0"/>
      <c r="EO1253" s="0"/>
      <c r="EP1253" s="0"/>
      <c r="EQ1253" s="0"/>
      <c r="ER1253" s="0"/>
      <c r="ES1253" s="0"/>
      <c r="ET1253" s="0"/>
      <c r="EU1253" s="0"/>
      <c r="EV1253" s="0"/>
      <c r="EW1253" s="0"/>
      <c r="EX1253" s="0"/>
      <c r="EY1253" s="0"/>
      <c r="EZ1253" s="0"/>
      <c r="FA1253" s="0"/>
      <c r="FB1253" s="0"/>
      <c r="FC1253" s="0"/>
      <c r="FD1253" s="0"/>
      <c r="FE1253" s="0"/>
      <c r="FF1253" s="0"/>
      <c r="FG1253" s="0"/>
      <c r="FH1253" s="0"/>
      <c r="FI1253" s="0"/>
      <c r="FJ1253" s="0"/>
      <c r="FK1253" s="0"/>
      <c r="FL1253" s="0"/>
      <c r="FM1253" s="0"/>
      <c r="FN1253" s="0"/>
      <c r="FO1253" s="0"/>
      <c r="FP1253" s="0"/>
      <c r="FQ1253" s="0"/>
      <c r="FR1253" s="0"/>
      <c r="FS1253" s="0"/>
      <c r="FT1253" s="0"/>
      <c r="FU1253" s="0"/>
      <c r="FV1253" s="0"/>
      <c r="FW1253" s="0"/>
      <c r="FX1253" s="0"/>
      <c r="FY1253" s="0"/>
      <c r="FZ1253" s="0"/>
      <c r="GA1253" s="0"/>
      <c r="GB1253" s="0"/>
      <c r="GC1253" s="0"/>
      <c r="GD1253" s="0"/>
      <c r="GE1253" s="0"/>
      <c r="GF1253" s="0"/>
      <c r="GG1253" s="0"/>
      <c r="GH1253" s="0"/>
      <c r="GI1253" s="0"/>
      <c r="GJ1253" s="0"/>
      <c r="GK1253" s="0"/>
      <c r="GL1253" s="0"/>
      <c r="GM1253" s="0"/>
      <c r="GN1253" s="0"/>
      <c r="GO1253" s="0"/>
      <c r="GP1253" s="0"/>
      <c r="GQ1253" s="0"/>
      <c r="GR1253" s="0"/>
      <c r="GS1253" s="0"/>
      <c r="GT1253" s="0"/>
      <c r="GU1253" s="0"/>
      <c r="GV1253" s="0"/>
      <c r="GW1253" s="0"/>
      <c r="GX1253" s="0"/>
      <c r="GY1253" s="0"/>
      <c r="GZ1253" s="0"/>
      <c r="HA1253" s="0"/>
      <c r="HB1253" s="0"/>
      <c r="HC1253" s="0"/>
      <c r="HD1253" s="0"/>
      <c r="HE1253" s="0"/>
      <c r="HF1253" s="0"/>
      <c r="HG1253" s="0"/>
      <c r="HH1253" s="0"/>
      <c r="HI1253" s="0"/>
      <c r="HJ1253" s="0"/>
      <c r="HK1253" s="0"/>
      <c r="HL1253" s="0"/>
      <c r="HM1253" s="0"/>
      <c r="HN1253" s="0"/>
      <c r="HO1253" s="0"/>
      <c r="HP1253" s="0"/>
      <c r="HQ1253" s="0"/>
      <c r="HR1253" s="0"/>
      <c r="HS1253" s="0"/>
      <c r="HT1253" s="0"/>
      <c r="HU1253" s="0"/>
      <c r="HV1253" s="0"/>
      <c r="HW1253" s="0"/>
      <c r="HX1253" s="0"/>
      <c r="HY1253" s="0"/>
      <c r="HZ1253" s="0"/>
      <c r="IA1253" s="0"/>
      <c r="IB1253" s="0"/>
      <c r="IC1253" s="0"/>
      <c r="ID1253" s="0"/>
      <c r="IE1253" s="0"/>
      <c r="IF1253" s="0"/>
      <c r="IG1253" s="0"/>
      <c r="IH1253" s="0"/>
      <c r="II1253" s="0"/>
      <c r="IJ1253" s="0"/>
      <c r="IK1253" s="0"/>
      <c r="IL1253" s="0"/>
      <c r="IM1253" s="0"/>
      <c r="IN1253" s="0"/>
      <c r="IO1253" s="0"/>
      <c r="IP1253" s="0"/>
      <c r="IQ1253" s="0"/>
      <c r="IR1253" s="0"/>
      <c r="IS1253" s="0"/>
      <c r="IT1253" s="0"/>
      <c r="IU1253" s="0"/>
      <c r="IV1253" s="0"/>
    </row>
    <row r="1254" customFormat="false" ht="15.75" hidden="false" customHeight="true" outlineLevel="0" collapsed="false">
      <c r="A1254" s="1454" t="s">
        <v>1779</v>
      </c>
      <c r="B1254" s="1455"/>
      <c r="C1254" s="1455"/>
      <c r="D1254" s="1455"/>
      <c r="E1254" s="1350"/>
      <c r="F1254" s="1466" t="n">
        <f aca="false">E1254/$E$1304</f>
        <v>0</v>
      </c>
      <c r="G1254" s="1467"/>
      <c r="H1254" s="0"/>
      <c r="I1254" s="1464"/>
      <c r="J1254" s="1465"/>
      <c r="K1254" s="1460"/>
      <c r="L1254" s="867"/>
      <c r="N1254" s="0"/>
      <c r="O1254" s="0"/>
      <c r="P1254" s="0"/>
      <c r="Q1254" s="0"/>
      <c r="R1254" s="0"/>
      <c r="S1254" s="0"/>
      <c r="T1254" s="0"/>
      <c r="U1254" s="0"/>
      <c r="V1254" s="0"/>
      <c r="W1254" s="0"/>
      <c r="X1254" s="0"/>
      <c r="Y1254" s="0"/>
      <c r="Z1254" s="0"/>
      <c r="AA1254" s="0"/>
      <c r="AB1254" s="0"/>
      <c r="AC1254" s="0"/>
      <c r="AD1254" s="0"/>
      <c r="AE1254" s="0"/>
      <c r="AF1254" s="0"/>
      <c r="AG1254" s="0"/>
      <c r="AH1254" s="0"/>
      <c r="AI1254" s="0"/>
      <c r="AJ1254" s="0"/>
      <c r="AK1254" s="0"/>
      <c r="AL1254" s="0"/>
      <c r="AM1254" s="0"/>
      <c r="AN1254" s="0"/>
      <c r="AO1254" s="0"/>
      <c r="AP1254" s="0"/>
      <c r="AQ1254" s="0"/>
      <c r="AR1254" s="0"/>
      <c r="AS1254" s="0"/>
      <c r="AT1254" s="0"/>
      <c r="AU1254" s="0"/>
      <c r="AV1254" s="0"/>
      <c r="AW1254" s="0"/>
      <c r="AX1254" s="0"/>
      <c r="AY1254" s="0"/>
      <c r="AZ1254" s="0"/>
      <c r="BA1254" s="0"/>
      <c r="BB1254" s="0"/>
      <c r="BC1254" s="0"/>
      <c r="BD1254" s="0"/>
      <c r="BE1254" s="0"/>
      <c r="BF1254" s="0"/>
      <c r="BG1254" s="0"/>
      <c r="BH1254" s="0"/>
      <c r="BI1254" s="0"/>
      <c r="BJ1254" s="0"/>
      <c r="BK1254" s="0"/>
      <c r="BL1254" s="0"/>
      <c r="BM1254" s="0"/>
      <c r="BN1254" s="0"/>
      <c r="BO1254" s="0"/>
      <c r="BP1254" s="0"/>
      <c r="BQ1254" s="0"/>
      <c r="BR1254" s="0"/>
      <c r="BS1254" s="0"/>
      <c r="BT1254" s="0"/>
      <c r="BU1254" s="0"/>
      <c r="BV1254" s="0"/>
      <c r="BW1254" s="0"/>
      <c r="BX1254" s="0"/>
      <c r="BY1254" s="0"/>
      <c r="BZ1254" s="0"/>
      <c r="CA1254" s="0"/>
      <c r="CB1254" s="0"/>
      <c r="CC1254" s="0"/>
      <c r="CD1254" s="0"/>
      <c r="CE1254" s="0"/>
      <c r="CF1254" s="0"/>
      <c r="CG1254" s="0"/>
      <c r="CH1254" s="0"/>
      <c r="CI1254" s="0"/>
      <c r="CJ1254" s="0"/>
      <c r="CK1254" s="0"/>
      <c r="CL1254" s="0"/>
      <c r="CM1254" s="0"/>
      <c r="CN1254" s="0"/>
      <c r="CO1254" s="0"/>
      <c r="CP1254" s="0"/>
      <c r="CQ1254" s="0"/>
      <c r="CR1254" s="0"/>
      <c r="CS1254" s="0"/>
      <c r="CT1254" s="0"/>
      <c r="CU1254" s="0"/>
      <c r="CV1254" s="0"/>
      <c r="CW1254" s="0"/>
      <c r="CX1254" s="0"/>
      <c r="CY1254" s="0"/>
      <c r="CZ1254" s="0"/>
      <c r="DA1254" s="0"/>
      <c r="DB1254" s="0"/>
      <c r="DC1254" s="0"/>
      <c r="DD1254" s="0"/>
      <c r="DE1254" s="0"/>
      <c r="DF1254" s="0"/>
      <c r="DG1254" s="0"/>
      <c r="DH1254" s="0"/>
      <c r="DI1254" s="0"/>
      <c r="DJ1254" s="0"/>
      <c r="DK1254" s="0"/>
      <c r="DL1254" s="0"/>
      <c r="DM1254" s="0"/>
      <c r="DN1254" s="0"/>
      <c r="DO1254" s="0"/>
      <c r="DP1254" s="0"/>
      <c r="DQ1254" s="0"/>
      <c r="DR1254" s="0"/>
      <c r="DS1254" s="0"/>
      <c r="DT1254" s="0"/>
      <c r="DU1254" s="0"/>
      <c r="DV1254" s="0"/>
      <c r="DW1254" s="0"/>
      <c r="DX1254" s="0"/>
      <c r="DY1254" s="0"/>
      <c r="DZ1254" s="0"/>
      <c r="EA1254" s="0"/>
      <c r="EB1254" s="0"/>
      <c r="EC1254" s="0"/>
      <c r="ED1254" s="0"/>
      <c r="EE1254" s="0"/>
      <c r="EF1254" s="0"/>
      <c r="EG1254" s="0"/>
      <c r="EH1254" s="0"/>
      <c r="EI1254" s="0"/>
      <c r="EJ1254" s="0"/>
      <c r="EK1254" s="0"/>
      <c r="EL1254" s="0"/>
      <c r="EM1254" s="0"/>
      <c r="EN1254" s="0"/>
      <c r="EO1254" s="0"/>
      <c r="EP1254" s="0"/>
      <c r="EQ1254" s="0"/>
      <c r="ER1254" s="0"/>
      <c r="ES1254" s="0"/>
      <c r="ET1254" s="0"/>
      <c r="EU1254" s="0"/>
      <c r="EV1254" s="0"/>
      <c r="EW1254" s="0"/>
      <c r="EX1254" s="0"/>
      <c r="EY1254" s="0"/>
      <c r="EZ1254" s="0"/>
      <c r="FA1254" s="0"/>
      <c r="FB1254" s="0"/>
      <c r="FC1254" s="0"/>
      <c r="FD1254" s="0"/>
      <c r="FE1254" s="0"/>
      <c r="FF1254" s="0"/>
      <c r="FG1254" s="0"/>
      <c r="FH1254" s="0"/>
      <c r="FI1254" s="0"/>
      <c r="FJ1254" s="0"/>
      <c r="FK1254" s="0"/>
      <c r="FL1254" s="0"/>
      <c r="FM1254" s="0"/>
      <c r="FN1254" s="0"/>
      <c r="FO1254" s="0"/>
      <c r="FP1254" s="0"/>
      <c r="FQ1254" s="0"/>
      <c r="FR1254" s="0"/>
      <c r="FS1254" s="0"/>
      <c r="FT1254" s="0"/>
      <c r="FU1254" s="0"/>
      <c r="FV1254" s="0"/>
      <c r="FW1254" s="0"/>
      <c r="FX1254" s="0"/>
      <c r="FY1254" s="0"/>
      <c r="FZ1254" s="0"/>
      <c r="GA1254" s="0"/>
      <c r="GB1254" s="0"/>
      <c r="GC1254" s="0"/>
      <c r="GD1254" s="0"/>
      <c r="GE1254" s="0"/>
      <c r="GF1254" s="0"/>
      <c r="GG1254" s="0"/>
      <c r="GH1254" s="0"/>
      <c r="GI1254" s="0"/>
      <c r="GJ1254" s="0"/>
      <c r="GK1254" s="0"/>
      <c r="GL1254" s="0"/>
      <c r="GM1254" s="0"/>
      <c r="GN1254" s="0"/>
      <c r="GO1254" s="0"/>
      <c r="GP1254" s="0"/>
      <c r="GQ1254" s="0"/>
      <c r="GR1254" s="0"/>
      <c r="GS1254" s="0"/>
      <c r="GT1254" s="0"/>
      <c r="GU1254" s="0"/>
      <c r="GV1254" s="0"/>
      <c r="GW1254" s="0"/>
      <c r="GX1254" s="0"/>
      <c r="GY1254" s="0"/>
      <c r="GZ1254" s="0"/>
      <c r="HA1254" s="0"/>
      <c r="HB1254" s="0"/>
      <c r="HC1254" s="0"/>
      <c r="HD1254" s="0"/>
      <c r="HE1254" s="0"/>
      <c r="HF1254" s="0"/>
      <c r="HG1254" s="0"/>
      <c r="HH1254" s="0"/>
      <c r="HI1254" s="0"/>
      <c r="HJ1254" s="0"/>
      <c r="HK1254" s="0"/>
      <c r="HL1254" s="0"/>
      <c r="HM1254" s="0"/>
      <c r="HN1254" s="0"/>
      <c r="HO1254" s="0"/>
      <c r="HP1254" s="0"/>
      <c r="HQ1254" s="0"/>
      <c r="HR1254" s="0"/>
      <c r="HS1254" s="0"/>
      <c r="HT1254" s="0"/>
      <c r="HU1254" s="0"/>
      <c r="HV1254" s="0"/>
      <c r="HW1254" s="0"/>
      <c r="HX1254" s="0"/>
      <c r="HY1254" s="0"/>
      <c r="HZ1254" s="0"/>
      <c r="IA1254" s="0"/>
      <c r="IB1254" s="0"/>
      <c r="IC1254" s="0"/>
      <c r="ID1254" s="0"/>
      <c r="IE1254" s="0"/>
      <c r="IF1254" s="0"/>
      <c r="IG1254" s="0"/>
      <c r="IH1254" s="0"/>
      <c r="II1254" s="0"/>
      <c r="IJ1254" s="0"/>
      <c r="IK1254" s="0"/>
      <c r="IL1254" s="0"/>
      <c r="IM1254" s="0"/>
      <c r="IN1254" s="0"/>
      <c r="IO1254" s="0"/>
      <c r="IP1254" s="0"/>
      <c r="IQ1254" s="0"/>
      <c r="IR1254" s="0"/>
      <c r="IS1254" s="0"/>
      <c r="IT1254" s="0"/>
      <c r="IU1254" s="0"/>
      <c r="IV1254" s="0"/>
    </row>
    <row r="1255" customFormat="false" ht="15.75" hidden="false" customHeight="true" outlineLevel="0" collapsed="false">
      <c r="A1255" s="1454" t="s">
        <v>1779</v>
      </c>
      <c r="B1255" s="1468"/>
      <c r="C1255" s="1468"/>
      <c r="D1255" s="1468"/>
      <c r="E1255" s="1469"/>
      <c r="F1255" s="1470" t="n">
        <f aca="false">E1255/$E$1304</f>
        <v>0</v>
      </c>
      <c r="G1255" s="1467"/>
      <c r="H1255" s="0"/>
      <c r="I1255" s="1464"/>
      <c r="J1255" s="1465"/>
      <c r="K1255" s="1460"/>
      <c r="L1255" s="867"/>
      <c r="N1255" s="0"/>
      <c r="O1255" s="0"/>
      <c r="P1255" s="0"/>
      <c r="Q1255" s="0"/>
      <c r="R1255" s="0"/>
      <c r="S1255" s="0"/>
      <c r="T1255" s="0"/>
      <c r="U1255" s="0"/>
      <c r="V1255" s="0"/>
      <c r="W1255" s="0"/>
      <c r="X1255" s="0"/>
      <c r="Y1255" s="0"/>
      <c r="Z1255" s="0"/>
      <c r="AA1255" s="0"/>
      <c r="AB1255" s="0"/>
      <c r="AC1255" s="0"/>
      <c r="AD1255" s="0"/>
      <c r="AE1255" s="0"/>
      <c r="AF1255" s="0"/>
      <c r="AG1255" s="0"/>
      <c r="AH1255" s="0"/>
      <c r="AI1255" s="0"/>
      <c r="AJ1255" s="0"/>
      <c r="AK1255" s="0"/>
      <c r="AL1255" s="0"/>
      <c r="AM1255" s="0"/>
      <c r="AN1255" s="0"/>
      <c r="AO1255" s="0"/>
      <c r="AP1255" s="0"/>
      <c r="AQ1255" s="0"/>
      <c r="AR1255" s="0"/>
      <c r="AS1255" s="0"/>
      <c r="AT1255" s="0"/>
      <c r="AU1255" s="0"/>
      <c r="AV1255" s="0"/>
      <c r="AW1255" s="0"/>
      <c r="AX1255" s="0"/>
      <c r="AY1255" s="0"/>
      <c r="AZ1255" s="0"/>
      <c r="BA1255" s="0"/>
      <c r="BB1255" s="0"/>
      <c r="BC1255" s="0"/>
      <c r="BD1255" s="0"/>
      <c r="BE1255" s="0"/>
      <c r="BF1255" s="0"/>
      <c r="BG1255" s="0"/>
      <c r="BH1255" s="0"/>
      <c r="BI1255" s="0"/>
      <c r="BJ1255" s="0"/>
      <c r="BK1255" s="0"/>
      <c r="BL1255" s="0"/>
      <c r="BM1255" s="0"/>
      <c r="BN1255" s="0"/>
      <c r="BO1255" s="0"/>
      <c r="BP1255" s="0"/>
      <c r="BQ1255" s="0"/>
      <c r="BR1255" s="0"/>
      <c r="BS1255" s="0"/>
      <c r="BT1255" s="0"/>
      <c r="BU1255" s="0"/>
      <c r="BV1255" s="0"/>
      <c r="BW1255" s="0"/>
      <c r="BX1255" s="0"/>
      <c r="BY1255" s="0"/>
      <c r="BZ1255" s="0"/>
      <c r="CA1255" s="0"/>
      <c r="CB1255" s="0"/>
      <c r="CC1255" s="0"/>
      <c r="CD1255" s="0"/>
      <c r="CE1255" s="0"/>
      <c r="CF1255" s="0"/>
      <c r="CG1255" s="0"/>
      <c r="CH1255" s="0"/>
      <c r="CI1255" s="0"/>
      <c r="CJ1255" s="0"/>
      <c r="CK1255" s="0"/>
      <c r="CL1255" s="0"/>
      <c r="CM1255" s="0"/>
      <c r="CN1255" s="0"/>
      <c r="CO1255" s="0"/>
      <c r="CP1255" s="0"/>
      <c r="CQ1255" s="0"/>
      <c r="CR1255" s="0"/>
      <c r="CS1255" s="0"/>
      <c r="CT1255" s="0"/>
      <c r="CU1255" s="0"/>
      <c r="CV1255" s="0"/>
      <c r="CW1255" s="0"/>
      <c r="CX1255" s="0"/>
      <c r="CY1255" s="0"/>
      <c r="CZ1255" s="0"/>
      <c r="DA1255" s="0"/>
      <c r="DB1255" s="0"/>
      <c r="DC1255" s="0"/>
      <c r="DD1255" s="0"/>
      <c r="DE1255" s="0"/>
      <c r="DF1255" s="0"/>
      <c r="DG1255" s="0"/>
      <c r="DH1255" s="0"/>
      <c r="DI1255" s="0"/>
      <c r="DJ1255" s="0"/>
      <c r="DK1255" s="0"/>
      <c r="DL1255" s="0"/>
      <c r="DM1255" s="0"/>
      <c r="DN1255" s="0"/>
      <c r="DO1255" s="0"/>
      <c r="DP1255" s="0"/>
      <c r="DQ1255" s="0"/>
      <c r="DR1255" s="0"/>
      <c r="DS1255" s="0"/>
      <c r="DT1255" s="0"/>
      <c r="DU1255" s="0"/>
      <c r="DV1255" s="0"/>
      <c r="DW1255" s="0"/>
      <c r="DX1255" s="0"/>
      <c r="DY1255" s="0"/>
      <c r="DZ1255" s="0"/>
      <c r="EA1255" s="0"/>
      <c r="EB1255" s="0"/>
      <c r="EC1255" s="0"/>
      <c r="ED1255" s="0"/>
      <c r="EE1255" s="0"/>
      <c r="EF1255" s="0"/>
      <c r="EG1255" s="0"/>
      <c r="EH1255" s="0"/>
      <c r="EI1255" s="0"/>
      <c r="EJ1255" s="0"/>
      <c r="EK1255" s="0"/>
      <c r="EL1255" s="0"/>
      <c r="EM1255" s="0"/>
      <c r="EN1255" s="0"/>
      <c r="EO1255" s="0"/>
      <c r="EP1255" s="0"/>
      <c r="EQ1255" s="0"/>
      <c r="ER1255" s="0"/>
      <c r="ES1255" s="0"/>
      <c r="ET1255" s="0"/>
      <c r="EU1255" s="0"/>
      <c r="EV1255" s="0"/>
      <c r="EW1255" s="0"/>
      <c r="EX1255" s="0"/>
      <c r="EY1255" s="0"/>
      <c r="EZ1255" s="0"/>
      <c r="FA1255" s="0"/>
      <c r="FB1255" s="0"/>
      <c r="FC1255" s="0"/>
      <c r="FD1255" s="0"/>
      <c r="FE1255" s="0"/>
      <c r="FF1255" s="0"/>
      <c r="FG1255" s="0"/>
      <c r="FH1255" s="0"/>
      <c r="FI1255" s="0"/>
      <c r="FJ1255" s="0"/>
      <c r="FK1255" s="0"/>
      <c r="FL1255" s="0"/>
      <c r="FM1255" s="0"/>
      <c r="FN1255" s="0"/>
      <c r="FO1255" s="0"/>
      <c r="FP1255" s="0"/>
      <c r="FQ1255" s="0"/>
      <c r="FR1255" s="0"/>
      <c r="FS1255" s="0"/>
      <c r="FT1255" s="0"/>
      <c r="FU1255" s="0"/>
      <c r="FV1255" s="0"/>
      <c r="FW1255" s="0"/>
      <c r="FX1255" s="0"/>
      <c r="FY1255" s="0"/>
      <c r="FZ1255" s="0"/>
      <c r="GA1255" s="0"/>
      <c r="GB1255" s="0"/>
      <c r="GC1255" s="0"/>
      <c r="GD1255" s="0"/>
      <c r="GE1255" s="0"/>
      <c r="GF1255" s="0"/>
      <c r="GG1255" s="0"/>
      <c r="GH1255" s="0"/>
      <c r="GI1255" s="0"/>
      <c r="GJ1255" s="0"/>
      <c r="GK1255" s="0"/>
      <c r="GL1255" s="0"/>
      <c r="GM1255" s="0"/>
      <c r="GN1255" s="0"/>
      <c r="GO1255" s="0"/>
      <c r="GP1255" s="0"/>
      <c r="GQ1255" s="0"/>
      <c r="GR1255" s="0"/>
      <c r="GS1255" s="0"/>
      <c r="GT1255" s="0"/>
      <c r="GU1255" s="0"/>
      <c r="GV1255" s="0"/>
      <c r="GW1255" s="0"/>
      <c r="GX1255" s="0"/>
      <c r="GY1255" s="0"/>
      <c r="GZ1255" s="0"/>
      <c r="HA1255" s="0"/>
      <c r="HB1255" s="0"/>
      <c r="HC1255" s="0"/>
      <c r="HD1255" s="0"/>
      <c r="HE1255" s="0"/>
      <c r="HF1255" s="0"/>
      <c r="HG1255" s="0"/>
      <c r="HH1255" s="0"/>
      <c r="HI1255" s="0"/>
      <c r="HJ1255" s="0"/>
      <c r="HK1255" s="0"/>
      <c r="HL1255" s="0"/>
      <c r="HM1255" s="0"/>
      <c r="HN1255" s="0"/>
      <c r="HO1255" s="0"/>
      <c r="HP1255" s="0"/>
      <c r="HQ1255" s="0"/>
      <c r="HR1255" s="0"/>
      <c r="HS1255" s="0"/>
      <c r="HT1255" s="0"/>
      <c r="HU1255" s="0"/>
      <c r="HV1255" s="0"/>
      <c r="HW1255" s="0"/>
      <c r="HX1255" s="0"/>
      <c r="HY1255" s="0"/>
      <c r="HZ1255" s="0"/>
      <c r="IA1255" s="0"/>
      <c r="IB1255" s="0"/>
      <c r="IC1255" s="0"/>
      <c r="ID1255" s="0"/>
      <c r="IE1255" s="0"/>
      <c r="IF1255" s="0"/>
      <c r="IG1255" s="0"/>
      <c r="IH1255" s="0"/>
      <c r="II1255" s="0"/>
      <c r="IJ1255" s="0"/>
      <c r="IK1255" s="0"/>
      <c r="IL1255" s="0"/>
      <c r="IM1255" s="0"/>
      <c r="IN1255" s="0"/>
      <c r="IO1255" s="0"/>
      <c r="IP1255" s="0"/>
      <c r="IQ1255" s="0"/>
      <c r="IR1255" s="0"/>
      <c r="IS1255" s="0"/>
      <c r="IT1255" s="0"/>
      <c r="IU1255" s="0"/>
      <c r="IV1255" s="0"/>
    </row>
    <row r="1256" customFormat="false" ht="15.75" hidden="false" customHeight="true" outlineLevel="0" collapsed="false">
      <c r="A1256" s="1448" t="s">
        <v>910</v>
      </c>
      <c r="B1256" s="1449"/>
      <c r="C1256" s="1449"/>
      <c r="D1256" s="1449"/>
      <c r="E1256" s="1450" t="n">
        <f aca="false">SUM(E1257:E1260)</f>
        <v>0</v>
      </c>
      <c r="F1256" s="1451"/>
      <c r="G1256" s="1452"/>
      <c r="I1256" s="1464"/>
      <c r="J1256" s="1465"/>
      <c r="K1256" s="1453"/>
      <c r="L1256" s="1444"/>
    </row>
    <row r="1257" customFormat="false" ht="15" hidden="false" customHeight="true" outlineLevel="0" collapsed="false">
      <c r="A1257" s="1454" t="s">
        <v>911</v>
      </c>
      <c r="B1257" s="1455"/>
      <c r="C1257" s="1455"/>
      <c r="D1257" s="1455"/>
      <c r="E1257" s="1456"/>
      <c r="F1257" s="1457" t="n">
        <f aca="false">E1257/$E$1304</f>
        <v>0</v>
      </c>
      <c r="G1257" s="1467"/>
      <c r="H1257" s="0"/>
      <c r="I1257" s="1249"/>
      <c r="J1257" s="0"/>
      <c r="K1257" s="1453"/>
      <c r="L1257" s="1444"/>
      <c r="M1257" s="0"/>
      <c r="T1257" s="0"/>
      <c r="U1257" s="0"/>
      <c r="V1257" s="0"/>
      <c r="W1257" s="0"/>
      <c r="X1257" s="0"/>
      <c r="Y1257" s="0"/>
      <c r="Z1257" s="0"/>
      <c r="AA1257" s="0"/>
      <c r="AB1257" s="0"/>
      <c r="AC1257" s="0"/>
      <c r="AD1257" s="0"/>
      <c r="AE1257" s="0"/>
      <c r="AF1257" s="0"/>
      <c r="AG1257" s="0"/>
      <c r="AH1257" s="0"/>
      <c r="AI1257" s="0"/>
      <c r="AJ1257" s="0"/>
      <c r="AK1257" s="0"/>
      <c r="AL1257" s="0"/>
      <c r="AM1257" s="0"/>
      <c r="AN1257" s="0"/>
      <c r="AO1257" s="0"/>
      <c r="AP1257" s="0"/>
      <c r="AQ1257" s="0"/>
      <c r="AR1257" s="0"/>
      <c r="AS1257" s="0"/>
      <c r="AT1257" s="0"/>
      <c r="AU1257" s="0"/>
      <c r="AV1257" s="0"/>
      <c r="AW1257" s="0"/>
      <c r="AX1257" s="0"/>
      <c r="AY1257" s="0"/>
      <c r="AZ1257" s="0"/>
      <c r="BA1257" s="0"/>
      <c r="BB1257" s="0"/>
      <c r="BC1257" s="0"/>
      <c r="BD1257" s="0"/>
      <c r="BE1257" s="0"/>
      <c r="BF1257" s="0"/>
      <c r="BG1257" s="0"/>
      <c r="BH1257" s="0"/>
      <c r="BI1257" s="0"/>
      <c r="BJ1257" s="0"/>
      <c r="BK1257" s="0"/>
      <c r="BL1257" s="0"/>
      <c r="BM1257" s="0"/>
      <c r="BN1257" s="0"/>
      <c r="BO1257" s="0"/>
      <c r="BP1257" s="0"/>
      <c r="BQ1257" s="0"/>
      <c r="BR1257" s="0"/>
      <c r="BS1257" s="0"/>
      <c r="BT1257" s="0"/>
      <c r="BU1257" s="0"/>
      <c r="BV1257" s="0"/>
      <c r="BW1257" s="0"/>
      <c r="BX1257" s="0"/>
      <c r="BY1257" s="0"/>
      <c r="BZ1257" s="0"/>
      <c r="CA1257" s="0"/>
      <c r="CB1257" s="0"/>
      <c r="CC1257" s="0"/>
      <c r="CD1257" s="0"/>
      <c r="CE1257" s="0"/>
      <c r="CF1257" s="0"/>
      <c r="CG1257" s="0"/>
      <c r="CH1257" s="0"/>
      <c r="CI1257" s="0"/>
      <c r="CJ1257" s="0"/>
      <c r="CK1257" s="0"/>
      <c r="CL1257" s="0"/>
      <c r="CM1257" s="0"/>
      <c r="CN1257" s="0"/>
      <c r="CO1257" s="0"/>
      <c r="CP1257" s="0"/>
      <c r="CQ1257" s="0"/>
      <c r="CR1257" s="0"/>
      <c r="CS1257" s="0"/>
      <c r="CT1257" s="0"/>
      <c r="CU1257" s="0"/>
      <c r="CV1257" s="0"/>
      <c r="CW1257" s="0"/>
      <c r="CX1257" s="0"/>
      <c r="CY1257" s="0"/>
      <c r="CZ1257" s="0"/>
      <c r="DA1257" s="0"/>
      <c r="DB1257" s="0"/>
      <c r="DC1257" s="0"/>
      <c r="DD1257" s="0"/>
      <c r="DE1257" s="0"/>
      <c r="DF1257" s="0"/>
      <c r="DG1257" s="0"/>
      <c r="DH1257" s="0"/>
      <c r="DI1257" s="0"/>
      <c r="DJ1257" s="0"/>
      <c r="DK1257" s="0"/>
      <c r="DL1257" s="0"/>
      <c r="DM1257" s="0"/>
      <c r="DN1257" s="0"/>
      <c r="DO1257" s="0"/>
      <c r="DP1257" s="0"/>
      <c r="DQ1257" s="0"/>
      <c r="DR1257" s="0"/>
      <c r="DS1257" s="0"/>
      <c r="DT1257" s="0"/>
      <c r="DU1257" s="0"/>
      <c r="DV1257" s="0"/>
      <c r="DW1257" s="0"/>
      <c r="DX1257" s="0"/>
      <c r="DY1257" s="0"/>
      <c r="DZ1257" s="0"/>
      <c r="EA1257" s="0"/>
      <c r="EB1257" s="0"/>
      <c r="EC1257" s="0"/>
      <c r="ED1257" s="0"/>
      <c r="EE1257" s="0"/>
      <c r="EF1257" s="0"/>
      <c r="EG1257" s="0"/>
      <c r="EH1257" s="0"/>
      <c r="EI1257" s="0"/>
      <c r="EJ1257" s="0"/>
      <c r="EK1257" s="0"/>
      <c r="EL1257" s="0"/>
      <c r="EM1257" s="0"/>
      <c r="EN1257" s="0"/>
      <c r="EO1257" s="0"/>
      <c r="EP1257" s="0"/>
      <c r="EQ1257" s="0"/>
      <c r="ER1257" s="0"/>
      <c r="ES1257" s="0"/>
      <c r="ET1257" s="0"/>
      <c r="EU1257" s="0"/>
      <c r="EV1257" s="0"/>
      <c r="EW1257" s="0"/>
      <c r="EX1257" s="0"/>
      <c r="EY1257" s="0"/>
      <c r="EZ1257" s="0"/>
      <c r="FA1257" s="0"/>
      <c r="FB1257" s="0"/>
      <c r="FC1257" s="0"/>
      <c r="FD1257" s="0"/>
      <c r="FE1257" s="0"/>
      <c r="FF1257" s="0"/>
      <c r="FG1257" s="0"/>
      <c r="FH1257" s="0"/>
      <c r="FI1257" s="0"/>
      <c r="FJ1257" s="0"/>
      <c r="FK1257" s="0"/>
      <c r="FL1257" s="0"/>
      <c r="FM1257" s="0"/>
      <c r="FN1257" s="0"/>
      <c r="FO1257" s="0"/>
      <c r="FP1257" s="0"/>
      <c r="FQ1257" s="0"/>
      <c r="FR1257" s="0"/>
      <c r="FS1257" s="0"/>
      <c r="FT1257" s="0"/>
      <c r="FU1257" s="0"/>
      <c r="FV1257" s="0"/>
      <c r="FW1257" s="0"/>
      <c r="FX1257" s="0"/>
      <c r="FY1257" s="0"/>
      <c r="FZ1257" s="0"/>
      <c r="GA1257" s="0"/>
      <c r="GB1257" s="0"/>
      <c r="GC1257" s="0"/>
      <c r="GD1257" s="0"/>
      <c r="GE1257" s="0"/>
      <c r="GF1257" s="0"/>
      <c r="GG1257" s="0"/>
      <c r="GH1257" s="0"/>
      <c r="GI1257" s="0"/>
      <c r="GJ1257" s="0"/>
      <c r="GK1257" s="0"/>
      <c r="GL1257" s="0"/>
      <c r="GM1257" s="0"/>
      <c r="GN1257" s="0"/>
      <c r="GO1257" s="0"/>
      <c r="GP1257" s="0"/>
      <c r="GQ1257" s="0"/>
      <c r="GR1257" s="0"/>
      <c r="GS1257" s="0"/>
      <c r="GT1257" s="0"/>
      <c r="GU1257" s="0"/>
      <c r="GV1257" s="0"/>
      <c r="GW1257" s="0"/>
      <c r="GX1257" s="0"/>
      <c r="GY1257" s="0"/>
      <c r="GZ1257" s="0"/>
      <c r="HA1257" s="0"/>
      <c r="HB1257" s="0"/>
      <c r="HC1257" s="0"/>
      <c r="HD1257" s="0"/>
      <c r="HE1257" s="0"/>
      <c r="HF1257" s="0"/>
      <c r="HG1257" s="0"/>
      <c r="HH1257" s="0"/>
      <c r="HI1257" s="0"/>
      <c r="HJ1257" s="0"/>
      <c r="HK1257" s="0"/>
      <c r="HL1257" s="0"/>
      <c r="HM1257" s="0"/>
      <c r="HN1257" s="0"/>
      <c r="HO1257" s="0"/>
      <c r="HP1257" s="0"/>
      <c r="HQ1257" s="0"/>
      <c r="HR1257" s="0"/>
      <c r="HS1257" s="0"/>
      <c r="HT1257" s="0"/>
      <c r="HU1257" s="0"/>
      <c r="HV1257" s="0"/>
      <c r="HW1257" s="0"/>
      <c r="HX1257" s="0"/>
      <c r="HY1257" s="0"/>
      <c r="HZ1257" s="0"/>
      <c r="IA1257" s="0"/>
      <c r="IB1257" s="0"/>
      <c r="IC1257" s="0"/>
      <c r="ID1257" s="0"/>
      <c r="IE1257" s="0"/>
      <c r="IF1257" s="0"/>
      <c r="IG1257" s="0"/>
      <c r="IH1257" s="0"/>
      <c r="II1257" s="0"/>
      <c r="IJ1257" s="0"/>
      <c r="IK1257" s="0"/>
      <c r="IL1257" s="0"/>
      <c r="IM1257" s="0"/>
      <c r="IN1257" s="0"/>
      <c r="IO1257" s="0"/>
      <c r="IP1257" s="0"/>
      <c r="IQ1257" s="0"/>
      <c r="IR1257" s="0"/>
      <c r="IS1257" s="0"/>
      <c r="IT1257" s="0"/>
      <c r="IU1257" s="0"/>
      <c r="IV1257" s="0"/>
    </row>
    <row r="1258" customFormat="false" ht="15" hidden="false" customHeight="true" outlineLevel="0" collapsed="false">
      <c r="A1258" s="1454" t="s">
        <v>912</v>
      </c>
      <c r="B1258" s="1455"/>
      <c r="C1258" s="1455"/>
      <c r="D1258" s="1455"/>
      <c r="E1258" s="1456"/>
      <c r="F1258" s="1457" t="n">
        <f aca="false">E1258/$E$1304</f>
        <v>0</v>
      </c>
      <c r="G1258" s="1467"/>
      <c r="I1258" s="1249"/>
      <c r="J1258" s="0"/>
      <c r="K1258" s="1453"/>
      <c r="L1258" s="1444"/>
      <c r="M1258" s="0"/>
      <c r="N1258" s="0"/>
      <c r="O1258" s="0"/>
      <c r="P1258" s="0"/>
      <c r="Q1258" s="0"/>
      <c r="R1258" s="0"/>
      <c r="S1258" s="0"/>
      <c r="T1258" s="0"/>
      <c r="U1258" s="0"/>
      <c r="V1258" s="0"/>
      <c r="W1258" s="0"/>
      <c r="X1258" s="0"/>
      <c r="Y1258" s="0"/>
      <c r="Z1258" s="0"/>
      <c r="AA1258" s="0"/>
      <c r="AB1258" s="0"/>
      <c r="AC1258" s="0"/>
      <c r="AD1258" s="0"/>
      <c r="AE1258" s="0"/>
      <c r="AF1258" s="0"/>
      <c r="AG1258" s="0"/>
      <c r="AH1258" s="0"/>
      <c r="AI1258" s="0"/>
      <c r="AJ1258" s="0"/>
      <c r="AK1258" s="0"/>
      <c r="AL1258" s="0"/>
      <c r="AM1258" s="0"/>
      <c r="AN1258" s="0"/>
      <c r="AO1258" s="0"/>
      <c r="AP1258" s="0"/>
      <c r="AQ1258" s="0"/>
      <c r="AR1258" s="0"/>
      <c r="AS1258" s="0"/>
      <c r="AT1258" s="0"/>
      <c r="AU1258" s="0"/>
      <c r="AV1258" s="0"/>
      <c r="AW1258" s="0"/>
      <c r="AX1258" s="0"/>
      <c r="AY1258" s="0"/>
      <c r="AZ1258" s="0"/>
      <c r="BA1258" s="0"/>
      <c r="BB1258" s="0"/>
      <c r="BC1258" s="0"/>
      <c r="BD1258" s="0"/>
      <c r="BE1258" s="0"/>
      <c r="BF1258" s="0"/>
      <c r="BG1258" s="0"/>
      <c r="BH1258" s="0"/>
      <c r="BI1258" s="0"/>
      <c r="BJ1258" s="0"/>
      <c r="BK1258" s="0"/>
      <c r="BL1258" s="0"/>
      <c r="BM1258" s="0"/>
      <c r="BN1258" s="0"/>
      <c r="BO1258" s="0"/>
      <c r="BP1258" s="0"/>
      <c r="BQ1258" s="0"/>
      <c r="BR1258" s="0"/>
      <c r="BS1258" s="0"/>
      <c r="BT1258" s="0"/>
      <c r="BU1258" s="0"/>
      <c r="BV1258" s="0"/>
      <c r="BW1258" s="0"/>
      <c r="BX1258" s="0"/>
      <c r="BY1258" s="0"/>
      <c r="BZ1258" s="0"/>
      <c r="CA1258" s="0"/>
      <c r="CB1258" s="0"/>
      <c r="CC1258" s="0"/>
      <c r="CD1258" s="0"/>
      <c r="CE1258" s="0"/>
      <c r="CF1258" s="0"/>
      <c r="CG1258" s="0"/>
      <c r="CH1258" s="0"/>
      <c r="CI1258" s="0"/>
      <c r="CJ1258" s="0"/>
      <c r="CK1258" s="0"/>
      <c r="CL1258" s="0"/>
      <c r="CM1258" s="0"/>
      <c r="CN1258" s="0"/>
      <c r="CO1258" s="0"/>
      <c r="CP1258" s="0"/>
      <c r="CQ1258" s="0"/>
      <c r="CR1258" s="0"/>
      <c r="CS1258" s="0"/>
      <c r="CT1258" s="0"/>
      <c r="CU1258" s="0"/>
      <c r="CV1258" s="0"/>
      <c r="CW1258" s="0"/>
      <c r="CX1258" s="0"/>
      <c r="CY1258" s="0"/>
      <c r="CZ1258" s="0"/>
      <c r="DA1258" s="0"/>
      <c r="DB1258" s="0"/>
      <c r="DC1258" s="0"/>
      <c r="DD1258" s="0"/>
      <c r="DE1258" s="0"/>
      <c r="DF1258" s="0"/>
      <c r="DG1258" s="0"/>
      <c r="DH1258" s="0"/>
      <c r="DI1258" s="0"/>
      <c r="DJ1258" s="0"/>
      <c r="DK1258" s="0"/>
      <c r="DL1258" s="0"/>
      <c r="DM1258" s="0"/>
      <c r="DN1258" s="0"/>
      <c r="DO1258" s="0"/>
      <c r="DP1258" s="0"/>
      <c r="DQ1258" s="0"/>
      <c r="DR1258" s="0"/>
      <c r="DS1258" s="0"/>
      <c r="DT1258" s="0"/>
      <c r="DU1258" s="0"/>
      <c r="DV1258" s="0"/>
      <c r="DW1258" s="0"/>
      <c r="DX1258" s="0"/>
      <c r="DY1258" s="0"/>
      <c r="DZ1258" s="0"/>
      <c r="EA1258" s="0"/>
      <c r="EB1258" s="0"/>
      <c r="EC1258" s="0"/>
      <c r="ED1258" s="0"/>
      <c r="EE1258" s="0"/>
      <c r="EF1258" s="0"/>
      <c r="EG1258" s="0"/>
      <c r="EH1258" s="0"/>
      <c r="EI1258" s="0"/>
      <c r="EJ1258" s="0"/>
      <c r="EK1258" s="0"/>
      <c r="EL1258" s="0"/>
      <c r="EM1258" s="0"/>
      <c r="EN1258" s="0"/>
      <c r="EO1258" s="0"/>
      <c r="EP1258" s="0"/>
      <c r="EQ1258" s="0"/>
      <c r="ER1258" s="0"/>
      <c r="ES1258" s="0"/>
      <c r="ET1258" s="0"/>
      <c r="EU1258" s="0"/>
      <c r="EV1258" s="0"/>
      <c r="EW1258" s="0"/>
      <c r="EX1258" s="0"/>
      <c r="EY1258" s="0"/>
      <c r="EZ1258" s="0"/>
      <c r="FA1258" s="0"/>
      <c r="FB1258" s="0"/>
      <c r="FC1258" s="0"/>
      <c r="FD1258" s="0"/>
      <c r="FE1258" s="0"/>
      <c r="FF1258" s="0"/>
      <c r="FG1258" s="0"/>
      <c r="FH1258" s="0"/>
      <c r="FI1258" s="0"/>
      <c r="FJ1258" s="0"/>
      <c r="FK1258" s="0"/>
      <c r="FL1258" s="0"/>
      <c r="FM1258" s="0"/>
      <c r="FN1258" s="0"/>
      <c r="FO1258" s="0"/>
      <c r="FP1258" s="0"/>
      <c r="FQ1258" s="0"/>
      <c r="FR1258" s="0"/>
      <c r="FS1258" s="0"/>
      <c r="FT1258" s="0"/>
      <c r="FU1258" s="0"/>
      <c r="FV1258" s="0"/>
      <c r="FW1258" s="0"/>
      <c r="FX1258" s="0"/>
      <c r="FY1258" s="0"/>
      <c r="FZ1258" s="0"/>
      <c r="GA1258" s="0"/>
      <c r="GB1258" s="0"/>
      <c r="GC1258" s="0"/>
      <c r="GD1258" s="0"/>
      <c r="GE1258" s="0"/>
      <c r="GF1258" s="0"/>
      <c r="GG1258" s="0"/>
      <c r="GH1258" s="0"/>
      <c r="GI1258" s="0"/>
      <c r="GJ1258" s="0"/>
      <c r="GK1258" s="0"/>
      <c r="GL1258" s="0"/>
      <c r="GM1258" s="0"/>
      <c r="GN1258" s="0"/>
      <c r="GO1258" s="0"/>
      <c r="GP1258" s="0"/>
      <c r="GQ1258" s="0"/>
      <c r="GR1258" s="0"/>
      <c r="GS1258" s="0"/>
      <c r="GT1258" s="0"/>
      <c r="GU1258" s="0"/>
      <c r="GV1258" s="0"/>
      <c r="GW1258" s="0"/>
      <c r="GX1258" s="0"/>
      <c r="GY1258" s="0"/>
      <c r="GZ1258" s="0"/>
      <c r="HA1258" s="0"/>
      <c r="HB1258" s="0"/>
      <c r="HC1258" s="0"/>
      <c r="HD1258" s="0"/>
      <c r="HE1258" s="0"/>
      <c r="HF1258" s="0"/>
      <c r="HG1258" s="0"/>
      <c r="HH1258" s="0"/>
      <c r="HI1258" s="0"/>
      <c r="HJ1258" s="0"/>
      <c r="HK1258" s="0"/>
      <c r="HL1258" s="0"/>
      <c r="HM1258" s="0"/>
      <c r="HN1258" s="0"/>
      <c r="HO1258" s="0"/>
      <c r="HP1258" s="0"/>
      <c r="HQ1258" s="0"/>
      <c r="HR1258" s="0"/>
      <c r="HS1258" s="0"/>
      <c r="HT1258" s="0"/>
      <c r="HU1258" s="0"/>
      <c r="HV1258" s="0"/>
      <c r="HW1258" s="0"/>
      <c r="HX1258" s="0"/>
      <c r="HY1258" s="0"/>
      <c r="HZ1258" s="0"/>
      <c r="IA1258" s="0"/>
      <c r="IB1258" s="0"/>
      <c r="IC1258" s="0"/>
      <c r="ID1258" s="0"/>
      <c r="IE1258" s="0"/>
      <c r="IF1258" s="0"/>
      <c r="IG1258" s="0"/>
      <c r="IH1258" s="0"/>
      <c r="II1258" s="0"/>
      <c r="IJ1258" s="0"/>
      <c r="IK1258" s="0"/>
      <c r="IL1258" s="0"/>
      <c r="IM1258" s="0"/>
      <c r="IN1258" s="0"/>
      <c r="IO1258" s="0"/>
      <c r="IP1258" s="0"/>
      <c r="IQ1258" s="0"/>
      <c r="IR1258" s="0"/>
      <c r="IS1258" s="0"/>
      <c r="IT1258" s="0"/>
      <c r="IU1258" s="0"/>
      <c r="IV1258" s="0"/>
    </row>
    <row r="1259" customFormat="false" ht="15" hidden="false" customHeight="true" outlineLevel="0" collapsed="false">
      <c r="A1259" s="1454" t="s">
        <v>913</v>
      </c>
      <c r="B1259" s="1455"/>
      <c r="C1259" s="1455"/>
      <c r="D1259" s="1455"/>
      <c r="E1259" s="1456"/>
      <c r="F1259" s="1457" t="n">
        <f aca="false">E1259/$E$1304</f>
        <v>0</v>
      </c>
      <c r="G1259" s="1467"/>
      <c r="I1259" s="1249"/>
      <c r="J1259" s="0"/>
      <c r="K1259" s="1453"/>
      <c r="L1259" s="1444"/>
    </row>
    <row r="1260" customFormat="false" ht="15.75" hidden="false" customHeight="true" outlineLevel="0" collapsed="false">
      <c r="A1260" s="1471" t="s">
        <v>1780</v>
      </c>
      <c r="B1260" s="1468"/>
      <c r="C1260" s="1468"/>
      <c r="D1260" s="1468"/>
      <c r="E1260" s="1472"/>
      <c r="F1260" s="1470" t="n">
        <f aca="false">E1260/$E$1304</f>
        <v>0</v>
      </c>
      <c r="G1260" s="1467"/>
      <c r="I1260" s="1249"/>
      <c r="J1260" s="0"/>
      <c r="K1260" s="1453"/>
      <c r="L1260" s="1444"/>
      <c r="M1260" s="0"/>
      <c r="N1260" s="0"/>
      <c r="O1260" s="0"/>
      <c r="P1260" s="0"/>
      <c r="Q1260" s="0"/>
      <c r="R1260" s="0"/>
      <c r="S1260" s="0"/>
      <c r="T1260" s="0"/>
      <c r="U1260" s="0"/>
      <c r="V1260" s="0"/>
      <c r="W1260" s="0"/>
      <c r="X1260" s="0"/>
      <c r="Y1260" s="0"/>
      <c r="Z1260" s="0"/>
      <c r="AA1260" s="0"/>
      <c r="AB1260" s="0"/>
      <c r="AC1260" s="0"/>
      <c r="AD1260" s="0"/>
      <c r="AE1260" s="0"/>
      <c r="AF1260" s="0"/>
      <c r="AG1260" s="0"/>
      <c r="AH1260" s="0"/>
      <c r="AI1260" s="0"/>
      <c r="AJ1260" s="0"/>
      <c r="AK1260" s="0"/>
      <c r="AL1260" s="0"/>
      <c r="AM1260" s="0"/>
      <c r="AN1260" s="0"/>
      <c r="AO1260" s="0"/>
      <c r="AP1260" s="0"/>
      <c r="AQ1260" s="0"/>
      <c r="AR1260" s="0"/>
      <c r="AS1260" s="0"/>
      <c r="AT1260" s="0"/>
      <c r="AU1260" s="0"/>
      <c r="AV1260" s="0"/>
      <c r="AW1260" s="0"/>
      <c r="AX1260" s="0"/>
      <c r="AY1260" s="0"/>
      <c r="AZ1260" s="0"/>
      <c r="BA1260" s="0"/>
      <c r="BB1260" s="0"/>
      <c r="BC1260" s="0"/>
      <c r="BD1260" s="0"/>
      <c r="BE1260" s="0"/>
      <c r="BF1260" s="0"/>
      <c r="BG1260" s="0"/>
      <c r="BH1260" s="0"/>
      <c r="BI1260" s="0"/>
      <c r="BJ1260" s="0"/>
      <c r="BK1260" s="0"/>
      <c r="BL1260" s="0"/>
      <c r="BM1260" s="0"/>
      <c r="BN1260" s="0"/>
      <c r="BO1260" s="0"/>
      <c r="BP1260" s="0"/>
      <c r="BQ1260" s="0"/>
      <c r="BR1260" s="0"/>
      <c r="BS1260" s="0"/>
      <c r="BT1260" s="0"/>
      <c r="BU1260" s="0"/>
      <c r="BV1260" s="0"/>
      <c r="BW1260" s="0"/>
      <c r="BX1260" s="0"/>
      <c r="BY1260" s="0"/>
      <c r="BZ1260" s="0"/>
      <c r="CA1260" s="0"/>
      <c r="CB1260" s="0"/>
      <c r="CC1260" s="0"/>
      <c r="CD1260" s="0"/>
      <c r="CE1260" s="0"/>
      <c r="CF1260" s="0"/>
      <c r="CG1260" s="0"/>
      <c r="CH1260" s="0"/>
      <c r="CI1260" s="0"/>
      <c r="CJ1260" s="0"/>
      <c r="CK1260" s="0"/>
      <c r="CL1260" s="0"/>
      <c r="CM1260" s="0"/>
      <c r="CN1260" s="0"/>
      <c r="CO1260" s="0"/>
      <c r="CP1260" s="0"/>
      <c r="CQ1260" s="0"/>
      <c r="CR1260" s="0"/>
      <c r="CS1260" s="0"/>
      <c r="CT1260" s="0"/>
      <c r="CU1260" s="0"/>
      <c r="CV1260" s="0"/>
      <c r="CW1260" s="0"/>
      <c r="CX1260" s="0"/>
      <c r="CY1260" s="0"/>
      <c r="CZ1260" s="0"/>
      <c r="DA1260" s="0"/>
      <c r="DB1260" s="0"/>
      <c r="DC1260" s="0"/>
      <c r="DD1260" s="0"/>
      <c r="DE1260" s="0"/>
      <c r="DF1260" s="0"/>
      <c r="DG1260" s="0"/>
      <c r="DH1260" s="0"/>
      <c r="DI1260" s="0"/>
      <c r="DJ1260" s="0"/>
      <c r="DK1260" s="0"/>
      <c r="DL1260" s="0"/>
      <c r="DM1260" s="0"/>
      <c r="DN1260" s="0"/>
      <c r="DO1260" s="0"/>
      <c r="DP1260" s="0"/>
      <c r="DQ1260" s="0"/>
      <c r="DR1260" s="0"/>
      <c r="DS1260" s="0"/>
      <c r="DT1260" s="0"/>
      <c r="DU1260" s="0"/>
      <c r="DV1260" s="0"/>
      <c r="DW1260" s="0"/>
      <c r="DX1260" s="0"/>
      <c r="DY1260" s="0"/>
      <c r="DZ1260" s="0"/>
      <c r="EA1260" s="0"/>
      <c r="EB1260" s="0"/>
      <c r="EC1260" s="0"/>
      <c r="ED1260" s="0"/>
      <c r="EE1260" s="0"/>
      <c r="EF1260" s="0"/>
      <c r="EG1260" s="0"/>
      <c r="EH1260" s="0"/>
      <c r="EI1260" s="0"/>
      <c r="EJ1260" s="0"/>
      <c r="EK1260" s="0"/>
      <c r="EL1260" s="0"/>
      <c r="EM1260" s="0"/>
      <c r="EN1260" s="0"/>
      <c r="EO1260" s="0"/>
      <c r="EP1260" s="0"/>
      <c r="EQ1260" s="0"/>
      <c r="ER1260" s="0"/>
      <c r="ES1260" s="0"/>
      <c r="ET1260" s="0"/>
      <c r="EU1260" s="0"/>
      <c r="EV1260" s="0"/>
      <c r="EW1260" s="0"/>
      <c r="EX1260" s="0"/>
      <c r="EY1260" s="0"/>
      <c r="EZ1260" s="0"/>
      <c r="FA1260" s="0"/>
      <c r="FB1260" s="0"/>
      <c r="FC1260" s="0"/>
      <c r="FD1260" s="0"/>
      <c r="FE1260" s="0"/>
      <c r="FF1260" s="0"/>
      <c r="FG1260" s="0"/>
      <c r="FH1260" s="0"/>
      <c r="FI1260" s="0"/>
      <c r="FJ1260" s="0"/>
      <c r="FK1260" s="0"/>
      <c r="FL1260" s="0"/>
      <c r="FM1260" s="0"/>
      <c r="FN1260" s="0"/>
      <c r="FO1260" s="0"/>
      <c r="FP1260" s="0"/>
      <c r="FQ1260" s="0"/>
      <c r="FR1260" s="0"/>
      <c r="FS1260" s="0"/>
      <c r="FT1260" s="0"/>
      <c r="FU1260" s="0"/>
      <c r="FV1260" s="0"/>
      <c r="FW1260" s="0"/>
      <c r="FX1260" s="0"/>
      <c r="FY1260" s="0"/>
      <c r="FZ1260" s="0"/>
      <c r="GA1260" s="0"/>
      <c r="GB1260" s="0"/>
      <c r="GC1260" s="0"/>
      <c r="GD1260" s="0"/>
      <c r="GE1260" s="0"/>
      <c r="GF1260" s="0"/>
      <c r="GG1260" s="0"/>
      <c r="GH1260" s="0"/>
      <c r="GI1260" s="0"/>
      <c r="GJ1260" s="0"/>
      <c r="GK1260" s="0"/>
      <c r="GL1260" s="0"/>
      <c r="GM1260" s="0"/>
      <c r="GN1260" s="0"/>
      <c r="GO1260" s="0"/>
      <c r="GP1260" s="0"/>
      <c r="GQ1260" s="0"/>
      <c r="GR1260" s="0"/>
      <c r="GS1260" s="0"/>
      <c r="GT1260" s="0"/>
      <c r="GU1260" s="0"/>
      <c r="GV1260" s="0"/>
      <c r="GW1260" s="0"/>
      <c r="GX1260" s="0"/>
      <c r="GY1260" s="0"/>
      <c r="GZ1260" s="0"/>
      <c r="HA1260" s="0"/>
      <c r="HB1260" s="0"/>
      <c r="HC1260" s="0"/>
      <c r="HD1260" s="0"/>
      <c r="HE1260" s="0"/>
      <c r="HF1260" s="0"/>
      <c r="HG1260" s="0"/>
      <c r="HH1260" s="0"/>
      <c r="HI1260" s="0"/>
      <c r="HJ1260" s="0"/>
      <c r="HK1260" s="0"/>
      <c r="HL1260" s="0"/>
      <c r="HM1260" s="0"/>
      <c r="HN1260" s="0"/>
      <c r="HO1260" s="0"/>
      <c r="HP1260" s="0"/>
      <c r="HQ1260" s="0"/>
      <c r="HR1260" s="0"/>
      <c r="HS1260" s="0"/>
      <c r="HT1260" s="0"/>
      <c r="HU1260" s="0"/>
      <c r="HV1260" s="0"/>
      <c r="HW1260" s="0"/>
      <c r="HX1260" s="0"/>
      <c r="HY1260" s="0"/>
      <c r="HZ1260" s="0"/>
      <c r="IA1260" s="0"/>
      <c r="IB1260" s="0"/>
      <c r="IC1260" s="0"/>
      <c r="ID1260" s="0"/>
      <c r="IE1260" s="0"/>
      <c r="IF1260" s="0"/>
      <c r="IG1260" s="0"/>
      <c r="IH1260" s="0"/>
      <c r="II1260" s="0"/>
      <c r="IJ1260" s="0"/>
      <c r="IK1260" s="0"/>
      <c r="IL1260" s="0"/>
      <c r="IM1260" s="0"/>
      <c r="IN1260" s="0"/>
      <c r="IO1260" s="0"/>
      <c r="IP1260" s="0"/>
      <c r="IQ1260" s="0"/>
      <c r="IR1260" s="0"/>
      <c r="IS1260" s="0"/>
      <c r="IT1260" s="0"/>
      <c r="IU1260" s="0"/>
      <c r="IV1260" s="0"/>
    </row>
    <row r="1261" customFormat="false" ht="15.75" hidden="false" customHeight="true" outlineLevel="0" collapsed="false">
      <c r="A1261" s="1448" t="s">
        <v>914</v>
      </c>
      <c r="B1261" s="1449"/>
      <c r="C1261" s="1449"/>
      <c r="D1261" s="1449"/>
      <c r="E1261" s="1450" t="n">
        <f aca="false">SUM(E1262:E1265)</f>
        <v>0</v>
      </c>
      <c r="F1261" s="1451"/>
      <c r="G1261" s="1452"/>
      <c r="H1261" s="0"/>
      <c r="I1261" s="1473" t="s">
        <v>1781</v>
      </c>
      <c r="J1261" s="1474" t="n">
        <f aca="false">IF(E1304=0,"ABSENCE DE DONNEES",COUNTIF(F1246:F1303,"&gt;=20%"))</f>
        <v>2</v>
      </c>
      <c r="K1261" s="1453"/>
      <c r="L1261" s="1444"/>
      <c r="M1261" s="0"/>
      <c r="N1261" s="0"/>
      <c r="O1261" s="0"/>
      <c r="P1261" s="0"/>
      <c r="Q1261" s="0"/>
      <c r="R1261" s="0"/>
      <c r="S1261" s="0"/>
      <c r="T1261" s="0"/>
      <c r="U1261" s="0"/>
      <c r="V1261" s="0"/>
      <c r="W1261" s="0"/>
      <c r="X1261" s="0"/>
      <c r="Y1261" s="0"/>
      <c r="Z1261" s="0"/>
      <c r="AA1261" s="0"/>
      <c r="AB1261" s="0"/>
      <c r="AC1261" s="0"/>
      <c r="AD1261" s="0"/>
      <c r="AE1261" s="0"/>
      <c r="AF1261" s="0"/>
      <c r="AG1261" s="0"/>
      <c r="AH1261" s="0"/>
      <c r="AI1261" s="0"/>
      <c r="AJ1261" s="0"/>
      <c r="AK1261" s="0"/>
      <c r="AL1261" s="0"/>
      <c r="AM1261" s="0"/>
      <c r="AN1261" s="0"/>
      <c r="AO1261" s="0"/>
      <c r="AP1261" s="0"/>
      <c r="AQ1261" s="0"/>
      <c r="AR1261" s="0"/>
      <c r="AS1261" s="0"/>
      <c r="AT1261" s="0"/>
      <c r="AU1261" s="0"/>
      <c r="AV1261" s="0"/>
      <c r="AW1261" s="0"/>
      <c r="AX1261" s="0"/>
      <c r="AY1261" s="0"/>
      <c r="AZ1261" s="0"/>
      <c r="BA1261" s="0"/>
      <c r="BB1261" s="0"/>
      <c r="BC1261" s="0"/>
      <c r="BD1261" s="0"/>
      <c r="BE1261" s="0"/>
      <c r="BF1261" s="0"/>
      <c r="BG1261" s="0"/>
      <c r="BH1261" s="0"/>
      <c r="BI1261" s="0"/>
      <c r="BJ1261" s="0"/>
      <c r="BK1261" s="0"/>
      <c r="BL1261" s="0"/>
      <c r="BM1261" s="0"/>
      <c r="BN1261" s="0"/>
      <c r="BO1261" s="0"/>
      <c r="BP1261" s="0"/>
      <c r="BQ1261" s="0"/>
      <c r="BR1261" s="0"/>
      <c r="BS1261" s="0"/>
      <c r="BT1261" s="0"/>
      <c r="BU1261" s="0"/>
      <c r="BV1261" s="0"/>
      <c r="BW1261" s="0"/>
      <c r="BX1261" s="0"/>
      <c r="BY1261" s="0"/>
      <c r="BZ1261" s="0"/>
      <c r="CA1261" s="0"/>
      <c r="CB1261" s="0"/>
      <c r="CC1261" s="0"/>
      <c r="CD1261" s="0"/>
      <c r="CE1261" s="0"/>
      <c r="CF1261" s="0"/>
      <c r="CG1261" s="0"/>
      <c r="CH1261" s="0"/>
      <c r="CI1261" s="0"/>
      <c r="CJ1261" s="0"/>
      <c r="CK1261" s="0"/>
      <c r="CL1261" s="0"/>
      <c r="CM1261" s="0"/>
      <c r="CN1261" s="0"/>
      <c r="CO1261" s="0"/>
      <c r="CP1261" s="0"/>
      <c r="CQ1261" s="0"/>
      <c r="CR1261" s="0"/>
      <c r="CS1261" s="0"/>
      <c r="CT1261" s="0"/>
      <c r="CU1261" s="0"/>
      <c r="CV1261" s="0"/>
      <c r="CW1261" s="0"/>
      <c r="CX1261" s="0"/>
      <c r="CY1261" s="0"/>
      <c r="CZ1261" s="0"/>
      <c r="DA1261" s="0"/>
      <c r="DB1261" s="0"/>
      <c r="DC1261" s="0"/>
      <c r="DD1261" s="0"/>
      <c r="DE1261" s="0"/>
      <c r="DF1261" s="0"/>
      <c r="DG1261" s="0"/>
      <c r="DH1261" s="0"/>
      <c r="DI1261" s="0"/>
      <c r="DJ1261" s="0"/>
      <c r="DK1261" s="0"/>
      <c r="DL1261" s="0"/>
      <c r="DM1261" s="0"/>
      <c r="DN1261" s="0"/>
      <c r="DO1261" s="0"/>
      <c r="DP1261" s="0"/>
      <c r="DQ1261" s="0"/>
      <c r="DR1261" s="0"/>
      <c r="DS1261" s="0"/>
      <c r="DT1261" s="0"/>
      <c r="DU1261" s="0"/>
      <c r="DV1261" s="0"/>
      <c r="DW1261" s="0"/>
      <c r="DX1261" s="0"/>
      <c r="DY1261" s="0"/>
      <c r="DZ1261" s="0"/>
      <c r="EA1261" s="0"/>
      <c r="EB1261" s="0"/>
      <c r="EC1261" s="0"/>
      <c r="ED1261" s="0"/>
      <c r="EE1261" s="0"/>
      <c r="EF1261" s="0"/>
      <c r="EG1261" s="0"/>
      <c r="EH1261" s="0"/>
      <c r="EI1261" s="0"/>
      <c r="EJ1261" s="0"/>
      <c r="EK1261" s="0"/>
      <c r="EL1261" s="0"/>
      <c r="EM1261" s="0"/>
      <c r="EN1261" s="0"/>
      <c r="EO1261" s="0"/>
      <c r="EP1261" s="0"/>
      <c r="EQ1261" s="0"/>
      <c r="ER1261" s="0"/>
      <c r="ES1261" s="0"/>
      <c r="ET1261" s="0"/>
      <c r="EU1261" s="0"/>
      <c r="EV1261" s="0"/>
      <c r="EW1261" s="0"/>
      <c r="EX1261" s="0"/>
      <c r="EY1261" s="0"/>
      <c r="EZ1261" s="0"/>
      <c r="FA1261" s="0"/>
      <c r="FB1261" s="0"/>
      <c r="FC1261" s="0"/>
      <c r="FD1261" s="0"/>
      <c r="FE1261" s="0"/>
      <c r="FF1261" s="0"/>
      <c r="FG1261" s="0"/>
      <c r="FH1261" s="0"/>
      <c r="FI1261" s="0"/>
      <c r="FJ1261" s="0"/>
      <c r="FK1261" s="0"/>
      <c r="FL1261" s="0"/>
      <c r="FM1261" s="0"/>
      <c r="FN1261" s="0"/>
      <c r="FO1261" s="0"/>
      <c r="FP1261" s="0"/>
      <c r="FQ1261" s="0"/>
      <c r="FR1261" s="0"/>
      <c r="FS1261" s="0"/>
      <c r="FT1261" s="0"/>
      <c r="FU1261" s="0"/>
      <c r="FV1261" s="0"/>
      <c r="FW1261" s="0"/>
      <c r="FX1261" s="0"/>
      <c r="FY1261" s="0"/>
      <c r="FZ1261" s="0"/>
      <c r="GA1261" s="0"/>
      <c r="GB1261" s="0"/>
      <c r="GC1261" s="0"/>
      <c r="GD1261" s="0"/>
      <c r="GE1261" s="0"/>
      <c r="GF1261" s="0"/>
      <c r="GG1261" s="0"/>
      <c r="GH1261" s="0"/>
      <c r="GI1261" s="0"/>
      <c r="GJ1261" s="0"/>
      <c r="GK1261" s="0"/>
      <c r="GL1261" s="0"/>
      <c r="GM1261" s="0"/>
      <c r="GN1261" s="0"/>
      <c r="GO1261" s="0"/>
      <c r="GP1261" s="0"/>
      <c r="GQ1261" s="0"/>
      <c r="GR1261" s="0"/>
      <c r="GS1261" s="0"/>
      <c r="GT1261" s="0"/>
      <c r="GU1261" s="0"/>
      <c r="GV1261" s="0"/>
      <c r="GW1261" s="0"/>
      <c r="GX1261" s="0"/>
      <c r="GY1261" s="0"/>
      <c r="GZ1261" s="0"/>
      <c r="HA1261" s="0"/>
      <c r="HB1261" s="0"/>
      <c r="HC1261" s="0"/>
      <c r="HD1261" s="0"/>
      <c r="HE1261" s="0"/>
      <c r="HF1261" s="0"/>
      <c r="HG1261" s="0"/>
      <c r="HH1261" s="0"/>
      <c r="HI1261" s="0"/>
      <c r="HJ1261" s="0"/>
      <c r="HK1261" s="0"/>
      <c r="HL1261" s="0"/>
      <c r="HM1261" s="0"/>
      <c r="HN1261" s="0"/>
      <c r="HO1261" s="0"/>
      <c r="HP1261" s="0"/>
      <c r="HQ1261" s="0"/>
      <c r="HR1261" s="0"/>
      <c r="HS1261" s="0"/>
      <c r="HT1261" s="0"/>
      <c r="HU1261" s="0"/>
      <c r="HV1261" s="0"/>
      <c r="HW1261" s="0"/>
      <c r="HX1261" s="0"/>
      <c r="HY1261" s="0"/>
      <c r="HZ1261" s="0"/>
      <c r="IA1261" s="0"/>
      <c r="IB1261" s="0"/>
      <c r="IC1261" s="0"/>
      <c r="ID1261" s="0"/>
      <c r="IE1261" s="0"/>
      <c r="IF1261" s="0"/>
      <c r="IG1261" s="0"/>
      <c r="IH1261" s="0"/>
      <c r="II1261" s="0"/>
      <c r="IJ1261" s="0"/>
      <c r="IK1261" s="0"/>
      <c r="IL1261" s="0"/>
      <c r="IM1261" s="0"/>
      <c r="IN1261" s="0"/>
      <c r="IO1261" s="0"/>
      <c r="IP1261" s="0"/>
      <c r="IQ1261" s="0"/>
      <c r="IR1261" s="0"/>
      <c r="IS1261" s="0"/>
      <c r="IT1261" s="0"/>
      <c r="IU1261" s="0"/>
      <c r="IV1261" s="0"/>
    </row>
    <row r="1262" customFormat="false" ht="15" hidden="false" customHeight="true" outlineLevel="0" collapsed="false">
      <c r="A1262" s="1454" t="s">
        <v>915</v>
      </c>
      <c r="B1262" s="1455"/>
      <c r="C1262" s="1455"/>
      <c r="D1262" s="1455"/>
      <c r="E1262" s="1456"/>
      <c r="F1262" s="1457" t="n">
        <f aca="false">E1262/$E$1304</f>
        <v>0</v>
      </c>
      <c r="G1262" s="1458"/>
      <c r="I1262" s="1473"/>
      <c r="J1262" s="1474"/>
      <c r="K1262" s="1453"/>
      <c r="L1262" s="1444"/>
      <c r="M1262" s="0"/>
      <c r="N1262" s="0"/>
      <c r="O1262" s="0"/>
      <c r="P1262" s="0"/>
      <c r="Q1262" s="0"/>
      <c r="R1262" s="0"/>
      <c r="S1262" s="0"/>
      <c r="T1262" s="0"/>
      <c r="U1262" s="0"/>
      <c r="V1262" s="0"/>
      <c r="W1262" s="0"/>
      <c r="X1262" s="0"/>
      <c r="Y1262" s="0"/>
      <c r="Z1262" s="0"/>
      <c r="AA1262" s="0"/>
      <c r="AB1262" s="0"/>
      <c r="AC1262" s="0"/>
      <c r="AD1262" s="0"/>
      <c r="AE1262" s="0"/>
      <c r="AF1262" s="0"/>
      <c r="AG1262" s="0"/>
      <c r="AH1262" s="0"/>
      <c r="AI1262" s="0"/>
      <c r="AJ1262" s="0"/>
      <c r="AK1262" s="0"/>
      <c r="AL1262" s="0"/>
      <c r="AM1262" s="0"/>
      <c r="AN1262" s="0"/>
      <c r="AO1262" s="0"/>
      <c r="AP1262" s="0"/>
      <c r="AQ1262" s="0"/>
      <c r="AR1262" s="0"/>
      <c r="AS1262" s="0"/>
      <c r="AT1262" s="0"/>
      <c r="AU1262" s="0"/>
      <c r="AV1262" s="0"/>
      <c r="AW1262" s="0"/>
      <c r="AX1262" s="0"/>
      <c r="AY1262" s="0"/>
      <c r="AZ1262" s="0"/>
      <c r="BA1262" s="0"/>
      <c r="BB1262" s="0"/>
      <c r="BC1262" s="0"/>
      <c r="BD1262" s="0"/>
      <c r="BE1262" s="0"/>
      <c r="BF1262" s="0"/>
      <c r="BG1262" s="0"/>
      <c r="BH1262" s="0"/>
      <c r="BI1262" s="0"/>
      <c r="BJ1262" s="0"/>
      <c r="BK1262" s="0"/>
      <c r="BL1262" s="0"/>
      <c r="BM1262" s="0"/>
      <c r="BN1262" s="0"/>
      <c r="BO1262" s="0"/>
      <c r="BP1262" s="0"/>
      <c r="BQ1262" s="0"/>
      <c r="BR1262" s="0"/>
      <c r="BS1262" s="0"/>
      <c r="BT1262" s="0"/>
      <c r="BU1262" s="0"/>
      <c r="BV1262" s="0"/>
      <c r="BW1262" s="0"/>
      <c r="BX1262" s="0"/>
      <c r="BY1262" s="0"/>
      <c r="BZ1262" s="0"/>
      <c r="CA1262" s="0"/>
      <c r="CB1262" s="0"/>
      <c r="CC1262" s="0"/>
      <c r="CD1262" s="0"/>
      <c r="CE1262" s="0"/>
      <c r="CF1262" s="0"/>
      <c r="CG1262" s="0"/>
      <c r="CH1262" s="0"/>
      <c r="CI1262" s="0"/>
      <c r="CJ1262" s="0"/>
      <c r="CK1262" s="0"/>
      <c r="CL1262" s="0"/>
      <c r="CM1262" s="0"/>
      <c r="CN1262" s="0"/>
      <c r="CO1262" s="0"/>
      <c r="CP1262" s="0"/>
      <c r="CQ1262" s="0"/>
      <c r="CR1262" s="0"/>
      <c r="CS1262" s="0"/>
      <c r="CT1262" s="0"/>
      <c r="CU1262" s="0"/>
      <c r="CV1262" s="0"/>
      <c r="CW1262" s="0"/>
      <c r="CX1262" s="0"/>
      <c r="CY1262" s="0"/>
      <c r="CZ1262" s="0"/>
      <c r="DA1262" s="0"/>
      <c r="DB1262" s="0"/>
      <c r="DC1262" s="0"/>
      <c r="DD1262" s="0"/>
      <c r="DE1262" s="0"/>
      <c r="DF1262" s="0"/>
      <c r="DG1262" s="0"/>
      <c r="DH1262" s="0"/>
      <c r="DI1262" s="0"/>
      <c r="DJ1262" s="0"/>
      <c r="DK1262" s="0"/>
      <c r="DL1262" s="0"/>
      <c r="DM1262" s="0"/>
      <c r="DN1262" s="0"/>
      <c r="DO1262" s="0"/>
      <c r="DP1262" s="0"/>
      <c r="DQ1262" s="0"/>
      <c r="DR1262" s="0"/>
      <c r="DS1262" s="0"/>
      <c r="DT1262" s="0"/>
      <c r="DU1262" s="0"/>
      <c r="DV1262" s="0"/>
      <c r="DW1262" s="0"/>
      <c r="DX1262" s="0"/>
      <c r="DY1262" s="0"/>
      <c r="DZ1262" s="0"/>
      <c r="EA1262" s="0"/>
      <c r="EB1262" s="0"/>
      <c r="EC1262" s="0"/>
      <c r="ED1262" s="0"/>
      <c r="EE1262" s="0"/>
      <c r="EF1262" s="0"/>
      <c r="EG1262" s="0"/>
      <c r="EH1262" s="0"/>
      <c r="EI1262" s="0"/>
      <c r="EJ1262" s="0"/>
      <c r="EK1262" s="0"/>
      <c r="EL1262" s="0"/>
      <c r="EM1262" s="0"/>
      <c r="EN1262" s="0"/>
      <c r="EO1262" s="0"/>
      <c r="EP1262" s="0"/>
      <c r="EQ1262" s="0"/>
      <c r="ER1262" s="0"/>
      <c r="ES1262" s="0"/>
      <c r="ET1262" s="0"/>
      <c r="EU1262" s="0"/>
      <c r="EV1262" s="0"/>
      <c r="EW1262" s="0"/>
      <c r="EX1262" s="0"/>
      <c r="EY1262" s="0"/>
      <c r="EZ1262" s="0"/>
      <c r="FA1262" s="0"/>
      <c r="FB1262" s="0"/>
      <c r="FC1262" s="0"/>
      <c r="FD1262" s="0"/>
      <c r="FE1262" s="0"/>
      <c r="FF1262" s="0"/>
      <c r="FG1262" s="0"/>
      <c r="FH1262" s="0"/>
      <c r="FI1262" s="0"/>
      <c r="FJ1262" s="0"/>
      <c r="FK1262" s="0"/>
      <c r="FL1262" s="0"/>
      <c r="FM1262" s="0"/>
      <c r="FN1262" s="0"/>
      <c r="FO1262" s="0"/>
      <c r="FP1262" s="0"/>
      <c r="FQ1262" s="0"/>
      <c r="FR1262" s="0"/>
      <c r="FS1262" s="0"/>
      <c r="FT1262" s="0"/>
      <c r="FU1262" s="0"/>
      <c r="FV1262" s="0"/>
      <c r="FW1262" s="0"/>
      <c r="FX1262" s="0"/>
      <c r="FY1262" s="0"/>
      <c r="FZ1262" s="0"/>
      <c r="GA1262" s="0"/>
      <c r="GB1262" s="0"/>
      <c r="GC1262" s="0"/>
      <c r="GD1262" s="0"/>
      <c r="GE1262" s="0"/>
      <c r="GF1262" s="0"/>
      <c r="GG1262" s="0"/>
      <c r="GH1262" s="0"/>
      <c r="GI1262" s="0"/>
      <c r="GJ1262" s="0"/>
      <c r="GK1262" s="0"/>
      <c r="GL1262" s="0"/>
      <c r="GM1262" s="0"/>
      <c r="GN1262" s="0"/>
      <c r="GO1262" s="0"/>
      <c r="GP1262" s="0"/>
      <c r="GQ1262" s="0"/>
      <c r="GR1262" s="0"/>
      <c r="GS1262" s="0"/>
      <c r="GT1262" s="0"/>
      <c r="GU1262" s="0"/>
      <c r="GV1262" s="0"/>
      <c r="GW1262" s="0"/>
      <c r="GX1262" s="0"/>
      <c r="GY1262" s="0"/>
      <c r="GZ1262" s="0"/>
      <c r="HA1262" s="0"/>
      <c r="HB1262" s="0"/>
      <c r="HC1262" s="0"/>
      <c r="HD1262" s="0"/>
      <c r="HE1262" s="0"/>
      <c r="HF1262" s="0"/>
      <c r="HG1262" s="0"/>
      <c r="HH1262" s="0"/>
      <c r="HI1262" s="0"/>
      <c r="HJ1262" s="0"/>
      <c r="HK1262" s="0"/>
      <c r="HL1262" s="0"/>
      <c r="HM1262" s="0"/>
      <c r="HN1262" s="0"/>
      <c r="HO1262" s="0"/>
      <c r="HP1262" s="0"/>
      <c r="HQ1262" s="0"/>
      <c r="HR1262" s="0"/>
      <c r="HS1262" s="0"/>
      <c r="HT1262" s="0"/>
      <c r="HU1262" s="0"/>
      <c r="HV1262" s="0"/>
      <c r="HW1262" s="0"/>
      <c r="HX1262" s="0"/>
      <c r="HY1262" s="0"/>
      <c r="HZ1262" s="0"/>
      <c r="IA1262" s="0"/>
      <c r="IB1262" s="0"/>
      <c r="IC1262" s="0"/>
      <c r="ID1262" s="0"/>
      <c r="IE1262" s="0"/>
      <c r="IF1262" s="0"/>
      <c r="IG1262" s="0"/>
      <c r="IH1262" s="0"/>
      <c r="II1262" s="0"/>
      <c r="IJ1262" s="0"/>
      <c r="IK1262" s="0"/>
      <c r="IL1262" s="0"/>
      <c r="IM1262" s="0"/>
      <c r="IN1262" s="0"/>
      <c r="IO1262" s="0"/>
      <c r="IP1262" s="0"/>
      <c r="IQ1262" s="0"/>
      <c r="IR1262" s="0"/>
      <c r="IS1262" s="0"/>
      <c r="IT1262" s="0"/>
      <c r="IU1262" s="0"/>
      <c r="IV1262" s="0"/>
    </row>
    <row r="1263" customFormat="false" ht="15" hidden="false" customHeight="true" outlineLevel="0" collapsed="false">
      <c r="A1263" s="1454" t="s">
        <v>916</v>
      </c>
      <c r="B1263" s="1455"/>
      <c r="C1263" s="1455"/>
      <c r="D1263" s="1455"/>
      <c r="E1263" s="1456"/>
      <c r="F1263" s="1457" t="n">
        <f aca="false">E1263/$E$1304</f>
        <v>0</v>
      </c>
      <c r="G1263" s="1459"/>
      <c r="I1263" s="1473"/>
      <c r="J1263" s="1474"/>
      <c r="K1263" s="1453"/>
      <c r="L1263" s="1444"/>
      <c r="M1263" s="55"/>
      <c r="N1263" s="0"/>
      <c r="O1263" s="0"/>
      <c r="P1263" s="0"/>
      <c r="Q1263" s="0"/>
      <c r="R1263" s="0"/>
      <c r="S1263" s="0"/>
      <c r="T1263" s="0"/>
      <c r="U1263" s="0"/>
      <c r="V1263" s="0"/>
      <c r="W1263" s="0"/>
      <c r="X1263" s="0"/>
      <c r="Y1263" s="0"/>
      <c r="Z1263" s="0"/>
      <c r="AA1263" s="0"/>
      <c r="AB1263" s="0"/>
      <c r="AC1263" s="0"/>
      <c r="AD1263" s="0"/>
      <c r="AE1263" s="0"/>
      <c r="AF1263" s="0"/>
      <c r="AG1263" s="0"/>
      <c r="AH1263" s="0"/>
      <c r="AI1263" s="0"/>
      <c r="AJ1263" s="0"/>
      <c r="AK1263" s="0"/>
      <c r="AL1263" s="0"/>
      <c r="AM1263" s="0"/>
      <c r="AN1263" s="0"/>
      <c r="AO1263" s="0"/>
      <c r="AP1263" s="0"/>
      <c r="AQ1263" s="0"/>
      <c r="AR1263" s="0"/>
      <c r="AS1263" s="0"/>
      <c r="AT1263" s="0"/>
      <c r="AU1263" s="0"/>
      <c r="AV1263" s="0"/>
      <c r="AW1263" s="0"/>
      <c r="AX1263" s="0"/>
      <c r="AY1263" s="0"/>
      <c r="AZ1263" s="0"/>
      <c r="BA1263" s="0"/>
      <c r="BB1263" s="0"/>
      <c r="BC1263" s="0"/>
      <c r="BD1263" s="0"/>
      <c r="BE1263" s="0"/>
      <c r="BF1263" s="0"/>
      <c r="BG1263" s="0"/>
      <c r="BH1263" s="0"/>
      <c r="BI1263" s="0"/>
      <c r="BJ1263" s="0"/>
      <c r="BK1263" s="0"/>
      <c r="BL1263" s="0"/>
      <c r="BM1263" s="0"/>
      <c r="BN1263" s="0"/>
      <c r="BO1263" s="0"/>
      <c r="BP1263" s="0"/>
      <c r="BQ1263" s="0"/>
      <c r="BR1263" s="0"/>
      <c r="BS1263" s="0"/>
      <c r="BT1263" s="0"/>
      <c r="BU1263" s="0"/>
      <c r="BV1263" s="0"/>
      <c r="BW1263" s="0"/>
      <c r="BX1263" s="0"/>
      <c r="BY1263" s="0"/>
      <c r="BZ1263" s="0"/>
      <c r="CA1263" s="0"/>
      <c r="CB1263" s="0"/>
      <c r="CC1263" s="0"/>
      <c r="CD1263" s="0"/>
      <c r="CE1263" s="0"/>
      <c r="CF1263" s="0"/>
      <c r="CG1263" s="0"/>
      <c r="CH1263" s="0"/>
      <c r="CI1263" s="0"/>
      <c r="CJ1263" s="0"/>
      <c r="CK1263" s="0"/>
      <c r="CL1263" s="0"/>
      <c r="CM1263" s="0"/>
      <c r="CN1263" s="0"/>
      <c r="CO1263" s="0"/>
      <c r="CP1263" s="0"/>
      <c r="CQ1263" s="0"/>
      <c r="CR1263" s="0"/>
      <c r="CS1263" s="0"/>
      <c r="CT1263" s="0"/>
      <c r="CU1263" s="0"/>
      <c r="CV1263" s="0"/>
      <c r="CW1263" s="0"/>
      <c r="CX1263" s="0"/>
      <c r="CY1263" s="0"/>
      <c r="CZ1263" s="0"/>
      <c r="DA1263" s="0"/>
      <c r="DB1263" s="0"/>
      <c r="DC1263" s="0"/>
      <c r="DD1263" s="0"/>
      <c r="DE1263" s="0"/>
      <c r="DF1263" s="0"/>
      <c r="DG1263" s="0"/>
      <c r="DH1263" s="0"/>
      <c r="DI1263" s="0"/>
      <c r="DJ1263" s="0"/>
      <c r="DK1263" s="0"/>
      <c r="DL1263" s="0"/>
      <c r="DM1263" s="0"/>
      <c r="DN1263" s="0"/>
      <c r="DO1263" s="0"/>
      <c r="DP1263" s="0"/>
      <c r="DQ1263" s="0"/>
      <c r="DR1263" s="0"/>
      <c r="DS1263" s="0"/>
      <c r="DT1263" s="0"/>
      <c r="DU1263" s="0"/>
      <c r="DV1263" s="0"/>
      <c r="DW1263" s="0"/>
      <c r="DX1263" s="0"/>
      <c r="DY1263" s="0"/>
      <c r="DZ1263" s="0"/>
      <c r="EA1263" s="0"/>
      <c r="EB1263" s="0"/>
      <c r="EC1263" s="0"/>
      <c r="ED1263" s="0"/>
      <c r="EE1263" s="0"/>
      <c r="EF1263" s="0"/>
      <c r="EG1263" s="0"/>
      <c r="EH1263" s="0"/>
      <c r="EI1263" s="0"/>
      <c r="EJ1263" s="0"/>
      <c r="EK1263" s="0"/>
      <c r="EL1263" s="0"/>
      <c r="EM1263" s="0"/>
      <c r="EN1263" s="0"/>
      <c r="EO1263" s="0"/>
      <c r="EP1263" s="0"/>
      <c r="EQ1263" s="0"/>
      <c r="ER1263" s="0"/>
      <c r="ES1263" s="0"/>
      <c r="ET1263" s="0"/>
      <c r="EU1263" s="0"/>
      <c r="EV1263" s="0"/>
      <c r="EW1263" s="0"/>
      <c r="EX1263" s="0"/>
      <c r="EY1263" s="0"/>
      <c r="EZ1263" s="0"/>
      <c r="FA1263" s="0"/>
      <c r="FB1263" s="0"/>
      <c r="FC1263" s="0"/>
      <c r="FD1263" s="0"/>
      <c r="FE1263" s="0"/>
      <c r="FF1263" s="0"/>
      <c r="FG1263" s="0"/>
      <c r="FH1263" s="0"/>
      <c r="FI1263" s="0"/>
      <c r="FJ1263" s="0"/>
      <c r="FK1263" s="0"/>
      <c r="FL1263" s="0"/>
      <c r="FM1263" s="0"/>
      <c r="FN1263" s="0"/>
      <c r="FO1263" s="0"/>
      <c r="FP1263" s="0"/>
      <c r="FQ1263" s="0"/>
      <c r="FR1263" s="0"/>
      <c r="FS1263" s="0"/>
      <c r="FT1263" s="0"/>
      <c r="FU1263" s="0"/>
      <c r="FV1263" s="0"/>
      <c r="FW1263" s="0"/>
      <c r="FX1263" s="0"/>
      <c r="FY1263" s="0"/>
      <c r="FZ1263" s="0"/>
      <c r="GA1263" s="0"/>
      <c r="GB1263" s="0"/>
      <c r="GC1263" s="0"/>
      <c r="GD1263" s="0"/>
      <c r="GE1263" s="0"/>
      <c r="GF1263" s="0"/>
      <c r="GG1263" s="0"/>
      <c r="GH1263" s="0"/>
      <c r="GI1263" s="0"/>
      <c r="GJ1263" s="0"/>
      <c r="GK1263" s="0"/>
      <c r="GL1263" s="0"/>
      <c r="GM1263" s="0"/>
      <c r="GN1263" s="0"/>
      <c r="GO1263" s="0"/>
      <c r="GP1263" s="0"/>
      <c r="GQ1263" s="0"/>
      <c r="GR1263" s="0"/>
      <c r="GS1263" s="0"/>
      <c r="GT1263" s="0"/>
      <c r="GU1263" s="0"/>
      <c r="GV1263" s="0"/>
      <c r="GW1263" s="0"/>
      <c r="GX1263" s="0"/>
      <c r="GY1263" s="0"/>
      <c r="GZ1263" s="0"/>
      <c r="HA1263" s="0"/>
      <c r="HB1263" s="0"/>
      <c r="HC1263" s="0"/>
      <c r="HD1263" s="0"/>
      <c r="HE1263" s="0"/>
      <c r="HF1263" s="0"/>
      <c r="HG1263" s="0"/>
      <c r="HH1263" s="0"/>
      <c r="HI1263" s="0"/>
      <c r="HJ1263" s="0"/>
      <c r="HK1263" s="0"/>
      <c r="HL1263" s="0"/>
      <c r="HM1263" s="0"/>
      <c r="HN1263" s="0"/>
      <c r="HO1263" s="0"/>
      <c r="HP1263" s="0"/>
      <c r="HQ1263" s="0"/>
      <c r="HR1263" s="0"/>
      <c r="HS1263" s="0"/>
      <c r="HT1263" s="0"/>
      <c r="HU1263" s="0"/>
      <c r="HV1263" s="0"/>
      <c r="HW1263" s="0"/>
      <c r="HX1263" s="0"/>
      <c r="HY1263" s="0"/>
      <c r="HZ1263" s="0"/>
      <c r="IA1263" s="0"/>
      <c r="IB1263" s="0"/>
      <c r="IC1263" s="0"/>
      <c r="ID1263" s="0"/>
      <c r="IE1263" s="0"/>
      <c r="IF1263" s="0"/>
      <c r="IG1263" s="0"/>
      <c r="IH1263" s="0"/>
      <c r="II1263" s="0"/>
      <c r="IJ1263" s="0"/>
      <c r="IK1263" s="0"/>
      <c r="IL1263" s="0"/>
      <c r="IM1263" s="0"/>
      <c r="IN1263" s="0"/>
      <c r="IO1263" s="0"/>
      <c r="IP1263" s="0"/>
      <c r="IQ1263" s="0"/>
      <c r="IR1263" s="0"/>
      <c r="IS1263" s="0"/>
      <c r="IT1263" s="0"/>
      <c r="IU1263" s="0"/>
      <c r="IV1263" s="0"/>
    </row>
    <row r="1264" customFormat="false" ht="15" hidden="false" customHeight="true" outlineLevel="0" collapsed="false">
      <c r="A1264" s="1454" t="s">
        <v>917</v>
      </c>
      <c r="B1264" s="1455"/>
      <c r="C1264" s="1455"/>
      <c r="D1264" s="1455"/>
      <c r="E1264" s="1456"/>
      <c r="F1264" s="1457" t="n">
        <f aca="false">E1264/$E$1304</f>
        <v>0</v>
      </c>
      <c r="G1264" s="1459"/>
      <c r="I1264" s="1473"/>
      <c r="J1264" s="1474"/>
      <c r="K1264" s="1453"/>
      <c r="L1264" s="1444"/>
      <c r="M1264" s="0"/>
      <c r="N1264" s="0"/>
      <c r="O1264" s="0"/>
      <c r="P1264" s="0"/>
      <c r="Q1264" s="0"/>
      <c r="R1264" s="0"/>
      <c r="S1264" s="0"/>
      <c r="T1264" s="0"/>
      <c r="U1264" s="0"/>
      <c r="V1264" s="0"/>
      <c r="W1264" s="0"/>
      <c r="X1264" s="0"/>
      <c r="Y1264" s="0"/>
      <c r="Z1264" s="0"/>
      <c r="AA1264" s="0"/>
      <c r="AB1264" s="0"/>
      <c r="AC1264" s="0"/>
      <c r="AD1264" s="0"/>
      <c r="AE1264" s="0"/>
      <c r="AF1264" s="0"/>
      <c r="AG1264" s="0"/>
      <c r="AH1264" s="0"/>
      <c r="AI1264" s="0"/>
      <c r="AJ1264" s="0"/>
      <c r="AK1264" s="0"/>
      <c r="AL1264" s="0"/>
      <c r="AM1264" s="0"/>
      <c r="AN1264" s="0"/>
      <c r="AO1264" s="0"/>
      <c r="AP1264" s="0"/>
      <c r="AQ1264" s="0"/>
      <c r="AR1264" s="0"/>
      <c r="AS1264" s="0"/>
      <c r="AT1264" s="0"/>
      <c r="AU1264" s="0"/>
      <c r="AV1264" s="0"/>
      <c r="AW1264" s="0"/>
      <c r="AX1264" s="0"/>
      <c r="AY1264" s="0"/>
      <c r="AZ1264" s="0"/>
      <c r="BA1264" s="0"/>
      <c r="BB1264" s="0"/>
      <c r="BC1264" s="0"/>
      <c r="BD1264" s="0"/>
      <c r="BE1264" s="0"/>
      <c r="BF1264" s="0"/>
      <c r="BG1264" s="0"/>
      <c r="BH1264" s="0"/>
      <c r="BI1264" s="0"/>
      <c r="BJ1264" s="0"/>
      <c r="BK1264" s="0"/>
      <c r="BL1264" s="0"/>
      <c r="BM1264" s="0"/>
      <c r="BN1264" s="0"/>
      <c r="BO1264" s="0"/>
      <c r="BP1264" s="0"/>
      <c r="BQ1264" s="0"/>
      <c r="BR1264" s="0"/>
      <c r="BS1264" s="0"/>
      <c r="BT1264" s="0"/>
      <c r="BU1264" s="0"/>
      <c r="BV1264" s="0"/>
      <c r="BW1264" s="0"/>
      <c r="BX1264" s="0"/>
      <c r="BY1264" s="0"/>
      <c r="BZ1264" s="0"/>
      <c r="CA1264" s="0"/>
      <c r="CB1264" s="0"/>
      <c r="CC1264" s="0"/>
      <c r="CD1264" s="0"/>
      <c r="CE1264" s="0"/>
      <c r="CF1264" s="0"/>
      <c r="CG1264" s="0"/>
      <c r="CH1264" s="0"/>
      <c r="CI1264" s="0"/>
      <c r="CJ1264" s="0"/>
      <c r="CK1264" s="0"/>
      <c r="CL1264" s="0"/>
      <c r="CM1264" s="0"/>
      <c r="CN1264" s="0"/>
      <c r="CO1264" s="0"/>
      <c r="CP1264" s="0"/>
      <c r="CQ1264" s="0"/>
      <c r="CR1264" s="0"/>
      <c r="CS1264" s="0"/>
      <c r="CT1264" s="0"/>
      <c r="CU1264" s="0"/>
      <c r="CV1264" s="0"/>
      <c r="CW1264" s="0"/>
      <c r="CX1264" s="0"/>
      <c r="CY1264" s="0"/>
      <c r="CZ1264" s="0"/>
      <c r="DA1264" s="0"/>
      <c r="DB1264" s="0"/>
      <c r="DC1264" s="0"/>
      <c r="DD1264" s="0"/>
      <c r="DE1264" s="0"/>
      <c r="DF1264" s="0"/>
      <c r="DG1264" s="0"/>
      <c r="DH1264" s="0"/>
      <c r="DI1264" s="0"/>
      <c r="DJ1264" s="0"/>
      <c r="DK1264" s="0"/>
      <c r="DL1264" s="0"/>
      <c r="DM1264" s="0"/>
      <c r="DN1264" s="0"/>
      <c r="DO1264" s="0"/>
      <c r="DP1264" s="0"/>
      <c r="DQ1264" s="0"/>
      <c r="DR1264" s="0"/>
      <c r="DS1264" s="0"/>
      <c r="DT1264" s="0"/>
      <c r="DU1264" s="0"/>
      <c r="DV1264" s="0"/>
      <c r="DW1264" s="0"/>
      <c r="DX1264" s="0"/>
      <c r="DY1264" s="0"/>
      <c r="DZ1264" s="0"/>
      <c r="EA1264" s="0"/>
      <c r="EB1264" s="0"/>
      <c r="EC1264" s="0"/>
      <c r="ED1264" s="0"/>
      <c r="EE1264" s="0"/>
      <c r="EF1264" s="0"/>
      <c r="EG1264" s="0"/>
      <c r="EH1264" s="0"/>
      <c r="EI1264" s="0"/>
      <c r="EJ1264" s="0"/>
      <c r="EK1264" s="0"/>
      <c r="EL1264" s="0"/>
      <c r="EM1264" s="0"/>
      <c r="EN1264" s="0"/>
      <c r="EO1264" s="0"/>
      <c r="EP1264" s="0"/>
      <c r="EQ1264" s="0"/>
      <c r="ER1264" s="0"/>
      <c r="ES1264" s="0"/>
      <c r="ET1264" s="0"/>
      <c r="EU1264" s="0"/>
      <c r="EV1264" s="0"/>
      <c r="EW1264" s="0"/>
      <c r="EX1264" s="0"/>
      <c r="EY1264" s="0"/>
      <c r="EZ1264" s="0"/>
      <c r="FA1264" s="0"/>
      <c r="FB1264" s="0"/>
      <c r="FC1264" s="0"/>
      <c r="FD1264" s="0"/>
      <c r="FE1264" s="0"/>
      <c r="FF1264" s="0"/>
      <c r="FG1264" s="0"/>
      <c r="FH1264" s="0"/>
      <c r="FI1264" s="0"/>
      <c r="FJ1264" s="0"/>
      <c r="FK1264" s="0"/>
      <c r="FL1264" s="0"/>
      <c r="FM1264" s="0"/>
      <c r="FN1264" s="0"/>
      <c r="FO1264" s="0"/>
      <c r="FP1264" s="0"/>
      <c r="FQ1264" s="0"/>
      <c r="FR1264" s="0"/>
      <c r="FS1264" s="0"/>
      <c r="FT1264" s="0"/>
      <c r="FU1264" s="0"/>
      <c r="FV1264" s="0"/>
      <c r="FW1264" s="0"/>
      <c r="FX1264" s="0"/>
      <c r="FY1264" s="0"/>
      <c r="FZ1264" s="0"/>
      <c r="GA1264" s="0"/>
      <c r="GB1264" s="0"/>
      <c r="GC1264" s="0"/>
      <c r="GD1264" s="0"/>
      <c r="GE1264" s="0"/>
      <c r="GF1264" s="0"/>
      <c r="GG1264" s="0"/>
      <c r="GH1264" s="0"/>
      <c r="GI1264" s="0"/>
      <c r="GJ1264" s="0"/>
      <c r="GK1264" s="0"/>
      <c r="GL1264" s="0"/>
      <c r="GM1264" s="0"/>
      <c r="GN1264" s="0"/>
      <c r="GO1264" s="0"/>
      <c r="GP1264" s="0"/>
      <c r="GQ1264" s="0"/>
      <c r="GR1264" s="0"/>
      <c r="GS1264" s="0"/>
      <c r="GT1264" s="0"/>
      <c r="GU1264" s="0"/>
      <c r="GV1264" s="0"/>
      <c r="GW1264" s="0"/>
      <c r="GX1264" s="0"/>
      <c r="GY1264" s="0"/>
      <c r="GZ1264" s="0"/>
      <c r="HA1264" s="0"/>
      <c r="HB1264" s="0"/>
      <c r="HC1264" s="0"/>
      <c r="HD1264" s="0"/>
      <c r="HE1264" s="0"/>
      <c r="HF1264" s="0"/>
      <c r="HG1264" s="0"/>
      <c r="HH1264" s="0"/>
      <c r="HI1264" s="0"/>
      <c r="HJ1264" s="0"/>
      <c r="HK1264" s="0"/>
      <c r="HL1264" s="0"/>
      <c r="HM1264" s="0"/>
      <c r="HN1264" s="0"/>
      <c r="HO1264" s="0"/>
      <c r="HP1264" s="0"/>
      <c r="HQ1264" s="0"/>
      <c r="HR1264" s="0"/>
      <c r="HS1264" s="0"/>
      <c r="HT1264" s="0"/>
      <c r="HU1264" s="0"/>
      <c r="HV1264" s="0"/>
      <c r="HW1264" s="0"/>
      <c r="HX1264" s="0"/>
      <c r="HY1264" s="0"/>
      <c r="HZ1264" s="0"/>
      <c r="IA1264" s="0"/>
      <c r="IB1264" s="0"/>
      <c r="IC1264" s="0"/>
      <c r="ID1264" s="0"/>
      <c r="IE1264" s="0"/>
      <c r="IF1264" s="0"/>
      <c r="IG1264" s="0"/>
      <c r="IH1264" s="0"/>
      <c r="II1264" s="0"/>
      <c r="IJ1264" s="0"/>
      <c r="IK1264" s="0"/>
      <c r="IL1264" s="0"/>
      <c r="IM1264" s="0"/>
      <c r="IN1264" s="0"/>
      <c r="IO1264" s="0"/>
      <c r="IP1264" s="0"/>
      <c r="IQ1264" s="0"/>
      <c r="IR1264" s="0"/>
      <c r="IS1264" s="0"/>
      <c r="IT1264" s="0"/>
      <c r="IU1264" s="0"/>
      <c r="IV1264" s="0"/>
    </row>
    <row r="1265" customFormat="false" ht="15.75" hidden="false" customHeight="true" outlineLevel="0" collapsed="false">
      <c r="A1265" s="1471" t="s">
        <v>1782</v>
      </c>
      <c r="B1265" s="1468"/>
      <c r="C1265" s="1468"/>
      <c r="D1265" s="1468"/>
      <c r="E1265" s="1472"/>
      <c r="F1265" s="1470" t="n">
        <f aca="false">E1265/$E$1304</f>
        <v>0</v>
      </c>
      <c r="G1265" s="1475"/>
      <c r="I1265" s="1473"/>
      <c r="J1265" s="1474"/>
      <c r="K1265" s="1453"/>
      <c r="L1265" s="1444"/>
      <c r="M1265" s="0"/>
      <c r="N1265" s="0"/>
      <c r="O1265" s="0"/>
      <c r="P1265" s="0"/>
      <c r="Q1265" s="0"/>
      <c r="R1265" s="0"/>
      <c r="S1265" s="0"/>
      <c r="T1265" s="0"/>
      <c r="U1265" s="0"/>
      <c r="V1265" s="0"/>
      <c r="W1265" s="0"/>
      <c r="X1265" s="0"/>
      <c r="Y1265" s="0"/>
      <c r="Z1265" s="0"/>
      <c r="AA1265" s="0"/>
      <c r="AB1265" s="0"/>
      <c r="AC1265" s="0"/>
      <c r="AD1265" s="0"/>
      <c r="AE1265" s="0"/>
      <c r="AF1265" s="0"/>
      <c r="AG1265" s="0"/>
      <c r="AH1265" s="0"/>
      <c r="AI1265" s="0"/>
      <c r="AJ1265" s="0"/>
      <c r="AK1265" s="0"/>
      <c r="AL1265" s="0"/>
      <c r="AM1265" s="0"/>
      <c r="AN1265" s="0"/>
      <c r="AO1265" s="0"/>
      <c r="AP1265" s="0"/>
      <c r="AQ1265" s="0"/>
      <c r="AR1265" s="0"/>
      <c r="AS1265" s="0"/>
      <c r="AT1265" s="0"/>
      <c r="AU1265" s="0"/>
      <c r="AV1265" s="0"/>
      <c r="AW1265" s="0"/>
      <c r="AX1265" s="0"/>
      <c r="AY1265" s="0"/>
      <c r="AZ1265" s="0"/>
      <c r="BA1265" s="0"/>
      <c r="BB1265" s="0"/>
      <c r="BC1265" s="0"/>
      <c r="BD1265" s="0"/>
      <c r="BE1265" s="0"/>
      <c r="BF1265" s="0"/>
      <c r="BG1265" s="0"/>
      <c r="BH1265" s="0"/>
      <c r="BI1265" s="0"/>
      <c r="BJ1265" s="0"/>
      <c r="BK1265" s="0"/>
      <c r="BL1265" s="0"/>
      <c r="BM1265" s="0"/>
      <c r="BN1265" s="0"/>
      <c r="BO1265" s="0"/>
      <c r="BP1265" s="0"/>
      <c r="BQ1265" s="0"/>
      <c r="BR1265" s="0"/>
      <c r="BS1265" s="0"/>
      <c r="BT1265" s="0"/>
      <c r="BU1265" s="0"/>
      <c r="BV1265" s="0"/>
      <c r="BW1265" s="0"/>
      <c r="BX1265" s="0"/>
      <c r="BY1265" s="0"/>
      <c r="BZ1265" s="0"/>
      <c r="CA1265" s="0"/>
      <c r="CB1265" s="0"/>
      <c r="CC1265" s="0"/>
      <c r="CD1265" s="0"/>
      <c r="CE1265" s="0"/>
      <c r="CF1265" s="0"/>
      <c r="CG1265" s="0"/>
      <c r="CH1265" s="0"/>
      <c r="CI1265" s="0"/>
      <c r="CJ1265" s="0"/>
      <c r="CK1265" s="0"/>
      <c r="CL1265" s="0"/>
      <c r="CM1265" s="0"/>
      <c r="CN1265" s="0"/>
      <c r="CO1265" s="0"/>
      <c r="CP1265" s="0"/>
      <c r="CQ1265" s="0"/>
      <c r="CR1265" s="0"/>
      <c r="CS1265" s="0"/>
      <c r="CT1265" s="0"/>
      <c r="CU1265" s="0"/>
      <c r="CV1265" s="0"/>
      <c r="CW1265" s="0"/>
      <c r="CX1265" s="0"/>
      <c r="CY1265" s="0"/>
      <c r="CZ1265" s="0"/>
      <c r="DA1265" s="0"/>
      <c r="DB1265" s="0"/>
      <c r="DC1265" s="0"/>
      <c r="DD1265" s="0"/>
      <c r="DE1265" s="0"/>
      <c r="DF1265" s="0"/>
      <c r="DG1265" s="0"/>
      <c r="DH1265" s="0"/>
      <c r="DI1265" s="0"/>
      <c r="DJ1265" s="0"/>
      <c r="DK1265" s="0"/>
      <c r="DL1265" s="0"/>
      <c r="DM1265" s="0"/>
      <c r="DN1265" s="0"/>
      <c r="DO1265" s="0"/>
      <c r="DP1265" s="0"/>
      <c r="DQ1265" s="0"/>
      <c r="DR1265" s="0"/>
      <c r="DS1265" s="0"/>
      <c r="DT1265" s="0"/>
      <c r="DU1265" s="0"/>
      <c r="DV1265" s="0"/>
      <c r="DW1265" s="0"/>
      <c r="DX1265" s="0"/>
      <c r="DY1265" s="0"/>
      <c r="DZ1265" s="0"/>
      <c r="EA1265" s="0"/>
      <c r="EB1265" s="0"/>
      <c r="EC1265" s="0"/>
      <c r="ED1265" s="0"/>
      <c r="EE1265" s="0"/>
      <c r="EF1265" s="0"/>
      <c r="EG1265" s="0"/>
      <c r="EH1265" s="0"/>
      <c r="EI1265" s="0"/>
      <c r="EJ1265" s="0"/>
      <c r="EK1265" s="0"/>
      <c r="EL1265" s="0"/>
      <c r="EM1265" s="0"/>
      <c r="EN1265" s="0"/>
      <c r="EO1265" s="0"/>
      <c r="EP1265" s="0"/>
      <c r="EQ1265" s="0"/>
      <c r="ER1265" s="0"/>
      <c r="ES1265" s="0"/>
      <c r="ET1265" s="0"/>
      <c r="EU1265" s="0"/>
      <c r="EV1265" s="0"/>
      <c r="EW1265" s="0"/>
      <c r="EX1265" s="0"/>
      <c r="EY1265" s="0"/>
      <c r="EZ1265" s="0"/>
      <c r="FA1265" s="0"/>
      <c r="FB1265" s="0"/>
      <c r="FC1265" s="0"/>
      <c r="FD1265" s="0"/>
      <c r="FE1265" s="0"/>
      <c r="FF1265" s="0"/>
      <c r="FG1265" s="0"/>
      <c r="FH1265" s="0"/>
      <c r="FI1265" s="0"/>
      <c r="FJ1265" s="0"/>
      <c r="FK1265" s="0"/>
      <c r="FL1265" s="0"/>
      <c r="FM1265" s="0"/>
      <c r="FN1265" s="0"/>
      <c r="FO1265" s="0"/>
      <c r="FP1265" s="0"/>
      <c r="FQ1265" s="0"/>
      <c r="FR1265" s="0"/>
      <c r="FS1265" s="0"/>
      <c r="FT1265" s="0"/>
      <c r="FU1265" s="0"/>
      <c r="FV1265" s="0"/>
      <c r="FW1265" s="0"/>
      <c r="FX1265" s="0"/>
      <c r="FY1265" s="0"/>
      <c r="FZ1265" s="0"/>
      <c r="GA1265" s="0"/>
      <c r="GB1265" s="0"/>
      <c r="GC1265" s="0"/>
      <c r="GD1265" s="0"/>
      <c r="GE1265" s="0"/>
      <c r="GF1265" s="0"/>
      <c r="GG1265" s="0"/>
      <c r="GH1265" s="0"/>
      <c r="GI1265" s="0"/>
      <c r="GJ1265" s="0"/>
      <c r="GK1265" s="0"/>
      <c r="GL1265" s="0"/>
      <c r="GM1265" s="0"/>
      <c r="GN1265" s="0"/>
      <c r="GO1265" s="0"/>
      <c r="GP1265" s="0"/>
      <c r="GQ1265" s="0"/>
      <c r="GR1265" s="0"/>
      <c r="GS1265" s="0"/>
      <c r="GT1265" s="0"/>
      <c r="GU1265" s="0"/>
      <c r="GV1265" s="0"/>
      <c r="GW1265" s="0"/>
      <c r="GX1265" s="0"/>
      <c r="GY1265" s="0"/>
      <c r="GZ1265" s="0"/>
      <c r="HA1265" s="0"/>
      <c r="HB1265" s="0"/>
      <c r="HC1265" s="0"/>
      <c r="HD1265" s="0"/>
      <c r="HE1265" s="0"/>
      <c r="HF1265" s="0"/>
      <c r="HG1265" s="0"/>
      <c r="HH1265" s="0"/>
      <c r="HI1265" s="0"/>
      <c r="HJ1265" s="0"/>
      <c r="HK1265" s="0"/>
      <c r="HL1265" s="0"/>
      <c r="HM1265" s="0"/>
      <c r="HN1265" s="0"/>
      <c r="HO1265" s="0"/>
      <c r="HP1265" s="0"/>
      <c r="HQ1265" s="0"/>
      <c r="HR1265" s="0"/>
      <c r="HS1265" s="0"/>
      <c r="HT1265" s="0"/>
      <c r="HU1265" s="0"/>
      <c r="HV1265" s="0"/>
      <c r="HW1265" s="0"/>
      <c r="HX1265" s="0"/>
      <c r="HY1265" s="0"/>
      <c r="HZ1265" s="0"/>
      <c r="IA1265" s="0"/>
      <c r="IB1265" s="0"/>
      <c r="IC1265" s="0"/>
      <c r="ID1265" s="0"/>
      <c r="IE1265" s="0"/>
      <c r="IF1265" s="0"/>
      <c r="IG1265" s="0"/>
      <c r="IH1265" s="0"/>
      <c r="II1265" s="0"/>
      <c r="IJ1265" s="0"/>
      <c r="IK1265" s="0"/>
      <c r="IL1265" s="0"/>
      <c r="IM1265" s="0"/>
      <c r="IN1265" s="0"/>
      <c r="IO1265" s="0"/>
      <c r="IP1265" s="0"/>
      <c r="IQ1265" s="0"/>
      <c r="IR1265" s="0"/>
      <c r="IS1265" s="0"/>
      <c r="IT1265" s="0"/>
      <c r="IU1265" s="0"/>
      <c r="IV1265" s="0"/>
    </row>
    <row r="1266" customFormat="false" ht="15.75" hidden="false" customHeight="true" outlineLevel="0" collapsed="false">
      <c r="A1266" s="1448" t="s">
        <v>1783</v>
      </c>
      <c r="B1266" s="1449"/>
      <c r="C1266" s="1449"/>
      <c r="D1266" s="1449"/>
      <c r="E1266" s="1450" t="n">
        <f aca="false">SUM(E1267:E1274)</f>
        <v>0</v>
      </c>
      <c r="F1266" s="1451"/>
      <c r="G1266" s="1452"/>
      <c r="I1266" s="1476"/>
      <c r="J1266" s="1476"/>
      <c r="K1266" s="1453"/>
      <c r="L1266" s="1444"/>
      <c r="M1266" s="0"/>
      <c r="N1266" s="0"/>
      <c r="O1266" s="0"/>
      <c r="P1266" s="0"/>
      <c r="Q1266" s="0"/>
      <c r="R1266" s="0"/>
      <c r="S1266" s="0"/>
      <c r="T1266" s="0"/>
      <c r="U1266" s="0"/>
      <c r="V1266" s="0"/>
      <c r="W1266" s="0"/>
      <c r="X1266" s="0"/>
      <c r="Y1266" s="0"/>
      <c r="Z1266" s="0"/>
      <c r="AA1266" s="0"/>
      <c r="AB1266" s="0"/>
      <c r="AC1266" s="0"/>
      <c r="AD1266" s="0"/>
      <c r="AE1266" s="0"/>
      <c r="AF1266" s="0"/>
      <c r="AG1266" s="0"/>
      <c r="AH1266" s="0"/>
      <c r="AI1266" s="0"/>
      <c r="AJ1266" s="0"/>
      <c r="AK1266" s="0"/>
      <c r="AL1266" s="0"/>
      <c r="AM1266" s="0"/>
      <c r="AN1266" s="0"/>
      <c r="AO1266" s="0"/>
      <c r="AP1266" s="0"/>
      <c r="AQ1266" s="0"/>
      <c r="AR1266" s="0"/>
      <c r="AS1266" s="0"/>
      <c r="AT1266" s="0"/>
      <c r="AU1266" s="0"/>
      <c r="AV1266" s="0"/>
      <c r="AW1266" s="0"/>
      <c r="AX1266" s="0"/>
      <c r="AY1266" s="0"/>
      <c r="AZ1266" s="0"/>
      <c r="BA1266" s="0"/>
      <c r="BB1266" s="0"/>
      <c r="BC1266" s="0"/>
      <c r="BD1266" s="0"/>
      <c r="BE1266" s="0"/>
      <c r="BF1266" s="0"/>
      <c r="BG1266" s="0"/>
      <c r="BH1266" s="0"/>
      <c r="BI1266" s="0"/>
      <c r="BJ1266" s="0"/>
      <c r="BK1266" s="0"/>
      <c r="BL1266" s="0"/>
      <c r="BM1266" s="0"/>
      <c r="BN1266" s="0"/>
      <c r="BO1266" s="0"/>
      <c r="BP1266" s="0"/>
      <c r="BQ1266" s="0"/>
      <c r="BR1266" s="0"/>
      <c r="BS1266" s="0"/>
      <c r="BT1266" s="0"/>
      <c r="BU1266" s="0"/>
      <c r="BV1266" s="0"/>
      <c r="BW1266" s="0"/>
      <c r="BX1266" s="0"/>
      <c r="BY1266" s="0"/>
      <c r="BZ1266" s="0"/>
      <c r="CA1266" s="0"/>
      <c r="CB1266" s="0"/>
      <c r="CC1266" s="0"/>
      <c r="CD1266" s="0"/>
      <c r="CE1266" s="0"/>
      <c r="CF1266" s="0"/>
      <c r="CG1266" s="0"/>
      <c r="CH1266" s="0"/>
      <c r="CI1266" s="0"/>
      <c r="CJ1266" s="0"/>
      <c r="CK1266" s="0"/>
      <c r="CL1266" s="0"/>
      <c r="CM1266" s="0"/>
      <c r="CN1266" s="0"/>
      <c r="CO1266" s="0"/>
      <c r="CP1266" s="0"/>
      <c r="CQ1266" s="0"/>
      <c r="CR1266" s="0"/>
      <c r="CS1266" s="0"/>
      <c r="CT1266" s="0"/>
      <c r="CU1266" s="0"/>
      <c r="CV1266" s="0"/>
      <c r="CW1266" s="0"/>
      <c r="CX1266" s="0"/>
      <c r="CY1266" s="0"/>
      <c r="CZ1266" s="0"/>
      <c r="DA1266" s="0"/>
      <c r="DB1266" s="0"/>
      <c r="DC1266" s="0"/>
      <c r="DD1266" s="0"/>
      <c r="DE1266" s="0"/>
      <c r="DF1266" s="0"/>
      <c r="DG1266" s="0"/>
      <c r="DH1266" s="0"/>
      <c r="DI1266" s="0"/>
      <c r="DJ1266" s="0"/>
      <c r="DK1266" s="0"/>
      <c r="DL1266" s="0"/>
      <c r="DM1266" s="0"/>
      <c r="DN1266" s="0"/>
      <c r="DO1266" s="0"/>
      <c r="DP1266" s="0"/>
      <c r="DQ1266" s="0"/>
      <c r="DR1266" s="0"/>
      <c r="DS1266" s="0"/>
      <c r="DT1266" s="0"/>
      <c r="DU1266" s="0"/>
      <c r="DV1266" s="0"/>
      <c r="DW1266" s="0"/>
      <c r="DX1266" s="0"/>
      <c r="DY1266" s="0"/>
      <c r="DZ1266" s="0"/>
      <c r="EA1266" s="0"/>
      <c r="EB1266" s="0"/>
      <c r="EC1266" s="0"/>
      <c r="ED1266" s="0"/>
      <c r="EE1266" s="0"/>
      <c r="EF1266" s="0"/>
      <c r="EG1266" s="0"/>
      <c r="EH1266" s="0"/>
      <c r="EI1266" s="0"/>
      <c r="EJ1266" s="0"/>
      <c r="EK1266" s="0"/>
      <c r="EL1266" s="0"/>
      <c r="EM1266" s="0"/>
      <c r="EN1266" s="0"/>
      <c r="EO1266" s="0"/>
      <c r="EP1266" s="0"/>
      <c r="EQ1266" s="0"/>
      <c r="ER1266" s="0"/>
      <c r="ES1266" s="0"/>
      <c r="ET1266" s="0"/>
      <c r="EU1266" s="0"/>
      <c r="EV1266" s="0"/>
      <c r="EW1266" s="0"/>
      <c r="EX1266" s="0"/>
      <c r="EY1266" s="0"/>
      <c r="EZ1266" s="0"/>
      <c r="FA1266" s="0"/>
      <c r="FB1266" s="0"/>
      <c r="FC1266" s="0"/>
      <c r="FD1266" s="0"/>
      <c r="FE1266" s="0"/>
      <c r="FF1266" s="0"/>
      <c r="FG1266" s="0"/>
      <c r="FH1266" s="0"/>
      <c r="FI1266" s="0"/>
      <c r="FJ1266" s="0"/>
      <c r="FK1266" s="0"/>
      <c r="FL1266" s="0"/>
      <c r="FM1266" s="0"/>
      <c r="FN1266" s="0"/>
      <c r="FO1266" s="0"/>
      <c r="FP1266" s="0"/>
      <c r="FQ1266" s="0"/>
      <c r="FR1266" s="0"/>
      <c r="FS1266" s="0"/>
      <c r="FT1266" s="0"/>
      <c r="FU1266" s="0"/>
      <c r="FV1266" s="0"/>
      <c r="FW1266" s="0"/>
      <c r="FX1266" s="0"/>
      <c r="FY1266" s="0"/>
      <c r="FZ1266" s="0"/>
      <c r="GA1266" s="0"/>
      <c r="GB1266" s="0"/>
      <c r="GC1266" s="0"/>
      <c r="GD1266" s="0"/>
      <c r="GE1266" s="0"/>
      <c r="GF1266" s="0"/>
      <c r="GG1266" s="0"/>
      <c r="GH1266" s="0"/>
      <c r="GI1266" s="0"/>
      <c r="GJ1266" s="0"/>
      <c r="GK1266" s="0"/>
      <c r="GL1266" s="0"/>
      <c r="GM1266" s="0"/>
      <c r="GN1266" s="0"/>
      <c r="GO1266" s="0"/>
      <c r="GP1266" s="0"/>
      <c r="GQ1266" s="0"/>
      <c r="GR1266" s="0"/>
      <c r="GS1266" s="0"/>
      <c r="GT1266" s="0"/>
      <c r="GU1266" s="0"/>
      <c r="GV1266" s="0"/>
      <c r="GW1266" s="0"/>
      <c r="GX1266" s="0"/>
      <c r="GY1266" s="0"/>
      <c r="GZ1266" s="0"/>
      <c r="HA1266" s="0"/>
      <c r="HB1266" s="0"/>
      <c r="HC1266" s="0"/>
      <c r="HD1266" s="0"/>
      <c r="HE1266" s="0"/>
      <c r="HF1266" s="0"/>
      <c r="HG1266" s="0"/>
      <c r="HH1266" s="0"/>
      <c r="HI1266" s="0"/>
      <c r="HJ1266" s="0"/>
      <c r="HK1266" s="0"/>
      <c r="HL1266" s="0"/>
      <c r="HM1266" s="0"/>
      <c r="HN1266" s="0"/>
      <c r="HO1266" s="0"/>
      <c r="HP1266" s="0"/>
      <c r="HQ1266" s="0"/>
      <c r="HR1266" s="0"/>
      <c r="HS1266" s="0"/>
      <c r="HT1266" s="0"/>
      <c r="HU1266" s="0"/>
      <c r="HV1266" s="0"/>
      <c r="HW1266" s="0"/>
      <c r="HX1266" s="0"/>
      <c r="HY1266" s="0"/>
      <c r="HZ1266" s="0"/>
      <c r="IA1266" s="0"/>
      <c r="IB1266" s="0"/>
      <c r="IC1266" s="0"/>
      <c r="ID1266" s="0"/>
      <c r="IE1266" s="0"/>
      <c r="IF1266" s="0"/>
      <c r="IG1266" s="0"/>
      <c r="IH1266" s="0"/>
      <c r="II1266" s="0"/>
      <c r="IJ1266" s="0"/>
      <c r="IK1266" s="0"/>
      <c r="IL1266" s="0"/>
      <c r="IM1266" s="0"/>
      <c r="IN1266" s="0"/>
      <c r="IO1266" s="0"/>
      <c r="IP1266" s="0"/>
      <c r="IQ1266" s="0"/>
      <c r="IR1266" s="0"/>
      <c r="IS1266" s="0"/>
      <c r="IT1266" s="0"/>
      <c r="IU1266" s="0"/>
      <c r="IV1266" s="0"/>
    </row>
    <row r="1267" customFormat="false" ht="15.75" hidden="false" customHeight="true" outlineLevel="0" collapsed="false">
      <c r="A1267" s="1454" t="s">
        <v>919</v>
      </c>
      <c r="B1267" s="1455"/>
      <c r="C1267" s="1455"/>
      <c r="D1267" s="1455"/>
      <c r="E1267" s="1456"/>
      <c r="F1267" s="1457" t="n">
        <f aca="false">E1267/$E$1304</f>
        <v>0</v>
      </c>
      <c r="G1267" s="1459"/>
      <c r="I1267" s="1476"/>
      <c r="J1267" s="1476"/>
      <c r="K1267" s="1453"/>
      <c r="L1267" s="1444"/>
      <c r="M1267" s="0"/>
      <c r="N1267" s="0"/>
      <c r="O1267" s="0"/>
      <c r="P1267" s="0"/>
      <c r="Q1267" s="0"/>
      <c r="R1267" s="0"/>
      <c r="S1267" s="0"/>
      <c r="T1267" s="0"/>
      <c r="U1267" s="0"/>
      <c r="V1267" s="0"/>
      <c r="W1267" s="0"/>
      <c r="X1267" s="0"/>
      <c r="Y1267" s="0"/>
      <c r="Z1267" s="0"/>
      <c r="AA1267" s="0"/>
      <c r="AB1267" s="0"/>
      <c r="AC1267" s="0"/>
      <c r="AD1267" s="0"/>
      <c r="AE1267" s="0"/>
      <c r="AF1267" s="0"/>
      <c r="AG1267" s="0"/>
      <c r="AH1267" s="0"/>
      <c r="AI1267" s="0"/>
      <c r="AJ1267" s="0"/>
      <c r="AK1267" s="0"/>
      <c r="AL1267" s="0"/>
      <c r="AM1267" s="0"/>
      <c r="AN1267" s="0"/>
      <c r="AO1267" s="0"/>
      <c r="AP1267" s="0"/>
      <c r="AQ1267" s="0"/>
      <c r="AR1267" s="0"/>
      <c r="AS1267" s="0"/>
      <c r="AT1267" s="0"/>
      <c r="AU1267" s="0"/>
      <c r="AV1267" s="0"/>
      <c r="AW1267" s="0"/>
      <c r="AX1267" s="0"/>
      <c r="AY1267" s="0"/>
      <c r="AZ1267" s="0"/>
      <c r="BA1267" s="0"/>
      <c r="BB1267" s="0"/>
      <c r="BC1267" s="0"/>
      <c r="BD1267" s="0"/>
      <c r="BE1267" s="0"/>
      <c r="BF1267" s="0"/>
      <c r="BG1267" s="0"/>
      <c r="BH1267" s="0"/>
      <c r="BI1267" s="0"/>
      <c r="BJ1267" s="0"/>
      <c r="BK1267" s="0"/>
      <c r="BL1267" s="0"/>
      <c r="BM1267" s="0"/>
      <c r="BN1267" s="0"/>
      <c r="BO1267" s="0"/>
      <c r="BP1267" s="0"/>
      <c r="BQ1267" s="0"/>
      <c r="BR1267" s="0"/>
      <c r="BS1267" s="0"/>
      <c r="BT1267" s="0"/>
      <c r="BU1267" s="0"/>
      <c r="BV1267" s="0"/>
      <c r="BW1267" s="0"/>
      <c r="BX1267" s="0"/>
      <c r="BY1267" s="0"/>
      <c r="BZ1267" s="0"/>
      <c r="CA1267" s="0"/>
      <c r="CB1267" s="0"/>
      <c r="CC1267" s="0"/>
      <c r="CD1267" s="0"/>
      <c r="CE1267" s="0"/>
      <c r="CF1267" s="0"/>
      <c r="CG1267" s="0"/>
      <c r="CH1267" s="0"/>
      <c r="CI1267" s="0"/>
      <c r="CJ1267" s="0"/>
      <c r="CK1267" s="0"/>
      <c r="CL1267" s="0"/>
      <c r="CM1267" s="0"/>
      <c r="CN1267" s="0"/>
      <c r="CO1267" s="0"/>
      <c r="CP1267" s="0"/>
      <c r="CQ1267" s="0"/>
      <c r="CR1267" s="0"/>
      <c r="CS1267" s="0"/>
      <c r="CT1267" s="0"/>
      <c r="CU1267" s="0"/>
      <c r="CV1267" s="0"/>
      <c r="CW1267" s="0"/>
      <c r="CX1267" s="0"/>
      <c r="CY1267" s="0"/>
      <c r="CZ1267" s="0"/>
      <c r="DA1267" s="0"/>
      <c r="DB1267" s="0"/>
      <c r="DC1267" s="0"/>
      <c r="DD1267" s="0"/>
      <c r="DE1267" s="0"/>
      <c r="DF1267" s="0"/>
      <c r="DG1267" s="0"/>
      <c r="DH1267" s="0"/>
      <c r="DI1267" s="0"/>
      <c r="DJ1267" s="0"/>
      <c r="DK1267" s="0"/>
      <c r="DL1267" s="0"/>
      <c r="DM1267" s="0"/>
      <c r="DN1267" s="0"/>
      <c r="DO1267" s="0"/>
      <c r="DP1267" s="0"/>
      <c r="DQ1267" s="0"/>
      <c r="DR1267" s="0"/>
      <c r="DS1267" s="0"/>
      <c r="DT1267" s="0"/>
      <c r="DU1267" s="0"/>
      <c r="DV1267" s="0"/>
      <c r="DW1267" s="0"/>
      <c r="DX1267" s="0"/>
      <c r="DY1267" s="0"/>
      <c r="DZ1267" s="0"/>
      <c r="EA1267" s="0"/>
      <c r="EB1267" s="0"/>
      <c r="EC1267" s="0"/>
      <c r="ED1267" s="0"/>
      <c r="EE1267" s="0"/>
      <c r="EF1267" s="0"/>
      <c r="EG1267" s="0"/>
      <c r="EH1267" s="0"/>
      <c r="EI1267" s="0"/>
      <c r="EJ1267" s="0"/>
      <c r="EK1267" s="0"/>
      <c r="EL1267" s="0"/>
      <c r="EM1267" s="0"/>
      <c r="EN1267" s="0"/>
      <c r="EO1267" s="0"/>
      <c r="EP1267" s="0"/>
      <c r="EQ1267" s="0"/>
      <c r="ER1267" s="0"/>
      <c r="ES1267" s="0"/>
      <c r="ET1267" s="0"/>
      <c r="EU1267" s="0"/>
      <c r="EV1267" s="0"/>
      <c r="EW1267" s="0"/>
      <c r="EX1267" s="0"/>
      <c r="EY1267" s="0"/>
      <c r="EZ1267" s="0"/>
      <c r="FA1267" s="0"/>
      <c r="FB1267" s="0"/>
      <c r="FC1267" s="0"/>
      <c r="FD1267" s="0"/>
      <c r="FE1267" s="0"/>
      <c r="FF1267" s="0"/>
      <c r="FG1267" s="0"/>
      <c r="FH1267" s="0"/>
      <c r="FI1267" s="0"/>
      <c r="FJ1267" s="0"/>
      <c r="FK1267" s="0"/>
      <c r="FL1267" s="0"/>
      <c r="FM1267" s="0"/>
      <c r="FN1267" s="0"/>
      <c r="FO1267" s="0"/>
      <c r="FP1267" s="0"/>
      <c r="FQ1267" s="0"/>
      <c r="FR1267" s="0"/>
      <c r="FS1267" s="0"/>
      <c r="FT1267" s="0"/>
      <c r="FU1267" s="0"/>
      <c r="FV1267" s="0"/>
      <c r="FW1267" s="0"/>
      <c r="FX1267" s="0"/>
      <c r="FY1267" s="0"/>
      <c r="FZ1267" s="0"/>
      <c r="GA1267" s="0"/>
      <c r="GB1267" s="0"/>
      <c r="GC1267" s="0"/>
      <c r="GD1267" s="0"/>
      <c r="GE1267" s="0"/>
      <c r="GF1267" s="0"/>
      <c r="GG1267" s="0"/>
      <c r="GH1267" s="0"/>
      <c r="GI1267" s="0"/>
      <c r="GJ1267" s="0"/>
      <c r="GK1267" s="0"/>
      <c r="GL1267" s="0"/>
      <c r="GM1267" s="0"/>
      <c r="GN1267" s="0"/>
      <c r="GO1267" s="0"/>
      <c r="GP1267" s="0"/>
      <c r="GQ1267" s="0"/>
      <c r="GR1267" s="0"/>
      <c r="GS1267" s="0"/>
      <c r="GT1267" s="0"/>
      <c r="GU1267" s="0"/>
      <c r="GV1267" s="0"/>
      <c r="GW1267" s="0"/>
      <c r="GX1267" s="0"/>
      <c r="GY1267" s="0"/>
      <c r="GZ1267" s="0"/>
      <c r="HA1267" s="0"/>
      <c r="HB1267" s="0"/>
      <c r="HC1267" s="0"/>
      <c r="HD1267" s="0"/>
      <c r="HE1267" s="0"/>
      <c r="HF1267" s="0"/>
      <c r="HG1267" s="0"/>
      <c r="HH1267" s="0"/>
      <c r="HI1267" s="0"/>
      <c r="HJ1267" s="0"/>
      <c r="HK1267" s="0"/>
      <c r="HL1267" s="0"/>
      <c r="HM1267" s="0"/>
      <c r="HN1267" s="0"/>
      <c r="HO1267" s="0"/>
      <c r="HP1267" s="0"/>
      <c r="HQ1267" s="0"/>
      <c r="HR1267" s="0"/>
      <c r="HS1267" s="0"/>
      <c r="HT1267" s="0"/>
      <c r="HU1267" s="0"/>
      <c r="HV1267" s="0"/>
      <c r="HW1267" s="0"/>
      <c r="HX1267" s="0"/>
      <c r="HY1267" s="0"/>
      <c r="HZ1267" s="0"/>
      <c r="IA1267" s="0"/>
      <c r="IB1267" s="0"/>
      <c r="IC1267" s="0"/>
      <c r="ID1267" s="0"/>
      <c r="IE1267" s="0"/>
      <c r="IF1267" s="0"/>
      <c r="IG1267" s="0"/>
      <c r="IH1267" s="0"/>
      <c r="II1267" s="0"/>
      <c r="IJ1267" s="0"/>
      <c r="IK1267" s="0"/>
      <c r="IL1267" s="0"/>
      <c r="IM1267" s="0"/>
      <c r="IN1267" s="0"/>
      <c r="IO1267" s="0"/>
      <c r="IP1267" s="0"/>
      <c r="IQ1267" s="0"/>
      <c r="IR1267" s="0"/>
      <c r="IS1267" s="0"/>
      <c r="IT1267" s="0"/>
      <c r="IU1267" s="0"/>
      <c r="IV1267" s="0"/>
    </row>
    <row r="1268" customFormat="false" ht="15" hidden="false" customHeight="true" outlineLevel="0" collapsed="false">
      <c r="A1268" s="1454" t="s">
        <v>920</v>
      </c>
      <c r="B1268" s="1455"/>
      <c r="C1268" s="1455"/>
      <c r="D1268" s="1455"/>
      <c r="E1268" s="1456"/>
      <c r="F1268" s="1457" t="n">
        <f aca="false">E1268/$E$1304</f>
        <v>0</v>
      </c>
      <c r="G1268" s="1459"/>
      <c r="I1268" s="891"/>
      <c r="J1268" s="0"/>
      <c r="K1268" s="1453"/>
      <c r="L1268" s="1444"/>
      <c r="M1268" s="0"/>
      <c r="N1268" s="0"/>
      <c r="O1268" s="0"/>
      <c r="P1268" s="0"/>
      <c r="Q1268" s="0"/>
      <c r="R1268" s="0"/>
      <c r="S1268" s="0"/>
      <c r="T1268" s="0"/>
      <c r="U1268" s="0"/>
      <c r="V1268" s="0"/>
      <c r="W1268" s="0"/>
      <c r="X1268" s="0"/>
      <c r="Y1268" s="0"/>
      <c r="Z1268" s="0"/>
      <c r="AA1268" s="0"/>
      <c r="AB1268" s="0"/>
      <c r="AC1268" s="0"/>
      <c r="AD1268" s="0"/>
      <c r="AE1268" s="0"/>
      <c r="AF1268" s="0"/>
      <c r="AG1268" s="0"/>
      <c r="AH1268" s="0"/>
      <c r="AI1268" s="0"/>
      <c r="AJ1268" s="0"/>
      <c r="AK1268" s="0"/>
      <c r="AL1268" s="0"/>
      <c r="AM1268" s="0"/>
      <c r="AN1268" s="0"/>
      <c r="AO1268" s="0"/>
      <c r="AP1268" s="0"/>
      <c r="AQ1268" s="0"/>
      <c r="AR1268" s="0"/>
      <c r="AS1268" s="0"/>
      <c r="AT1268" s="0"/>
      <c r="AU1268" s="0"/>
      <c r="AV1268" s="0"/>
      <c r="AW1268" s="0"/>
      <c r="AX1268" s="0"/>
      <c r="AY1268" s="0"/>
      <c r="AZ1268" s="0"/>
      <c r="BA1268" s="0"/>
      <c r="BB1268" s="0"/>
      <c r="BC1268" s="0"/>
      <c r="BD1268" s="0"/>
      <c r="BE1268" s="0"/>
      <c r="BF1268" s="0"/>
      <c r="BG1268" s="0"/>
      <c r="BH1268" s="0"/>
      <c r="BI1268" s="0"/>
      <c r="BJ1268" s="0"/>
      <c r="BK1268" s="0"/>
      <c r="BL1268" s="0"/>
      <c r="BM1268" s="0"/>
      <c r="BN1268" s="0"/>
      <c r="BO1268" s="0"/>
      <c r="BP1268" s="0"/>
      <c r="BQ1268" s="0"/>
      <c r="BR1268" s="0"/>
      <c r="BS1268" s="0"/>
      <c r="BT1268" s="0"/>
      <c r="BU1268" s="0"/>
      <c r="BV1268" s="0"/>
      <c r="BW1268" s="0"/>
      <c r="BX1268" s="0"/>
      <c r="BY1268" s="0"/>
      <c r="BZ1268" s="0"/>
      <c r="CA1268" s="0"/>
      <c r="CB1268" s="0"/>
      <c r="CC1268" s="0"/>
      <c r="CD1268" s="0"/>
      <c r="CE1268" s="0"/>
      <c r="CF1268" s="0"/>
      <c r="CG1268" s="0"/>
      <c r="CH1268" s="0"/>
      <c r="CI1268" s="0"/>
      <c r="CJ1268" s="0"/>
      <c r="CK1268" s="0"/>
      <c r="CL1268" s="0"/>
      <c r="CM1268" s="0"/>
      <c r="CN1268" s="0"/>
      <c r="CO1268" s="0"/>
      <c r="CP1268" s="0"/>
      <c r="CQ1268" s="0"/>
      <c r="CR1268" s="0"/>
      <c r="CS1268" s="0"/>
      <c r="CT1268" s="0"/>
      <c r="CU1268" s="0"/>
      <c r="CV1268" s="0"/>
      <c r="CW1268" s="0"/>
      <c r="CX1268" s="0"/>
      <c r="CY1268" s="0"/>
      <c r="CZ1268" s="0"/>
      <c r="DA1268" s="0"/>
      <c r="DB1268" s="0"/>
      <c r="DC1268" s="0"/>
      <c r="DD1268" s="0"/>
      <c r="DE1268" s="0"/>
      <c r="DF1268" s="0"/>
      <c r="DG1268" s="0"/>
      <c r="DH1268" s="0"/>
      <c r="DI1268" s="0"/>
      <c r="DJ1268" s="0"/>
      <c r="DK1268" s="0"/>
      <c r="DL1268" s="0"/>
      <c r="DM1268" s="0"/>
      <c r="DN1268" s="0"/>
      <c r="DO1268" s="0"/>
      <c r="DP1268" s="0"/>
      <c r="DQ1268" s="0"/>
      <c r="DR1268" s="0"/>
      <c r="DS1268" s="0"/>
      <c r="DT1268" s="0"/>
      <c r="DU1268" s="0"/>
      <c r="DV1268" s="0"/>
      <c r="DW1268" s="0"/>
      <c r="DX1268" s="0"/>
      <c r="DY1268" s="0"/>
      <c r="DZ1268" s="0"/>
      <c r="EA1268" s="0"/>
      <c r="EB1268" s="0"/>
      <c r="EC1268" s="0"/>
      <c r="ED1268" s="0"/>
      <c r="EE1268" s="0"/>
      <c r="EF1268" s="0"/>
      <c r="EG1268" s="0"/>
      <c r="EH1268" s="0"/>
      <c r="EI1268" s="0"/>
      <c r="EJ1268" s="0"/>
      <c r="EK1268" s="0"/>
      <c r="EL1268" s="0"/>
      <c r="EM1268" s="0"/>
      <c r="EN1268" s="0"/>
      <c r="EO1268" s="0"/>
      <c r="EP1268" s="0"/>
      <c r="EQ1268" s="0"/>
      <c r="ER1268" s="0"/>
      <c r="ES1268" s="0"/>
      <c r="ET1268" s="0"/>
      <c r="EU1268" s="0"/>
      <c r="EV1268" s="0"/>
      <c r="EW1268" s="0"/>
      <c r="EX1268" s="0"/>
      <c r="EY1268" s="0"/>
      <c r="EZ1268" s="0"/>
      <c r="FA1268" s="0"/>
      <c r="FB1268" s="0"/>
      <c r="FC1268" s="0"/>
      <c r="FD1268" s="0"/>
      <c r="FE1268" s="0"/>
      <c r="FF1268" s="0"/>
      <c r="FG1268" s="0"/>
      <c r="FH1268" s="0"/>
      <c r="FI1268" s="0"/>
      <c r="FJ1268" s="0"/>
      <c r="FK1268" s="0"/>
      <c r="FL1268" s="0"/>
      <c r="FM1268" s="0"/>
      <c r="FN1268" s="0"/>
      <c r="FO1268" s="0"/>
      <c r="FP1268" s="0"/>
      <c r="FQ1268" s="0"/>
      <c r="FR1268" s="0"/>
      <c r="FS1268" s="0"/>
      <c r="FT1268" s="0"/>
      <c r="FU1268" s="0"/>
      <c r="FV1268" s="0"/>
      <c r="FW1268" s="0"/>
      <c r="FX1268" s="0"/>
      <c r="FY1268" s="0"/>
      <c r="FZ1268" s="0"/>
      <c r="GA1268" s="0"/>
      <c r="GB1268" s="0"/>
      <c r="GC1268" s="0"/>
      <c r="GD1268" s="0"/>
      <c r="GE1268" s="0"/>
      <c r="GF1268" s="0"/>
      <c r="GG1268" s="0"/>
      <c r="GH1268" s="0"/>
      <c r="GI1268" s="0"/>
      <c r="GJ1268" s="0"/>
      <c r="GK1268" s="0"/>
      <c r="GL1268" s="0"/>
      <c r="GM1268" s="0"/>
      <c r="GN1268" s="0"/>
      <c r="GO1268" s="0"/>
      <c r="GP1268" s="0"/>
      <c r="GQ1268" s="0"/>
      <c r="GR1268" s="0"/>
      <c r="GS1268" s="0"/>
      <c r="GT1268" s="0"/>
      <c r="GU1268" s="0"/>
      <c r="GV1268" s="0"/>
      <c r="GW1268" s="0"/>
      <c r="GX1268" s="0"/>
      <c r="GY1268" s="0"/>
      <c r="GZ1268" s="0"/>
      <c r="HA1268" s="0"/>
      <c r="HB1268" s="0"/>
      <c r="HC1268" s="0"/>
      <c r="HD1268" s="0"/>
      <c r="HE1268" s="0"/>
      <c r="HF1268" s="0"/>
      <c r="HG1268" s="0"/>
      <c r="HH1268" s="0"/>
      <c r="HI1268" s="0"/>
      <c r="HJ1268" s="0"/>
      <c r="HK1268" s="0"/>
      <c r="HL1268" s="0"/>
      <c r="HM1268" s="0"/>
      <c r="HN1268" s="0"/>
      <c r="HO1268" s="0"/>
      <c r="HP1268" s="0"/>
      <c r="HQ1268" s="0"/>
      <c r="HR1268" s="0"/>
      <c r="HS1268" s="0"/>
      <c r="HT1268" s="0"/>
      <c r="HU1268" s="0"/>
      <c r="HV1268" s="0"/>
      <c r="HW1268" s="0"/>
      <c r="HX1268" s="0"/>
      <c r="HY1268" s="0"/>
      <c r="HZ1268" s="0"/>
      <c r="IA1268" s="0"/>
      <c r="IB1268" s="0"/>
      <c r="IC1268" s="0"/>
      <c r="ID1268" s="0"/>
      <c r="IE1268" s="0"/>
      <c r="IF1268" s="0"/>
      <c r="IG1268" s="0"/>
      <c r="IH1268" s="0"/>
      <c r="II1268" s="0"/>
      <c r="IJ1268" s="0"/>
      <c r="IK1268" s="0"/>
      <c r="IL1268" s="0"/>
      <c r="IM1268" s="0"/>
      <c r="IN1268" s="0"/>
      <c r="IO1268" s="0"/>
      <c r="IP1268" s="0"/>
      <c r="IQ1268" s="0"/>
      <c r="IR1268" s="0"/>
      <c r="IS1268" s="0"/>
      <c r="IT1268" s="0"/>
      <c r="IU1268" s="0"/>
      <c r="IV1268" s="0"/>
    </row>
    <row r="1269" customFormat="false" ht="15" hidden="false" customHeight="true" outlineLevel="0" collapsed="false">
      <c r="A1269" s="1454" t="s">
        <v>921</v>
      </c>
      <c r="B1269" s="1455"/>
      <c r="C1269" s="1455"/>
      <c r="D1269" s="1455"/>
      <c r="E1269" s="1456"/>
      <c r="F1269" s="1457" t="n">
        <f aca="false">E1269/$E$1304</f>
        <v>0</v>
      </c>
      <c r="G1269" s="1459"/>
      <c r="I1269" s="891"/>
      <c r="J1269" s="0"/>
      <c r="K1269" s="1453"/>
      <c r="L1269" s="1444"/>
      <c r="M1269" s="0"/>
      <c r="N1269" s="0"/>
      <c r="O1269" s="0"/>
      <c r="P1269" s="0"/>
      <c r="Q1269" s="0"/>
      <c r="R1269" s="0"/>
      <c r="S1269" s="0"/>
      <c r="T1269" s="0"/>
      <c r="U1269" s="0"/>
      <c r="V1269" s="0"/>
      <c r="W1269" s="0"/>
      <c r="X1269" s="0"/>
      <c r="Y1269" s="0"/>
      <c r="Z1269" s="0"/>
      <c r="AA1269" s="0"/>
      <c r="AB1269" s="0"/>
      <c r="AC1269" s="0"/>
      <c r="AD1269" s="0"/>
      <c r="AE1269" s="0"/>
      <c r="AF1269" s="0"/>
      <c r="AG1269" s="0"/>
      <c r="AH1269" s="0"/>
      <c r="AI1269" s="0"/>
      <c r="AJ1269" s="0"/>
      <c r="AK1269" s="0"/>
      <c r="AL1269" s="0"/>
      <c r="AM1269" s="0"/>
      <c r="AN1269" s="0"/>
      <c r="AO1269" s="0"/>
      <c r="AP1269" s="0"/>
      <c r="AQ1269" s="0"/>
      <c r="AR1269" s="0"/>
      <c r="AS1269" s="0"/>
      <c r="AT1269" s="0"/>
      <c r="AU1269" s="0"/>
      <c r="AV1269" s="0"/>
      <c r="AW1269" s="0"/>
      <c r="AX1269" s="0"/>
      <c r="AY1269" s="0"/>
      <c r="AZ1269" s="0"/>
      <c r="BA1269" s="0"/>
      <c r="BB1269" s="0"/>
      <c r="BC1269" s="0"/>
      <c r="BD1269" s="0"/>
      <c r="BE1269" s="0"/>
      <c r="BF1269" s="0"/>
      <c r="BG1269" s="0"/>
      <c r="BH1269" s="0"/>
      <c r="BI1269" s="0"/>
      <c r="BJ1269" s="0"/>
      <c r="BK1269" s="0"/>
      <c r="BL1269" s="0"/>
      <c r="BM1269" s="0"/>
      <c r="BN1269" s="0"/>
      <c r="BO1269" s="0"/>
      <c r="BP1269" s="0"/>
      <c r="BQ1269" s="0"/>
      <c r="BR1269" s="0"/>
      <c r="BS1269" s="0"/>
      <c r="BT1269" s="0"/>
      <c r="BU1269" s="0"/>
      <c r="BV1269" s="0"/>
      <c r="BW1269" s="0"/>
      <c r="BX1269" s="0"/>
      <c r="BY1269" s="0"/>
      <c r="BZ1269" s="0"/>
      <c r="CA1269" s="0"/>
      <c r="CB1269" s="0"/>
      <c r="CC1269" s="0"/>
      <c r="CD1269" s="0"/>
      <c r="CE1269" s="0"/>
      <c r="CF1269" s="0"/>
      <c r="CG1269" s="0"/>
      <c r="CH1269" s="0"/>
      <c r="CI1269" s="0"/>
      <c r="CJ1269" s="0"/>
      <c r="CK1269" s="0"/>
      <c r="CL1269" s="0"/>
      <c r="CM1269" s="0"/>
      <c r="CN1269" s="0"/>
      <c r="CO1269" s="0"/>
      <c r="CP1269" s="0"/>
      <c r="CQ1269" s="0"/>
      <c r="CR1269" s="0"/>
      <c r="CS1269" s="0"/>
      <c r="CT1269" s="0"/>
      <c r="CU1269" s="0"/>
      <c r="CV1269" s="0"/>
      <c r="CW1269" s="0"/>
      <c r="CX1269" s="0"/>
      <c r="CY1269" s="0"/>
      <c r="CZ1269" s="0"/>
      <c r="DA1269" s="0"/>
      <c r="DB1269" s="0"/>
      <c r="DC1269" s="0"/>
      <c r="DD1269" s="0"/>
      <c r="DE1269" s="0"/>
      <c r="DF1269" s="0"/>
      <c r="DG1269" s="0"/>
      <c r="DH1269" s="0"/>
      <c r="DI1269" s="0"/>
      <c r="DJ1269" s="0"/>
      <c r="DK1269" s="0"/>
      <c r="DL1269" s="0"/>
      <c r="DM1269" s="0"/>
      <c r="DN1269" s="0"/>
      <c r="DO1269" s="0"/>
      <c r="DP1269" s="0"/>
      <c r="DQ1269" s="0"/>
      <c r="DR1269" s="0"/>
      <c r="DS1269" s="0"/>
      <c r="DT1269" s="0"/>
      <c r="DU1269" s="0"/>
      <c r="DV1269" s="0"/>
      <c r="DW1269" s="0"/>
      <c r="DX1269" s="0"/>
      <c r="DY1269" s="0"/>
      <c r="DZ1269" s="0"/>
      <c r="EA1269" s="0"/>
      <c r="EB1269" s="0"/>
      <c r="EC1269" s="0"/>
      <c r="ED1269" s="0"/>
      <c r="EE1269" s="0"/>
      <c r="EF1269" s="0"/>
      <c r="EG1269" s="0"/>
      <c r="EH1269" s="0"/>
      <c r="EI1269" s="0"/>
      <c r="EJ1269" s="0"/>
      <c r="EK1269" s="0"/>
      <c r="EL1269" s="0"/>
      <c r="EM1269" s="0"/>
      <c r="EN1269" s="0"/>
      <c r="EO1269" s="0"/>
      <c r="EP1269" s="0"/>
      <c r="EQ1269" s="0"/>
      <c r="ER1269" s="0"/>
      <c r="ES1269" s="0"/>
      <c r="ET1269" s="0"/>
      <c r="EU1269" s="0"/>
      <c r="EV1269" s="0"/>
      <c r="EW1269" s="0"/>
      <c r="EX1269" s="0"/>
      <c r="EY1269" s="0"/>
      <c r="EZ1269" s="0"/>
      <c r="FA1269" s="0"/>
      <c r="FB1269" s="0"/>
      <c r="FC1269" s="0"/>
      <c r="FD1269" s="0"/>
      <c r="FE1269" s="0"/>
      <c r="FF1269" s="0"/>
      <c r="FG1269" s="0"/>
      <c r="FH1269" s="0"/>
      <c r="FI1269" s="0"/>
      <c r="FJ1269" s="0"/>
      <c r="FK1269" s="0"/>
      <c r="FL1269" s="0"/>
      <c r="FM1269" s="0"/>
      <c r="FN1269" s="0"/>
      <c r="FO1269" s="0"/>
      <c r="FP1269" s="0"/>
      <c r="FQ1269" s="0"/>
      <c r="FR1269" s="0"/>
      <c r="FS1269" s="0"/>
      <c r="FT1269" s="0"/>
      <c r="FU1269" s="0"/>
      <c r="FV1269" s="0"/>
      <c r="FW1269" s="0"/>
      <c r="FX1269" s="0"/>
      <c r="FY1269" s="0"/>
      <c r="FZ1269" s="0"/>
      <c r="GA1269" s="0"/>
      <c r="GB1269" s="0"/>
      <c r="GC1269" s="0"/>
      <c r="GD1269" s="0"/>
      <c r="GE1269" s="0"/>
      <c r="GF1269" s="0"/>
      <c r="GG1269" s="0"/>
      <c r="GH1269" s="0"/>
      <c r="GI1269" s="0"/>
      <c r="GJ1269" s="0"/>
      <c r="GK1269" s="0"/>
      <c r="GL1269" s="0"/>
      <c r="GM1269" s="0"/>
      <c r="GN1269" s="0"/>
      <c r="GO1269" s="0"/>
      <c r="GP1269" s="0"/>
      <c r="GQ1269" s="0"/>
      <c r="GR1269" s="0"/>
      <c r="GS1269" s="0"/>
      <c r="GT1269" s="0"/>
      <c r="GU1269" s="0"/>
      <c r="GV1269" s="0"/>
      <c r="GW1269" s="0"/>
      <c r="GX1269" s="0"/>
      <c r="GY1269" s="0"/>
      <c r="GZ1269" s="0"/>
      <c r="HA1269" s="0"/>
      <c r="HB1269" s="0"/>
      <c r="HC1269" s="0"/>
      <c r="HD1269" s="0"/>
      <c r="HE1269" s="0"/>
      <c r="HF1269" s="0"/>
      <c r="HG1269" s="0"/>
      <c r="HH1269" s="0"/>
      <c r="HI1269" s="0"/>
      <c r="HJ1269" s="0"/>
      <c r="HK1269" s="0"/>
      <c r="HL1269" s="0"/>
      <c r="HM1269" s="0"/>
      <c r="HN1269" s="0"/>
      <c r="HO1269" s="0"/>
      <c r="HP1269" s="0"/>
      <c r="HQ1269" s="0"/>
      <c r="HR1269" s="0"/>
      <c r="HS1269" s="0"/>
      <c r="HT1269" s="0"/>
      <c r="HU1269" s="0"/>
      <c r="HV1269" s="0"/>
      <c r="HW1269" s="0"/>
      <c r="HX1269" s="0"/>
      <c r="HY1269" s="0"/>
      <c r="HZ1269" s="0"/>
      <c r="IA1269" s="0"/>
      <c r="IB1269" s="0"/>
      <c r="IC1269" s="0"/>
      <c r="ID1269" s="0"/>
      <c r="IE1269" s="0"/>
      <c r="IF1269" s="0"/>
      <c r="IG1269" s="0"/>
      <c r="IH1269" s="0"/>
      <c r="II1269" s="0"/>
      <c r="IJ1269" s="0"/>
      <c r="IK1269" s="0"/>
      <c r="IL1269" s="0"/>
      <c r="IM1269" s="0"/>
      <c r="IN1269" s="0"/>
      <c r="IO1269" s="0"/>
      <c r="IP1269" s="0"/>
      <c r="IQ1269" s="0"/>
      <c r="IR1269" s="0"/>
      <c r="IS1269" s="0"/>
      <c r="IT1269" s="0"/>
      <c r="IU1269" s="0"/>
      <c r="IV1269" s="0"/>
    </row>
    <row r="1270" customFormat="false" ht="15" hidden="false" customHeight="true" outlineLevel="0" collapsed="false">
      <c r="A1270" s="1454" t="s">
        <v>922</v>
      </c>
      <c r="B1270" s="1455"/>
      <c r="C1270" s="1455"/>
      <c r="D1270" s="1455"/>
      <c r="E1270" s="1456"/>
      <c r="F1270" s="1457" t="n">
        <f aca="false">E1270/$E$1304</f>
        <v>0</v>
      </c>
      <c r="G1270" s="1459"/>
      <c r="I1270" s="891"/>
      <c r="J1270" s="0"/>
      <c r="K1270" s="1453"/>
      <c r="L1270" s="1444"/>
      <c r="M1270" s="0"/>
      <c r="N1270" s="0"/>
      <c r="O1270" s="0"/>
      <c r="P1270" s="0"/>
      <c r="Q1270" s="0"/>
      <c r="R1270" s="0"/>
      <c r="S1270" s="0"/>
      <c r="T1270" s="0"/>
      <c r="U1270" s="0"/>
      <c r="V1270" s="0"/>
      <c r="W1270" s="0"/>
      <c r="X1270" s="0"/>
      <c r="Y1270" s="0"/>
      <c r="Z1270" s="0"/>
      <c r="AA1270" s="0"/>
      <c r="AB1270" s="0"/>
      <c r="AC1270" s="0"/>
      <c r="AD1270" s="0"/>
      <c r="AE1270" s="0"/>
      <c r="AF1270" s="0"/>
      <c r="AG1270" s="0"/>
      <c r="AH1270" s="0"/>
      <c r="AI1270" s="0"/>
      <c r="AJ1270" s="0"/>
      <c r="AK1270" s="0"/>
      <c r="AL1270" s="0"/>
      <c r="AM1270" s="0"/>
      <c r="AN1270" s="0"/>
      <c r="AO1270" s="0"/>
      <c r="AP1270" s="0"/>
      <c r="AQ1270" s="0"/>
      <c r="AR1270" s="0"/>
      <c r="AS1270" s="0"/>
      <c r="AT1270" s="0"/>
      <c r="AU1270" s="0"/>
      <c r="AV1270" s="0"/>
      <c r="AW1270" s="0"/>
      <c r="AX1270" s="0"/>
      <c r="AY1270" s="0"/>
      <c r="AZ1270" s="0"/>
      <c r="BA1270" s="0"/>
      <c r="BB1270" s="0"/>
      <c r="BC1270" s="0"/>
      <c r="BD1270" s="0"/>
      <c r="BE1270" s="0"/>
      <c r="BF1270" s="0"/>
      <c r="BG1270" s="0"/>
      <c r="BH1270" s="0"/>
      <c r="BI1270" s="0"/>
      <c r="BJ1270" s="0"/>
      <c r="BK1270" s="0"/>
      <c r="BL1270" s="0"/>
      <c r="BM1270" s="0"/>
      <c r="BN1270" s="0"/>
      <c r="BO1270" s="0"/>
      <c r="BP1270" s="0"/>
      <c r="BQ1270" s="0"/>
      <c r="BR1270" s="0"/>
      <c r="BS1270" s="0"/>
      <c r="BT1270" s="0"/>
      <c r="BU1270" s="0"/>
      <c r="BV1270" s="0"/>
      <c r="BW1270" s="0"/>
      <c r="BX1270" s="0"/>
      <c r="BY1270" s="0"/>
      <c r="BZ1270" s="0"/>
      <c r="CA1270" s="0"/>
      <c r="CB1270" s="0"/>
      <c r="CC1270" s="0"/>
      <c r="CD1270" s="0"/>
      <c r="CE1270" s="0"/>
      <c r="CF1270" s="0"/>
      <c r="CG1270" s="0"/>
      <c r="CH1270" s="0"/>
      <c r="CI1270" s="0"/>
      <c r="CJ1270" s="0"/>
      <c r="CK1270" s="0"/>
      <c r="CL1270" s="0"/>
      <c r="CM1270" s="0"/>
      <c r="CN1270" s="0"/>
      <c r="CO1270" s="0"/>
      <c r="CP1270" s="0"/>
      <c r="CQ1270" s="0"/>
      <c r="CR1270" s="0"/>
      <c r="CS1270" s="0"/>
      <c r="CT1270" s="0"/>
      <c r="CU1270" s="0"/>
      <c r="CV1270" s="0"/>
      <c r="CW1270" s="0"/>
      <c r="CX1270" s="0"/>
      <c r="CY1270" s="0"/>
      <c r="CZ1270" s="0"/>
      <c r="DA1270" s="0"/>
      <c r="DB1270" s="0"/>
      <c r="DC1270" s="0"/>
      <c r="DD1270" s="0"/>
      <c r="DE1270" s="0"/>
      <c r="DF1270" s="0"/>
      <c r="DG1270" s="0"/>
      <c r="DH1270" s="0"/>
      <c r="DI1270" s="0"/>
      <c r="DJ1270" s="0"/>
      <c r="DK1270" s="0"/>
      <c r="DL1270" s="0"/>
      <c r="DM1270" s="0"/>
      <c r="DN1270" s="0"/>
      <c r="DO1270" s="0"/>
      <c r="DP1270" s="0"/>
      <c r="DQ1270" s="0"/>
      <c r="DR1270" s="0"/>
      <c r="DS1270" s="0"/>
      <c r="DT1270" s="0"/>
      <c r="DU1270" s="0"/>
      <c r="DV1270" s="0"/>
      <c r="DW1270" s="0"/>
      <c r="DX1270" s="0"/>
      <c r="DY1270" s="0"/>
      <c r="DZ1270" s="0"/>
      <c r="EA1270" s="0"/>
      <c r="EB1270" s="0"/>
      <c r="EC1270" s="0"/>
      <c r="ED1270" s="0"/>
      <c r="EE1270" s="0"/>
      <c r="EF1270" s="0"/>
      <c r="EG1270" s="0"/>
      <c r="EH1270" s="0"/>
      <c r="EI1270" s="0"/>
      <c r="EJ1270" s="0"/>
      <c r="EK1270" s="0"/>
      <c r="EL1270" s="0"/>
      <c r="EM1270" s="0"/>
      <c r="EN1270" s="0"/>
      <c r="EO1270" s="0"/>
      <c r="EP1270" s="0"/>
      <c r="EQ1270" s="0"/>
      <c r="ER1270" s="0"/>
      <c r="ES1270" s="0"/>
      <c r="ET1270" s="0"/>
      <c r="EU1270" s="0"/>
      <c r="EV1270" s="0"/>
      <c r="EW1270" s="0"/>
      <c r="EX1270" s="0"/>
      <c r="EY1270" s="0"/>
      <c r="EZ1270" s="0"/>
      <c r="FA1270" s="0"/>
      <c r="FB1270" s="0"/>
      <c r="FC1270" s="0"/>
      <c r="FD1270" s="0"/>
      <c r="FE1270" s="0"/>
      <c r="FF1270" s="0"/>
      <c r="FG1270" s="0"/>
      <c r="FH1270" s="0"/>
      <c r="FI1270" s="0"/>
      <c r="FJ1270" s="0"/>
      <c r="FK1270" s="0"/>
      <c r="FL1270" s="0"/>
      <c r="FM1270" s="0"/>
      <c r="FN1270" s="0"/>
      <c r="FO1270" s="0"/>
      <c r="FP1270" s="0"/>
      <c r="FQ1270" s="0"/>
      <c r="FR1270" s="0"/>
      <c r="FS1270" s="0"/>
      <c r="FT1270" s="0"/>
      <c r="FU1270" s="0"/>
      <c r="FV1270" s="0"/>
      <c r="FW1270" s="0"/>
      <c r="FX1270" s="0"/>
      <c r="FY1270" s="0"/>
      <c r="FZ1270" s="0"/>
      <c r="GA1270" s="0"/>
      <c r="GB1270" s="0"/>
      <c r="GC1270" s="0"/>
      <c r="GD1270" s="0"/>
      <c r="GE1270" s="0"/>
      <c r="GF1270" s="0"/>
      <c r="GG1270" s="0"/>
      <c r="GH1270" s="0"/>
      <c r="GI1270" s="0"/>
      <c r="GJ1270" s="0"/>
      <c r="GK1270" s="0"/>
      <c r="GL1270" s="0"/>
      <c r="GM1270" s="0"/>
      <c r="GN1270" s="0"/>
      <c r="GO1270" s="0"/>
      <c r="GP1270" s="0"/>
      <c r="GQ1270" s="0"/>
      <c r="GR1270" s="0"/>
      <c r="GS1270" s="0"/>
      <c r="GT1270" s="0"/>
      <c r="GU1270" s="0"/>
      <c r="GV1270" s="0"/>
      <c r="GW1270" s="0"/>
      <c r="GX1270" s="0"/>
      <c r="GY1270" s="0"/>
      <c r="GZ1270" s="0"/>
      <c r="HA1270" s="0"/>
      <c r="HB1270" s="0"/>
      <c r="HC1270" s="0"/>
      <c r="HD1270" s="0"/>
      <c r="HE1270" s="0"/>
      <c r="HF1270" s="0"/>
      <c r="HG1270" s="0"/>
      <c r="HH1270" s="0"/>
      <c r="HI1270" s="0"/>
      <c r="HJ1270" s="0"/>
      <c r="HK1270" s="0"/>
      <c r="HL1270" s="0"/>
      <c r="HM1270" s="0"/>
      <c r="HN1270" s="0"/>
      <c r="HO1270" s="0"/>
      <c r="HP1270" s="0"/>
      <c r="HQ1270" s="0"/>
      <c r="HR1270" s="0"/>
      <c r="HS1270" s="0"/>
      <c r="HT1270" s="0"/>
      <c r="HU1270" s="0"/>
      <c r="HV1270" s="0"/>
      <c r="HW1270" s="0"/>
      <c r="HX1270" s="0"/>
      <c r="HY1270" s="0"/>
      <c r="HZ1270" s="0"/>
      <c r="IA1270" s="0"/>
      <c r="IB1270" s="0"/>
      <c r="IC1270" s="0"/>
      <c r="ID1270" s="0"/>
      <c r="IE1270" s="0"/>
      <c r="IF1270" s="0"/>
      <c r="IG1270" s="0"/>
      <c r="IH1270" s="0"/>
      <c r="II1270" s="0"/>
      <c r="IJ1270" s="0"/>
      <c r="IK1270" s="0"/>
      <c r="IL1270" s="0"/>
      <c r="IM1270" s="0"/>
      <c r="IN1270" s="0"/>
      <c r="IO1270" s="0"/>
      <c r="IP1270" s="0"/>
      <c r="IQ1270" s="0"/>
      <c r="IR1270" s="0"/>
      <c r="IS1270" s="0"/>
      <c r="IT1270" s="0"/>
      <c r="IU1270" s="0"/>
      <c r="IV1270" s="0"/>
    </row>
    <row r="1271" customFormat="false" ht="15" hidden="false" customHeight="true" outlineLevel="0" collapsed="false">
      <c r="A1271" s="1454" t="s">
        <v>923</v>
      </c>
      <c r="B1271" s="1455"/>
      <c r="C1271" s="1455"/>
      <c r="D1271" s="1455"/>
      <c r="E1271" s="1456"/>
      <c r="F1271" s="1457" t="n">
        <f aca="false">E1271/$E$1304</f>
        <v>0</v>
      </c>
      <c r="G1271" s="1459"/>
      <c r="I1271" s="891"/>
      <c r="J1271" s="0"/>
      <c r="K1271" s="1453"/>
      <c r="L1271" s="1444"/>
      <c r="M1271" s="0"/>
      <c r="N1271" s="0"/>
      <c r="O1271" s="0"/>
      <c r="P1271" s="0"/>
      <c r="Q1271" s="0"/>
      <c r="R1271" s="0"/>
      <c r="S1271" s="0"/>
      <c r="T1271" s="0"/>
      <c r="U1271" s="0"/>
      <c r="V1271" s="0"/>
      <c r="W1271" s="0"/>
      <c r="X1271" s="0"/>
      <c r="Y1271" s="0"/>
      <c r="Z1271" s="0"/>
      <c r="AA1271" s="0"/>
      <c r="AB1271" s="0"/>
      <c r="AC1271" s="0"/>
      <c r="AD1271" s="0"/>
      <c r="AE1271" s="0"/>
      <c r="AF1271" s="0"/>
      <c r="AG1271" s="0"/>
      <c r="AH1271" s="0"/>
      <c r="AI1271" s="0"/>
      <c r="AJ1271" s="0"/>
      <c r="AK1271" s="0"/>
      <c r="AL1271" s="0"/>
      <c r="AM1271" s="0"/>
      <c r="AN1271" s="0"/>
      <c r="AO1271" s="0"/>
      <c r="AP1271" s="0"/>
      <c r="AQ1271" s="0"/>
      <c r="AR1271" s="0"/>
      <c r="AS1271" s="0"/>
      <c r="AT1271" s="0"/>
      <c r="AU1271" s="0"/>
      <c r="AV1271" s="0"/>
      <c r="AW1271" s="0"/>
      <c r="AX1271" s="0"/>
      <c r="AY1271" s="0"/>
      <c r="AZ1271" s="0"/>
      <c r="BA1271" s="0"/>
      <c r="BB1271" s="0"/>
      <c r="BC1271" s="0"/>
      <c r="BD1271" s="0"/>
      <c r="BE1271" s="0"/>
      <c r="BF1271" s="0"/>
      <c r="BG1271" s="0"/>
      <c r="BH1271" s="0"/>
      <c r="BI1271" s="0"/>
      <c r="BJ1271" s="0"/>
      <c r="BK1271" s="0"/>
      <c r="BL1271" s="0"/>
      <c r="BM1271" s="0"/>
      <c r="BN1271" s="0"/>
      <c r="BO1271" s="0"/>
      <c r="BP1271" s="0"/>
      <c r="BQ1271" s="0"/>
      <c r="BR1271" s="0"/>
      <c r="BS1271" s="0"/>
      <c r="BT1271" s="0"/>
      <c r="BU1271" s="0"/>
      <c r="BV1271" s="0"/>
      <c r="BW1271" s="0"/>
      <c r="BX1271" s="0"/>
      <c r="BY1271" s="0"/>
      <c r="BZ1271" s="0"/>
      <c r="CA1271" s="0"/>
      <c r="CB1271" s="0"/>
      <c r="CC1271" s="0"/>
      <c r="CD1271" s="0"/>
      <c r="CE1271" s="0"/>
      <c r="CF1271" s="0"/>
      <c r="CG1271" s="0"/>
      <c r="CH1271" s="0"/>
      <c r="CI1271" s="0"/>
      <c r="CJ1271" s="0"/>
      <c r="CK1271" s="0"/>
      <c r="CL1271" s="0"/>
      <c r="CM1271" s="0"/>
      <c r="CN1271" s="0"/>
      <c r="CO1271" s="0"/>
      <c r="CP1271" s="0"/>
      <c r="CQ1271" s="0"/>
      <c r="CR1271" s="0"/>
      <c r="CS1271" s="0"/>
      <c r="CT1271" s="0"/>
      <c r="CU1271" s="0"/>
      <c r="CV1271" s="0"/>
      <c r="CW1271" s="0"/>
      <c r="CX1271" s="0"/>
      <c r="CY1271" s="0"/>
      <c r="CZ1271" s="0"/>
      <c r="DA1271" s="0"/>
      <c r="DB1271" s="0"/>
      <c r="DC1271" s="0"/>
      <c r="DD1271" s="0"/>
      <c r="DE1271" s="0"/>
      <c r="DF1271" s="0"/>
      <c r="DG1271" s="0"/>
      <c r="DH1271" s="0"/>
      <c r="DI1271" s="0"/>
      <c r="DJ1271" s="0"/>
      <c r="DK1271" s="0"/>
      <c r="DL1271" s="0"/>
      <c r="DM1271" s="0"/>
      <c r="DN1271" s="0"/>
      <c r="DO1271" s="0"/>
      <c r="DP1271" s="0"/>
      <c r="DQ1271" s="0"/>
      <c r="DR1271" s="0"/>
      <c r="DS1271" s="0"/>
      <c r="DT1271" s="0"/>
      <c r="DU1271" s="0"/>
      <c r="DV1271" s="0"/>
      <c r="DW1271" s="0"/>
      <c r="DX1271" s="0"/>
      <c r="DY1271" s="0"/>
      <c r="DZ1271" s="0"/>
      <c r="EA1271" s="0"/>
      <c r="EB1271" s="0"/>
      <c r="EC1271" s="0"/>
      <c r="ED1271" s="0"/>
      <c r="EE1271" s="0"/>
      <c r="EF1271" s="0"/>
      <c r="EG1271" s="0"/>
      <c r="EH1271" s="0"/>
      <c r="EI1271" s="0"/>
      <c r="EJ1271" s="0"/>
      <c r="EK1271" s="0"/>
      <c r="EL1271" s="0"/>
      <c r="EM1271" s="0"/>
      <c r="EN1271" s="0"/>
      <c r="EO1271" s="0"/>
      <c r="EP1271" s="0"/>
      <c r="EQ1271" s="0"/>
      <c r="ER1271" s="0"/>
      <c r="ES1271" s="0"/>
      <c r="ET1271" s="0"/>
      <c r="EU1271" s="0"/>
      <c r="EV1271" s="0"/>
      <c r="EW1271" s="0"/>
      <c r="EX1271" s="0"/>
      <c r="EY1271" s="0"/>
      <c r="EZ1271" s="0"/>
      <c r="FA1271" s="0"/>
      <c r="FB1271" s="0"/>
      <c r="FC1271" s="0"/>
      <c r="FD1271" s="0"/>
      <c r="FE1271" s="0"/>
      <c r="FF1271" s="0"/>
      <c r="FG1271" s="0"/>
      <c r="FH1271" s="0"/>
      <c r="FI1271" s="0"/>
      <c r="FJ1271" s="0"/>
      <c r="FK1271" s="0"/>
      <c r="FL1271" s="0"/>
      <c r="FM1271" s="0"/>
      <c r="FN1271" s="0"/>
      <c r="FO1271" s="0"/>
      <c r="FP1271" s="0"/>
      <c r="FQ1271" s="0"/>
      <c r="FR1271" s="0"/>
      <c r="FS1271" s="0"/>
      <c r="FT1271" s="0"/>
      <c r="FU1271" s="0"/>
      <c r="FV1271" s="0"/>
      <c r="FW1271" s="0"/>
      <c r="FX1271" s="0"/>
      <c r="FY1271" s="0"/>
      <c r="FZ1271" s="0"/>
      <c r="GA1271" s="0"/>
      <c r="GB1271" s="0"/>
      <c r="GC1271" s="0"/>
      <c r="GD1271" s="0"/>
      <c r="GE1271" s="0"/>
      <c r="GF1271" s="0"/>
      <c r="GG1271" s="0"/>
      <c r="GH1271" s="0"/>
      <c r="GI1271" s="0"/>
      <c r="GJ1271" s="0"/>
      <c r="GK1271" s="0"/>
      <c r="GL1271" s="0"/>
      <c r="GM1271" s="0"/>
      <c r="GN1271" s="0"/>
      <c r="GO1271" s="0"/>
      <c r="GP1271" s="0"/>
      <c r="GQ1271" s="0"/>
      <c r="GR1271" s="0"/>
      <c r="GS1271" s="0"/>
      <c r="GT1271" s="0"/>
      <c r="GU1271" s="0"/>
      <c r="GV1271" s="0"/>
      <c r="GW1271" s="0"/>
      <c r="GX1271" s="0"/>
      <c r="GY1271" s="0"/>
      <c r="GZ1271" s="0"/>
      <c r="HA1271" s="0"/>
      <c r="HB1271" s="0"/>
      <c r="HC1271" s="0"/>
      <c r="HD1271" s="0"/>
      <c r="HE1271" s="0"/>
      <c r="HF1271" s="0"/>
      <c r="HG1271" s="0"/>
      <c r="HH1271" s="0"/>
      <c r="HI1271" s="0"/>
      <c r="HJ1271" s="0"/>
      <c r="HK1271" s="0"/>
      <c r="HL1271" s="0"/>
      <c r="HM1271" s="0"/>
      <c r="HN1271" s="0"/>
      <c r="HO1271" s="0"/>
      <c r="HP1271" s="0"/>
      <c r="HQ1271" s="0"/>
      <c r="HR1271" s="0"/>
      <c r="HS1271" s="0"/>
      <c r="HT1271" s="0"/>
      <c r="HU1271" s="0"/>
      <c r="HV1271" s="0"/>
      <c r="HW1271" s="0"/>
      <c r="HX1271" s="0"/>
      <c r="HY1271" s="0"/>
      <c r="HZ1271" s="0"/>
      <c r="IA1271" s="0"/>
      <c r="IB1271" s="0"/>
      <c r="IC1271" s="0"/>
      <c r="ID1271" s="0"/>
      <c r="IE1271" s="0"/>
      <c r="IF1271" s="0"/>
      <c r="IG1271" s="0"/>
      <c r="IH1271" s="0"/>
      <c r="II1271" s="0"/>
      <c r="IJ1271" s="0"/>
      <c r="IK1271" s="0"/>
      <c r="IL1271" s="0"/>
      <c r="IM1271" s="0"/>
      <c r="IN1271" s="0"/>
      <c r="IO1271" s="0"/>
      <c r="IP1271" s="0"/>
      <c r="IQ1271" s="0"/>
      <c r="IR1271" s="0"/>
      <c r="IS1271" s="0"/>
      <c r="IT1271" s="0"/>
      <c r="IU1271" s="0"/>
      <c r="IV1271" s="0"/>
    </row>
    <row r="1272" customFormat="false" ht="15" hidden="false" customHeight="true" outlineLevel="0" collapsed="false">
      <c r="A1272" s="1454" t="s">
        <v>924</v>
      </c>
      <c r="B1272" s="1455"/>
      <c r="C1272" s="1455"/>
      <c r="D1272" s="1455"/>
      <c r="E1272" s="1477"/>
      <c r="F1272" s="1457" t="n">
        <f aca="false">E1272/$E$1304</f>
        <v>0</v>
      </c>
      <c r="G1272" s="1459"/>
      <c r="I1272" s="891"/>
      <c r="J1272" s="0"/>
      <c r="K1272" s="1453"/>
      <c r="L1272" s="1444"/>
      <c r="M1272" s="0"/>
      <c r="N1272" s="0"/>
      <c r="O1272" s="0"/>
      <c r="P1272" s="0"/>
      <c r="Q1272" s="0"/>
      <c r="R1272" s="0"/>
      <c r="S1272" s="0"/>
      <c r="T1272" s="0"/>
      <c r="U1272" s="0"/>
      <c r="V1272" s="0"/>
      <c r="W1272" s="0"/>
      <c r="X1272" s="0"/>
      <c r="Y1272" s="0"/>
      <c r="Z1272" s="0"/>
      <c r="AA1272" s="0"/>
      <c r="AB1272" s="0"/>
      <c r="AC1272" s="0"/>
      <c r="AD1272" s="0"/>
      <c r="AE1272" s="0"/>
      <c r="AF1272" s="0"/>
      <c r="AG1272" s="0"/>
      <c r="AH1272" s="0"/>
      <c r="AI1272" s="0"/>
      <c r="AJ1272" s="0"/>
      <c r="AK1272" s="0"/>
      <c r="AL1272" s="0"/>
      <c r="AM1272" s="0"/>
      <c r="AN1272" s="0"/>
      <c r="AO1272" s="0"/>
      <c r="AP1272" s="0"/>
      <c r="AQ1272" s="0"/>
      <c r="AR1272" s="0"/>
      <c r="AS1272" s="0"/>
      <c r="AT1272" s="0"/>
      <c r="AU1272" s="0"/>
      <c r="AV1272" s="0"/>
      <c r="AW1272" s="0"/>
      <c r="AX1272" s="0"/>
      <c r="AY1272" s="0"/>
      <c r="AZ1272" s="0"/>
      <c r="BA1272" s="0"/>
      <c r="BB1272" s="0"/>
      <c r="BC1272" s="0"/>
      <c r="BD1272" s="0"/>
      <c r="BE1272" s="0"/>
      <c r="BF1272" s="0"/>
      <c r="BG1272" s="0"/>
      <c r="BH1272" s="0"/>
      <c r="BI1272" s="0"/>
      <c r="BJ1272" s="0"/>
      <c r="BK1272" s="0"/>
      <c r="BL1272" s="0"/>
      <c r="BM1272" s="0"/>
      <c r="BN1272" s="0"/>
      <c r="BO1272" s="0"/>
      <c r="BP1272" s="0"/>
      <c r="BQ1272" s="0"/>
      <c r="BR1272" s="0"/>
      <c r="BS1272" s="0"/>
      <c r="BT1272" s="0"/>
      <c r="BU1272" s="0"/>
      <c r="BV1272" s="0"/>
      <c r="BW1272" s="0"/>
      <c r="BX1272" s="0"/>
      <c r="BY1272" s="0"/>
      <c r="BZ1272" s="0"/>
      <c r="CA1272" s="0"/>
      <c r="CB1272" s="0"/>
      <c r="CC1272" s="0"/>
      <c r="CD1272" s="0"/>
      <c r="CE1272" s="0"/>
      <c r="CF1272" s="0"/>
      <c r="CG1272" s="0"/>
      <c r="CH1272" s="0"/>
      <c r="CI1272" s="0"/>
      <c r="CJ1272" s="0"/>
      <c r="CK1272" s="0"/>
      <c r="CL1272" s="0"/>
      <c r="CM1272" s="0"/>
      <c r="CN1272" s="0"/>
      <c r="CO1272" s="0"/>
      <c r="CP1272" s="0"/>
      <c r="CQ1272" s="0"/>
      <c r="CR1272" s="0"/>
      <c r="CS1272" s="0"/>
      <c r="CT1272" s="0"/>
      <c r="CU1272" s="0"/>
      <c r="CV1272" s="0"/>
      <c r="CW1272" s="0"/>
      <c r="CX1272" s="0"/>
      <c r="CY1272" s="0"/>
      <c r="CZ1272" s="0"/>
      <c r="DA1272" s="0"/>
      <c r="DB1272" s="0"/>
      <c r="DC1272" s="0"/>
      <c r="DD1272" s="0"/>
      <c r="DE1272" s="0"/>
      <c r="DF1272" s="0"/>
      <c r="DG1272" s="0"/>
      <c r="DH1272" s="0"/>
      <c r="DI1272" s="0"/>
      <c r="DJ1272" s="0"/>
      <c r="DK1272" s="0"/>
      <c r="DL1272" s="0"/>
      <c r="DM1272" s="0"/>
      <c r="DN1272" s="0"/>
      <c r="DO1272" s="0"/>
      <c r="DP1272" s="0"/>
      <c r="DQ1272" s="0"/>
      <c r="DR1272" s="0"/>
      <c r="DS1272" s="0"/>
      <c r="DT1272" s="0"/>
      <c r="DU1272" s="0"/>
      <c r="DV1272" s="0"/>
      <c r="DW1272" s="0"/>
      <c r="DX1272" s="0"/>
      <c r="DY1272" s="0"/>
      <c r="DZ1272" s="0"/>
      <c r="EA1272" s="0"/>
      <c r="EB1272" s="0"/>
      <c r="EC1272" s="0"/>
      <c r="ED1272" s="0"/>
      <c r="EE1272" s="0"/>
      <c r="EF1272" s="0"/>
      <c r="EG1272" s="0"/>
      <c r="EH1272" s="0"/>
      <c r="EI1272" s="0"/>
      <c r="EJ1272" s="0"/>
      <c r="EK1272" s="0"/>
      <c r="EL1272" s="0"/>
      <c r="EM1272" s="0"/>
      <c r="EN1272" s="0"/>
      <c r="EO1272" s="0"/>
      <c r="EP1272" s="0"/>
      <c r="EQ1272" s="0"/>
      <c r="ER1272" s="0"/>
      <c r="ES1272" s="0"/>
      <c r="ET1272" s="0"/>
      <c r="EU1272" s="0"/>
      <c r="EV1272" s="0"/>
      <c r="EW1272" s="0"/>
      <c r="EX1272" s="0"/>
      <c r="EY1272" s="0"/>
      <c r="EZ1272" s="0"/>
      <c r="FA1272" s="0"/>
      <c r="FB1272" s="0"/>
      <c r="FC1272" s="0"/>
      <c r="FD1272" s="0"/>
      <c r="FE1272" s="0"/>
      <c r="FF1272" s="0"/>
      <c r="FG1272" s="0"/>
      <c r="FH1272" s="0"/>
      <c r="FI1272" s="0"/>
      <c r="FJ1272" s="0"/>
      <c r="FK1272" s="0"/>
      <c r="FL1272" s="0"/>
      <c r="FM1272" s="0"/>
      <c r="FN1272" s="0"/>
      <c r="FO1272" s="0"/>
      <c r="FP1272" s="0"/>
      <c r="FQ1272" s="0"/>
      <c r="FR1272" s="0"/>
      <c r="FS1272" s="0"/>
      <c r="FT1272" s="0"/>
      <c r="FU1272" s="0"/>
      <c r="FV1272" s="0"/>
      <c r="FW1272" s="0"/>
      <c r="FX1272" s="0"/>
      <c r="FY1272" s="0"/>
      <c r="FZ1272" s="0"/>
      <c r="GA1272" s="0"/>
      <c r="GB1272" s="0"/>
      <c r="GC1272" s="0"/>
      <c r="GD1272" s="0"/>
      <c r="GE1272" s="0"/>
      <c r="GF1272" s="0"/>
      <c r="GG1272" s="0"/>
      <c r="GH1272" s="0"/>
      <c r="GI1272" s="0"/>
      <c r="GJ1272" s="0"/>
      <c r="GK1272" s="0"/>
      <c r="GL1272" s="0"/>
      <c r="GM1272" s="0"/>
      <c r="GN1272" s="0"/>
      <c r="GO1272" s="0"/>
      <c r="GP1272" s="0"/>
      <c r="GQ1272" s="0"/>
      <c r="GR1272" s="0"/>
      <c r="GS1272" s="0"/>
      <c r="GT1272" s="0"/>
      <c r="GU1272" s="0"/>
      <c r="GV1272" s="0"/>
      <c r="GW1272" s="0"/>
      <c r="GX1272" s="0"/>
      <c r="GY1272" s="0"/>
      <c r="GZ1272" s="0"/>
      <c r="HA1272" s="0"/>
      <c r="HB1272" s="0"/>
      <c r="HC1272" s="0"/>
      <c r="HD1272" s="0"/>
      <c r="HE1272" s="0"/>
      <c r="HF1272" s="0"/>
      <c r="HG1272" s="0"/>
      <c r="HH1272" s="0"/>
      <c r="HI1272" s="0"/>
      <c r="HJ1272" s="0"/>
      <c r="HK1272" s="0"/>
      <c r="HL1272" s="0"/>
      <c r="HM1272" s="0"/>
      <c r="HN1272" s="0"/>
      <c r="HO1272" s="0"/>
      <c r="HP1272" s="0"/>
      <c r="HQ1272" s="0"/>
      <c r="HR1272" s="0"/>
      <c r="HS1272" s="0"/>
      <c r="HT1272" s="0"/>
      <c r="HU1272" s="0"/>
      <c r="HV1272" s="0"/>
      <c r="HW1272" s="0"/>
      <c r="HX1272" s="0"/>
      <c r="HY1272" s="0"/>
      <c r="HZ1272" s="0"/>
      <c r="IA1272" s="0"/>
      <c r="IB1272" s="0"/>
      <c r="IC1272" s="0"/>
      <c r="ID1272" s="0"/>
      <c r="IE1272" s="0"/>
      <c r="IF1272" s="0"/>
      <c r="IG1272" s="0"/>
      <c r="IH1272" s="0"/>
      <c r="II1272" s="0"/>
      <c r="IJ1272" s="0"/>
      <c r="IK1272" s="0"/>
      <c r="IL1272" s="0"/>
      <c r="IM1272" s="0"/>
      <c r="IN1272" s="0"/>
      <c r="IO1272" s="0"/>
      <c r="IP1272" s="0"/>
      <c r="IQ1272" s="0"/>
      <c r="IR1272" s="0"/>
      <c r="IS1272" s="0"/>
      <c r="IT1272" s="0"/>
      <c r="IU1272" s="0"/>
      <c r="IV1272" s="0"/>
    </row>
    <row r="1273" customFormat="false" ht="15" hidden="false" customHeight="true" outlineLevel="0" collapsed="false">
      <c r="A1273" s="1454" t="s">
        <v>925</v>
      </c>
      <c r="B1273" s="1455"/>
      <c r="C1273" s="1455"/>
      <c r="D1273" s="1455"/>
      <c r="E1273" s="1477"/>
      <c r="F1273" s="1457" t="n">
        <f aca="false">E1273/$E$1304</f>
        <v>0</v>
      </c>
      <c r="G1273" s="1459"/>
      <c r="I1273" s="891"/>
      <c r="J1273" s="0"/>
      <c r="K1273" s="1453"/>
      <c r="L1273" s="1444"/>
      <c r="M1273" s="0"/>
      <c r="N1273" s="0"/>
      <c r="O1273" s="0"/>
      <c r="P1273" s="0"/>
      <c r="Q1273" s="0"/>
      <c r="R1273" s="0"/>
      <c r="S1273" s="0"/>
      <c r="T1273" s="0"/>
      <c r="U1273" s="0"/>
      <c r="V1273" s="0"/>
      <c r="W1273" s="0"/>
      <c r="X1273" s="0"/>
      <c r="Y1273" s="0"/>
      <c r="Z1273" s="0"/>
      <c r="AA1273" s="0"/>
      <c r="AB1273" s="0"/>
      <c r="AC1273" s="0"/>
      <c r="AD1273" s="0"/>
      <c r="AE1273" s="0"/>
      <c r="AF1273" s="0"/>
      <c r="AG1273" s="0"/>
      <c r="AH1273" s="0"/>
      <c r="AI1273" s="0"/>
      <c r="AJ1273" s="0"/>
      <c r="AK1273" s="0"/>
      <c r="AL1273" s="0"/>
      <c r="AM1273" s="0"/>
      <c r="AN1273" s="0"/>
      <c r="AO1273" s="0"/>
      <c r="AP1273" s="0"/>
      <c r="AQ1273" s="0"/>
      <c r="AR1273" s="0"/>
      <c r="AS1273" s="0"/>
      <c r="AT1273" s="0"/>
      <c r="AU1273" s="0"/>
      <c r="AV1273" s="0"/>
      <c r="AW1273" s="0"/>
      <c r="AX1273" s="0"/>
      <c r="AY1273" s="0"/>
      <c r="AZ1273" s="0"/>
      <c r="BA1273" s="0"/>
      <c r="BB1273" s="0"/>
      <c r="BC1273" s="0"/>
      <c r="BD1273" s="0"/>
      <c r="BE1273" s="0"/>
      <c r="BF1273" s="0"/>
      <c r="BG1273" s="0"/>
      <c r="BH1273" s="0"/>
      <c r="BI1273" s="0"/>
      <c r="BJ1273" s="0"/>
      <c r="BK1273" s="0"/>
      <c r="BL1273" s="0"/>
      <c r="BM1273" s="0"/>
      <c r="BN1273" s="0"/>
      <c r="BO1273" s="0"/>
      <c r="BP1273" s="0"/>
      <c r="BQ1273" s="0"/>
      <c r="BR1273" s="0"/>
      <c r="BS1273" s="0"/>
      <c r="BT1273" s="0"/>
      <c r="BU1273" s="0"/>
      <c r="BV1273" s="0"/>
      <c r="BW1273" s="0"/>
      <c r="BX1273" s="0"/>
      <c r="BY1273" s="0"/>
      <c r="BZ1273" s="0"/>
      <c r="CA1273" s="0"/>
      <c r="CB1273" s="0"/>
      <c r="CC1273" s="0"/>
      <c r="CD1273" s="0"/>
      <c r="CE1273" s="0"/>
      <c r="CF1273" s="0"/>
      <c r="CG1273" s="0"/>
      <c r="CH1273" s="0"/>
      <c r="CI1273" s="0"/>
      <c r="CJ1273" s="0"/>
      <c r="CK1273" s="0"/>
      <c r="CL1273" s="0"/>
      <c r="CM1273" s="0"/>
      <c r="CN1273" s="0"/>
      <c r="CO1273" s="0"/>
      <c r="CP1273" s="0"/>
      <c r="CQ1273" s="0"/>
      <c r="CR1273" s="0"/>
      <c r="CS1273" s="0"/>
      <c r="CT1273" s="0"/>
      <c r="CU1273" s="0"/>
      <c r="CV1273" s="0"/>
      <c r="CW1273" s="0"/>
      <c r="CX1273" s="0"/>
      <c r="CY1273" s="0"/>
      <c r="CZ1273" s="0"/>
      <c r="DA1273" s="0"/>
      <c r="DB1273" s="0"/>
      <c r="DC1273" s="0"/>
      <c r="DD1273" s="0"/>
      <c r="DE1273" s="0"/>
      <c r="DF1273" s="0"/>
      <c r="DG1273" s="0"/>
      <c r="DH1273" s="0"/>
      <c r="DI1273" s="0"/>
      <c r="DJ1273" s="0"/>
      <c r="DK1273" s="0"/>
      <c r="DL1273" s="0"/>
      <c r="DM1273" s="0"/>
      <c r="DN1273" s="0"/>
      <c r="DO1273" s="0"/>
      <c r="DP1273" s="0"/>
      <c r="DQ1273" s="0"/>
      <c r="DR1273" s="0"/>
      <c r="DS1273" s="0"/>
      <c r="DT1273" s="0"/>
      <c r="DU1273" s="0"/>
      <c r="DV1273" s="0"/>
      <c r="DW1273" s="0"/>
      <c r="DX1273" s="0"/>
      <c r="DY1273" s="0"/>
      <c r="DZ1273" s="0"/>
      <c r="EA1273" s="0"/>
      <c r="EB1273" s="0"/>
      <c r="EC1273" s="0"/>
      <c r="ED1273" s="0"/>
      <c r="EE1273" s="0"/>
      <c r="EF1273" s="0"/>
      <c r="EG1273" s="0"/>
      <c r="EH1273" s="0"/>
      <c r="EI1273" s="0"/>
      <c r="EJ1273" s="0"/>
      <c r="EK1273" s="0"/>
      <c r="EL1273" s="0"/>
      <c r="EM1273" s="0"/>
      <c r="EN1273" s="0"/>
      <c r="EO1273" s="0"/>
      <c r="EP1273" s="0"/>
      <c r="EQ1273" s="0"/>
      <c r="ER1273" s="0"/>
      <c r="ES1273" s="0"/>
      <c r="ET1273" s="0"/>
      <c r="EU1273" s="0"/>
      <c r="EV1273" s="0"/>
      <c r="EW1273" s="0"/>
      <c r="EX1273" s="0"/>
      <c r="EY1273" s="0"/>
      <c r="EZ1273" s="0"/>
      <c r="FA1273" s="0"/>
      <c r="FB1273" s="0"/>
      <c r="FC1273" s="0"/>
      <c r="FD1273" s="0"/>
      <c r="FE1273" s="0"/>
      <c r="FF1273" s="0"/>
      <c r="FG1273" s="0"/>
      <c r="FH1273" s="0"/>
      <c r="FI1273" s="0"/>
      <c r="FJ1273" s="0"/>
      <c r="FK1273" s="0"/>
      <c r="FL1273" s="0"/>
      <c r="FM1273" s="0"/>
      <c r="FN1273" s="0"/>
      <c r="FO1273" s="0"/>
      <c r="FP1273" s="0"/>
      <c r="FQ1273" s="0"/>
      <c r="FR1273" s="0"/>
      <c r="FS1273" s="0"/>
      <c r="FT1273" s="0"/>
      <c r="FU1273" s="0"/>
      <c r="FV1273" s="0"/>
      <c r="FW1273" s="0"/>
      <c r="FX1273" s="0"/>
      <c r="FY1273" s="0"/>
      <c r="FZ1273" s="0"/>
      <c r="GA1273" s="0"/>
      <c r="GB1273" s="0"/>
      <c r="GC1273" s="0"/>
      <c r="GD1273" s="0"/>
      <c r="GE1273" s="0"/>
      <c r="GF1273" s="0"/>
      <c r="GG1273" s="0"/>
      <c r="GH1273" s="0"/>
      <c r="GI1273" s="0"/>
      <c r="GJ1273" s="0"/>
      <c r="GK1273" s="0"/>
      <c r="GL1273" s="0"/>
      <c r="GM1273" s="0"/>
      <c r="GN1273" s="0"/>
      <c r="GO1273" s="0"/>
      <c r="GP1273" s="0"/>
      <c r="GQ1273" s="0"/>
      <c r="GR1273" s="0"/>
      <c r="GS1273" s="0"/>
      <c r="GT1273" s="0"/>
      <c r="GU1273" s="0"/>
      <c r="GV1273" s="0"/>
      <c r="GW1273" s="0"/>
      <c r="GX1273" s="0"/>
      <c r="GY1273" s="0"/>
      <c r="GZ1273" s="0"/>
      <c r="HA1273" s="0"/>
      <c r="HB1273" s="0"/>
      <c r="HC1273" s="0"/>
      <c r="HD1273" s="0"/>
      <c r="HE1273" s="0"/>
      <c r="HF1273" s="0"/>
      <c r="HG1273" s="0"/>
      <c r="HH1273" s="0"/>
      <c r="HI1273" s="0"/>
      <c r="HJ1273" s="0"/>
      <c r="HK1273" s="0"/>
      <c r="HL1273" s="0"/>
      <c r="HM1273" s="0"/>
      <c r="HN1273" s="0"/>
      <c r="HO1273" s="0"/>
      <c r="HP1273" s="0"/>
      <c r="HQ1273" s="0"/>
      <c r="HR1273" s="0"/>
      <c r="HS1273" s="0"/>
      <c r="HT1273" s="0"/>
      <c r="HU1273" s="0"/>
      <c r="HV1273" s="0"/>
      <c r="HW1273" s="0"/>
      <c r="HX1273" s="0"/>
      <c r="HY1273" s="0"/>
      <c r="HZ1273" s="0"/>
      <c r="IA1273" s="0"/>
      <c r="IB1273" s="0"/>
      <c r="IC1273" s="0"/>
      <c r="ID1273" s="0"/>
      <c r="IE1273" s="0"/>
      <c r="IF1273" s="0"/>
      <c r="IG1273" s="0"/>
      <c r="IH1273" s="0"/>
      <c r="II1273" s="0"/>
      <c r="IJ1273" s="0"/>
      <c r="IK1273" s="0"/>
      <c r="IL1273" s="0"/>
      <c r="IM1273" s="0"/>
      <c r="IN1273" s="0"/>
      <c r="IO1273" s="0"/>
      <c r="IP1273" s="0"/>
      <c r="IQ1273" s="0"/>
      <c r="IR1273" s="0"/>
      <c r="IS1273" s="0"/>
      <c r="IT1273" s="0"/>
      <c r="IU1273" s="0"/>
      <c r="IV1273" s="0"/>
    </row>
    <row r="1274" customFormat="false" ht="15.75" hidden="false" customHeight="true" outlineLevel="0" collapsed="false">
      <c r="A1274" s="1454" t="s">
        <v>926</v>
      </c>
      <c r="B1274" s="1468"/>
      <c r="C1274" s="1468"/>
      <c r="D1274" s="1468"/>
      <c r="E1274" s="1472"/>
      <c r="F1274" s="1470" t="n">
        <f aca="false">E1274/$E$1304</f>
        <v>0</v>
      </c>
      <c r="G1274" s="1475"/>
      <c r="I1274" s="1249"/>
      <c r="J1274" s="0"/>
      <c r="K1274" s="1453"/>
      <c r="L1274" s="1444"/>
      <c r="M1274" s="0"/>
      <c r="N1274" s="0"/>
      <c r="O1274" s="0"/>
      <c r="P1274" s="0"/>
      <c r="Q1274" s="0"/>
      <c r="R1274" s="55"/>
      <c r="S1274" s="0"/>
      <c r="T1274" s="0"/>
      <c r="U1274" s="0"/>
      <c r="V1274" s="0"/>
      <c r="W1274" s="0"/>
      <c r="X1274" s="0"/>
      <c r="Y1274" s="0"/>
      <c r="Z1274" s="0"/>
      <c r="AA1274" s="0"/>
      <c r="AB1274" s="0"/>
      <c r="AC1274" s="0"/>
      <c r="AD1274" s="0"/>
      <c r="AE1274" s="0"/>
      <c r="AF1274" s="0"/>
      <c r="AG1274" s="0"/>
      <c r="AH1274" s="0"/>
      <c r="AI1274" s="0"/>
      <c r="AJ1274" s="0"/>
      <c r="AK1274" s="0"/>
      <c r="AL1274" s="0"/>
      <c r="AM1274" s="0"/>
      <c r="AN1274" s="0"/>
      <c r="AO1274" s="0"/>
      <c r="AP1274" s="0"/>
      <c r="AQ1274" s="0"/>
      <c r="AR1274" s="0"/>
      <c r="AS1274" s="0"/>
      <c r="AT1274" s="0"/>
      <c r="AU1274" s="0"/>
      <c r="AV1274" s="0"/>
      <c r="AW1274" s="0"/>
      <c r="AX1274" s="0"/>
      <c r="AY1274" s="0"/>
      <c r="AZ1274" s="0"/>
      <c r="BA1274" s="0"/>
      <c r="BB1274" s="0"/>
      <c r="BC1274" s="0"/>
      <c r="BD1274" s="0"/>
      <c r="BE1274" s="0"/>
      <c r="BF1274" s="0"/>
      <c r="BG1274" s="0"/>
      <c r="BH1274" s="0"/>
      <c r="BI1274" s="0"/>
      <c r="BJ1274" s="0"/>
      <c r="BK1274" s="0"/>
      <c r="BL1274" s="0"/>
      <c r="BM1274" s="0"/>
      <c r="BN1274" s="0"/>
      <c r="BO1274" s="0"/>
      <c r="BP1274" s="0"/>
      <c r="BQ1274" s="0"/>
      <c r="BR1274" s="0"/>
      <c r="BS1274" s="0"/>
      <c r="BT1274" s="0"/>
      <c r="BU1274" s="0"/>
      <c r="BV1274" s="0"/>
      <c r="BW1274" s="0"/>
      <c r="BX1274" s="0"/>
      <c r="BY1274" s="0"/>
      <c r="BZ1274" s="0"/>
      <c r="CA1274" s="0"/>
      <c r="CB1274" s="0"/>
      <c r="CC1274" s="0"/>
      <c r="CD1274" s="0"/>
      <c r="CE1274" s="0"/>
      <c r="CF1274" s="0"/>
      <c r="CG1274" s="0"/>
      <c r="CH1274" s="0"/>
      <c r="CI1274" s="0"/>
      <c r="CJ1274" s="0"/>
      <c r="CK1274" s="0"/>
      <c r="CL1274" s="0"/>
      <c r="CM1274" s="0"/>
      <c r="CN1274" s="0"/>
      <c r="CO1274" s="0"/>
      <c r="CP1274" s="0"/>
      <c r="CQ1274" s="0"/>
      <c r="CR1274" s="0"/>
      <c r="CS1274" s="0"/>
      <c r="CT1274" s="0"/>
      <c r="CU1274" s="0"/>
      <c r="CV1274" s="0"/>
      <c r="CW1274" s="0"/>
      <c r="CX1274" s="0"/>
      <c r="CY1274" s="0"/>
      <c r="CZ1274" s="0"/>
      <c r="DA1274" s="0"/>
      <c r="DB1274" s="0"/>
      <c r="DC1274" s="0"/>
      <c r="DD1274" s="0"/>
      <c r="DE1274" s="0"/>
      <c r="DF1274" s="0"/>
      <c r="DG1274" s="0"/>
      <c r="DH1274" s="0"/>
      <c r="DI1274" s="0"/>
      <c r="DJ1274" s="0"/>
      <c r="DK1274" s="0"/>
      <c r="DL1274" s="0"/>
      <c r="DM1274" s="0"/>
      <c r="DN1274" s="0"/>
      <c r="DO1274" s="0"/>
      <c r="DP1274" s="0"/>
      <c r="DQ1274" s="0"/>
      <c r="DR1274" s="0"/>
      <c r="DS1274" s="0"/>
      <c r="DT1274" s="0"/>
      <c r="DU1274" s="0"/>
      <c r="DV1274" s="0"/>
      <c r="DW1274" s="0"/>
      <c r="DX1274" s="0"/>
      <c r="DY1274" s="0"/>
      <c r="DZ1274" s="0"/>
      <c r="EA1274" s="0"/>
      <c r="EB1274" s="0"/>
      <c r="EC1274" s="0"/>
      <c r="ED1274" s="0"/>
      <c r="EE1274" s="0"/>
      <c r="EF1274" s="0"/>
      <c r="EG1274" s="0"/>
      <c r="EH1274" s="0"/>
      <c r="EI1274" s="0"/>
      <c r="EJ1274" s="0"/>
      <c r="EK1274" s="0"/>
      <c r="EL1274" s="0"/>
      <c r="EM1274" s="0"/>
      <c r="EN1274" s="0"/>
      <c r="EO1274" s="0"/>
      <c r="EP1274" s="0"/>
      <c r="EQ1274" s="0"/>
      <c r="ER1274" s="0"/>
      <c r="ES1274" s="0"/>
      <c r="ET1274" s="0"/>
      <c r="EU1274" s="0"/>
      <c r="EV1274" s="0"/>
      <c r="EW1274" s="0"/>
      <c r="EX1274" s="0"/>
      <c r="EY1274" s="0"/>
      <c r="EZ1274" s="0"/>
      <c r="FA1274" s="0"/>
      <c r="FB1274" s="0"/>
      <c r="FC1274" s="0"/>
      <c r="FD1274" s="0"/>
      <c r="FE1274" s="0"/>
      <c r="FF1274" s="0"/>
      <c r="FG1274" s="0"/>
      <c r="FH1274" s="0"/>
      <c r="FI1274" s="0"/>
      <c r="FJ1274" s="0"/>
      <c r="FK1274" s="0"/>
      <c r="FL1274" s="0"/>
      <c r="FM1274" s="0"/>
      <c r="FN1274" s="0"/>
      <c r="FO1274" s="0"/>
      <c r="FP1274" s="0"/>
      <c r="FQ1274" s="0"/>
      <c r="FR1274" s="0"/>
      <c r="FS1274" s="0"/>
      <c r="FT1274" s="0"/>
      <c r="FU1274" s="0"/>
      <c r="FV1274" s="0"/>
      <c r="FW1274" s="0"/>
      <c r="FX1274" s="0"/>
      <c r="FY1274" s="0"/>
      <c r="FZ1274" s="0"/>
      <c r="GA1274" s="0"/>
      <c r="GB1274" s="0"/>
      <c r="GC1274" s="0"/>
      <c r="GD1274" s="0"/>
      <c r="GE1274" s="0"/>
      <c r="GF1274" s="0"/>
      <c r="GG1274" s="0"/>
      <c r="GH1274" s="0"/>
      <c r="GI1274" s="0"/>
      <c r="GJ1274" s="0"/>
      <c r="GK1274" s="0"/>
      <c r="GL1274" s="0"/>
      <c r="GM1274" s="0"/>
      <c r="GN1274" s="0"/>
      <c r="GO1274" s="0"/>
      <c r="GP1274" s="0"/>
      <c r="GQ1274" s="0"/>
      <c r="GR1274" s="0"/>
      <c r="GS1274" s="0"/>
      <c r="GT1274" s="0"/>
      <c r="GU1274" s="0"/>
      <c r="GV1274" s="0"/>
      <c r="GW1274" s="0"/>
      <c r="GX1274" s="0"/>
      <c r="GY1274" s="0"/>
      <c r="GZ1274" s="0"/>
      <c r="HA1274" s="0"/>
      <c r="HB1274" s="0"/>
      <c r="HC1274" s="0"/>
      <c r="HD1274" s="0"/>
      <c r="HE1274" s="0"/>
      <c r="HF1274" s="0"/>
      <c r="HG1274" s="0"/>
      <c r="HH1274" s="0"/>
      <c r="HI1274" s="0"/>
      <c r="HJ1274" s="0"/>
      <c r="HK1274" s="0"/>
      <c r="HL1274" s="0"/>
      <c r="HM1274" s="0"/>
      <c r="HN1274" s="0"/>
      <c r="HO1274" s="0"/>
      <c r="HP1274" s="0"/>
      <c r="HQ1274" s="0"/>
      <c r="HR1274" s="0"/>
      <c r="HS1274" s="0"/>
      <c r="HT1274" s="0"/>
      <c r="HU1274" s="0"/>
      <c r="HV1274" s="0"/>
      <c r="HW1274" s="0"/>
      <c r="HX1274" s="0"/>
      <c r="HY1274" s="0"/>
      <c r="HZ1274" s="0"/>
      <c r="IA1274" s="0"/>
      <c r="IB1274" s="0"/>
      <c r="IC1274" s="0"/>
      <c r="ID1274" s="0"/>
      <c r="IE1274" s="0"/>
      <c r="IF1274" s="0"/>
      <c r="IG1274" s="0"/>
      <c r="IH1274" s="0"/>
      <c r="II1274" s="0"/>
      <c r="IJ1274" s="0"/>
      <c r="IK1274" s="0"/>
      <c r="IL1274" s="0"/>
      <c r="IM1274" s="0"/>
      <c r="IN1274" s="0"/>
      <c r="IO1274" s="0"/>
      <c r="IP1274" s="0"/>
      <c r="IQ1274" s="0"/>
      <c r="IR1274" s="0"/>
      <c r="IS1274" s="0"/>
      <c r="IT1274" s="0"/>
      <c r="IU1274" s="0"/>
      <c r="IV1274" s="0"/>
    </row>
    <row r="1275" customFormat="false" ht="15" hidden="false" customHeight="true" outlineLevel="0" collapsed="false">
      <c r="A1275" s="1448" t="s">
        <v>927</v>
      </c>
      <c r="B1275" s="1449"/>
      <c r="C1275" s="1449"/>
      <c r="D1275" s="1449"/>
      <c r="E1275" s="1450" t="n">
        <f aca="false">SUM(E1276:E1278)</f>
        <v>0</v>
      </c>
      <c r="F1275" s="1451"/>
      <c r="G1275" s="1452"/>
      <c r="I1275" s="1249"/>
      <c r="J1275" s="0"/>
      <c r="K1275" s="1453"/>
      <c r="L1275" s="1444"/>
      <c r="M1275" s="0"/>
      <c r="N1275" s="0"/>
      <c r="O1275" s="0"/>
      <c r="P1275" s="0"/>
      <c r="Q1275" s="0"/>
      <c r="R1275" s="0"/>
      <c r="S1275" s="0"/>
      <c r="T1275" s="0"/>
      <c r="U1275" s="0"/>
      <c r="V1275" s="0"/>
      <c r="W1275" s="0"/>
      <c r="X1275" s="0"/>
      <c r="Y1275" s="0"/>
      <c r="Z1275" s="0"/>
      <c r="AA1275" s="0"/>
      <c r="AB1275" s="0"/>
      <c r="AC1275" s="0"/>
      <c r="AD1275" s="0"/>
      <c r="AE1275" s="0"/>
      <c r="AF1275" s="0"/>
      <c r="AG1275" s="0"/>
      <c r="AH1275" s="0"/>
      <c r="AI1275" s="0"/>
      <c r="AJ1275" s="0"/>
      <c r="AK1275" s="0"/>
      <c r="AL1275" s="0"/>
      <c r="AM1275" s="0"/>
      <c r="AN1275" s="0"/>
      <c r="AO1275" s="0"/>
      <c r="AP1275" s="0"/>
      <c r="AQ1275" s="0"/>
      <c r="AR1275" s="0"/>
      <c r="AS1275" s="0"/>
      <c r="AT1275" s="0"/>
      <c r="AU1275" s="0"/>
      <c r="AV1275" s="0"/>
      <c r="AW1275" s="0"/>
      <c r="AX1275" s="0"/>
      <c r="AY1275" s="0"/>
      <c r="AZ1275" s="0"/>
      <c r="BA1275" s="0"/>
      <c r="BB1275" s="0"/>
      <c r="BC1275" s="0"/>
      <c r="BD1275" s="0"/>
      <c r="BE1275" s="0"/>
      <c r="BF1275" s="0"/>
      <c r="BG1275" s="0"/>
      <c r="BH1275" s="0"/>
      <c r="BI1275" s="0"/>
      <c r="BJ1275" s="0"/>
      <c r="BK1275" s="0"/>
      <c r="BL1275" s="0"/>
      <c r="BM1275" s="0"/>
      <c r="BN1275" s="0"/>
      <c r="BO1275" s="0"/>
      <c r="BP1275" s="0"/>
      <c r="BQ1275" s="0"/>
      <c r="BR1275" s="0"/>
      <c r="BS1275" s="0"/>
      <c r="BT1275" s="0"/>
      <c r="BU1275" s="0"/>
      <c r="BV1275" s="0"/>
      <c r="BW1275" s="0"/>
      <c r="BX1275" s="0"/>
      <c r="BY1275" s="0"/>
      <c r="BZ1275" s="0"/>
      <c r="CA1275" s="0"/>
      <c r="CB1275" s="0"/>
      <c r="CC1275" s="0"/>
      <c r="CD1275" s="0"/>
      <c r="CE1275" s="0"/>
      <c r="CF1275" s="0"/>
      <c r="CG1275" s="0"/>
      <c r="CH1275" s="0"/>
      <c r="CI1275" s="0"/>
      <c r="CJ1275" s="0"/>
      <c r="CK1275" s="0"/>
      <c r="CL1275" s="0"/>
      <c r="CM1275" s="0"/>
      <c r="CN1275" s="0"/>
      <c r="CO1275" s="0"/>
      <c r="CP1275" s="0"/>
      <c r="CQ1275" s="0"/>
      <c r="CR1275" s="0"/>
      <c r="CS1275" s="0"/>
      <c r="CT1275" s="0"/>
      <c r="CU1275" s="0"/>
      <c r="CV1275" s="0"/>
      <c r="CW1275" s="0"/>
      <c r="CX1275" s="0"/>
      <c r="CY1275" s="0"/>
      <c r="CZ1275" s="0"/>
      <c r="DA1275" s="0"/>
      <c r="DB1275" s="0"/>
      <c r="DC1275" s="0"/>
      <c r="DD1275" s="0"/>
      <c r="DE1275" s="0"/>
      <c r="DF1275" s="0"/>
      <c r="DG1275" s="0"/>
      <c r="DH1275" s="0"/>
      <c r="DI1275" s="0"/>
      <c r="DJ1275" s="0"/>
      <c r="DK1275" s="0"/>
      <c r="DL1275" s="0"/>
      <c r="DM1275" s="0"/>
      <c r="DN1275" s="0"/>
      <c r="DO1275" s="0"/>
      <c r="DP1275" s="0"/>
      <c r="DQ1275" s="0"/>
      <c r="DR1275" s="0"/>
      <c r="DS1275" s="0"/>
      <c r="DT1275" s="0"/>
      <c r="DU1275" s="0"/>
      <c r="DV1275" s="0"/>
      <c r="DW1275" s="0"/>
      <c r="DX1275" s="0"/>
      <c r="DY1275" s="0"/>
      <c r="DZ1275" s="0"/>
      <c r="EA1275" s="0"/>
      <c r="EB1275" s="0"/>
      <c r="EC1275" s="0"/>
      <c r="ED1275" s="0"/>
      <c r="EE1275" s="0"/>
      <c r="EF1275" s="0"/>
      <c r="EG1275" s="0"/>
      <c r="EH1275" s="0"/>
      <c r="EI1275" s="0"/>
      <c r="EJ1275" s="0"/>
      <c r="EK1275" s="0"/>
      <c r="EL1275" s="0"/>
      <c r="EM1275" s="0"/>
      <c r="EN1275" s="0"/>
      <c r="EO1275" s="0"/>
      <c r="EP1275" s="0"/>
      <c r="EQ1275" s="0"/>
      <c r="ER1275" s="0"/>
      <c r="ES1275" s="0"/>
      <c r="ET1275" s="0"/>
      <c r="EU1275" s="0"/>
      <c r="EV1275" s="0"/>
      <c r="EW1275" s="0"/>
      <c r="EX1275" s="0"/>
      <c r="EY1275" s="0"/>
      <c r="EZ1275" s="0"/>
      <c r="FA1275" s="0"/>
      <c r="FB1275" s="0"/>
      <c r="FC1275" s="0"/>
      <c r="FD1275" s="0"/>
      <c r="FE1275" s="0"/>
      <c r="FF1275" s="0"/>
      <c r="FG1275" s="0"/>
      <c r="FH1275" s="0"/>
      <c r="FI1275" s="0"/>
      <c r="FJ1275" s="0"/>
      <c r="FK1275" s="0"/>
      <c r="FL1275" s="0"/>
      <c r="FM1275" s="0"/>
      <c r="FN1275" s="0"/>
      <c r="FO1275" s="0"/>
      <c r="FP1275" s="0"/>
      <c r="FQ1275" s="0"/>
      <c r="FR1275" s="0"/>
      <c r="FS1275" s="0"/>
      <c r="FT1275" s="0"/>
      <c r="FU1275" s="0"/>
      <c r="FV1275" s="0"/>
      <c r="FW1275" s="0"/>
      <c r="FX1275" s="0"/>
      <c r="FY1275" s="0"/>
      <c r="FZ1275" s="0"/>
      <c r="GA1275" s="0"/>
      <c r="GB1275" s="0"/>
      <c r="GC1275" s="0"/>
      <c r="GD1275" s="0"/>
      <c r="GE1275" s="0"/>
      <c r="GF1275" s="0"/>
      <c r="GG1275" s="0"/>
      <c r="GH1275" s="0"/>
      <c r="GI1275" s="0"/>
      <c r="GJ1275" s="0"/>
      <c r="GK1275" s="0"/>
      <c r="GL1275" s="0"/>
      <c r="GM1275" s="0"/>
      <c r="GN1275" s="0"/>
      <c r="GO1275" s="0"/>
      <c r="GP1275" s="0"/>
      <c r="GQ1275" s="0"/>
      <c r="GR1275" s="0"/>
      <c r="GS1275" s="0"/>
      <c r="GT1275" s="0"/>
      <c r="GU1275" s="0"/>
      <c r="GV1275" s="0"/>
      <c r="GW1275" s="0"/>
      <c r="GX1275" s="0"/>
      <c r="GY1275" s="0"/>
      <c r="GZ1275" s="0"/>
      <c r="HA1275" s="0"/>
      <c r="HB1275" s="0"/>
      <c r="HC1275" s="0"/>
      <c r="HD1275" s="0"/>
      <c r="HE1275" s="0"/>
      <c r="HF1275" s="0"/>
      <c r="HG1275" s="0"/>
      <c r="HH1275" s="0"/>
      <c r="HI1275" s="0"/>
      <c r="HJ1275" s="0"/>
      <c r="HK1275" s="0"/>
      <c r="HL1275" s="0"/>
      <c r="HM1275" s="0"/>
      <c r="HN1275" s="0"/>
      <c r="HO1275" s="0"/>
      <c r="HP1275" s="0"/>
      <c r="HQ1275" s="0"/>
      <c r="HR1275" s="0"/>
      <c r="HS1275" s="0"/>
      <c r="HT1275" s="0"/>
      <c r="HU1275" s="0"/>
      <c r="HV1275" s="0"/>
      <c r="HW1275" s="0"/>
      <c r="HX1275" s="0"/>
      <c r="HY1275" s="0"/>
      <c r="HZ1275" s="0"/>
      <c r="IA1275" s="0"/>
      <c r="IB1275" s="0"/>
      <c r="IC1275" s="0"/>
      <c r="ID1275" s="0"/>
      <c r="IE1275" s="0"/>
      <c r="IF1275" s="0"/>
      <c r="IG1275" s="0"/>
      <c r="IH1275" s="0"/>
      <c r="II1275" s="0"/>
      <c r="IJ1275" s="0"/>
      <c r="IK1275" s="0"/>
      <c r="IL1275" s="0"/>
      <c r="IM1275" s="0"/>
      <c r="IN1275" s="0"/>
      <c r="IO1275" s="0"/>
      <c r="IP1275" s="0"/>
      <c r="IQ1275" s="0"/>
      <c r="IR1275" s="0"/>
      <c r="IS1275" s="0"/>
      <c r="IT1275" s="0"/>
      <c r="IU1275" s="0"/>
      <c r="IV1275" s="0"/>
    </row>
    <row r="1276" customFormat="false" ht="15" hidden="false" customHeight="true" outlineLevel="0" collapsed="false">
      <c r="A1276" s="1454" t="s">
        <v>928</v>
      </c>
      <c r="B1276" s="1455"/>
      <c r="C1276" s="1455"/>
      <c r="D1276" s="1455"/>
      <c r="E1276" s="1456"/>
      <c r="F1276" s="1457" t="n">
        <f aca="false">E1276/$E$1304</f>
        <v>0</v>
      </c>
      <c r="G1276" s="1458"/>
      <c r="I1276" s="1249"/>
      <c r="J1276" s="0"/>
      <c r="K1276" s="1453"/>
      <c r="L1276" s="1444"/>
      <c r="M1276" s="0"/>
      <c r="N1276" s="0"/>
      <c r="O1276" s="0"/>
      <c r="P1276" s="0"/>
      <c r="Q1276" s="0"/>
      <c r="R1276" s="0"/>
      <c r="S1276" s="0"/>
      <c r="T1276" s="0"/>
      <c r="U1276" s="0"/>
      <c r="V1276" s="0"/>
      <c r="W1276" s="0"/>
      <c r="X1276" s="0"/>
      <c r="Y1276" s="0"/>
      <c r="Z1276" s="0"/>
      <c r="AA1276" s="0"/>
      <c r="AB1276" s="0"/>
      <c r="AC1276" s="0"/>
      <c r="AD1276" s="0"/>
      <c r="AE1276" s="0"/>
      <c r="AF1276" s="0"/>
      <c r="AG1276" s="0"/>
      <c r="AH1276" s="0"/>
      <c r="AI1276" s="0"/>
      <c r="AJ1276" s="0"/>
      <c r="AK1276" s="0"/>
      <c r="AL1276" s="0"/>
      <c r="AM1276" s="0"/>
      <c r="AN1276" s="0"/>
      <c r="AO1276" s="0"/>
      <c r="AP1276" s="0"/>
      <c r="AQ1276" s="0"/>
      <c r="AR1276" s="0"/>
      <c r="AS1276" s="0"/>
      <c r="AT1276" s="0"/>
      <c r="AU1276" s="0"/>
      <c r="AV1276" s="0"/>
      <c r="AW1276" s="0"/>
      <c r="AX1276" s="0"/>
      <c r="AY1276" s="0"/>
      <c r="AZ1276" s="0"/>
      <c r="BA1276" s="0"/>
      <c r="BB1276" s="0"/>
      <c r="BC1276" s="0"/>
      <c r="BD1276" s="0"/>
      <c r="BE1276" s="0"/>
      <c r="BF1276" s="0"/>
      <c r="BG1276" s="0"/>
      <c r="BH1276" s="0"/>
      <c r="BI1276" s="0"/>
      <c r="BJ1276" s="0"/>
      <c r="BK1276" s="0"/>
      <c r="BL1276" s="0"/>
      <c r="BM1276" s="0"/>
      <c r="BN1276" s="0"/>
      <c r="BO1276" s="0"/>
      <c r="BP1276" s="0"/>
      <c r="BQ1276" s="0"/>
      <c r="BR1276" s="0"/>
      <c r="BS1276" s="0"/>
      <c r="BT1276" s="0"/>
      <c r="BU1276" s="0"/>
      <c r="BV1276" s="0"/>
      <c r="BW1276" s="0"/>
      <c r="BX1276" s="0"/>
      <c r="BY1276" s="0"/>
      <c r="BZ1276" s="0"/>
      <c r="CA1276" s="0"/>
      <c r="CB1276" s="0"/>
      <c r="CC1276" s="0"/>
      <c r="CD1276" s="0"/>
      <c r="CE1276" s="0"/>
      <c r="CF1276" s="0"/>
      <c r="CG1276" s="0"/>
      <c r="CH1276" s="0"/>
      <c r="CI1276" s="0"/>
      <c r="CJ1276" s="0"/>
      <c r="CK1276" s="0"/>
      <c r="CL1276" s="0"/>
      <c r="CM1276" s="0"/>
      <c r="CN1276" s="0"/>
      <c r="CO1276" s="0"/>
      <c r="CP1276" s="0"/>
      <c r="CQ1276" s="0"/>
      <c r="CR1276" s="0"/>
      <c r="CS1276" s="0"/>
      <c r="CT1276" s="0"/>
      <c r="CU1276" s="0"/>
      <c r="CV1276" s="0"/>
      <c r="CW1276" s="0"/>
      <c r="CX1276" s="0"/>
      <c r="CY1276" s="0"/>
      <c r="CZ1276" s="0"/>
      <c r="DA1276" s="0"/>
      <c r="DB1276" s="0"/>
      <c r="DC1276" s="0"/>
      <c r="DD1276" s="0"/>
      <c r="DE1276" s="0"/>
      <c r="DF1276" s="0"/>
      <c r="DG1276" s="0"/>
      <c r="DH1276" s="0"/>
      <c r="DI1276" s="0"/>
      <c r="DJ1276" s="0"/>
      <c r="DK1276" s="0"/>
      <c r="DL1276" s="0"/>
      <c r="DM1276" s="0"/>
      <c r="DN1276" s="0"/>
      <c r="DO1276" s="0"/>
      <c r="DP1276" s="0"/>
      <c r="DQ1276" s="0"/>
      <c r="DR1276" s="0"/>
      <c r="DS1276" s="0"/>
      <c r="DT1276" s="0"/>
      <c r="DU1276" s="0"/>
      <c r="DV1276" s="0"/>
      <c r="DW1276" s="0"/>
      <c r="DX1276" s="0"/>
      <c r="DY1276" s="0"/>
      <c r="DZ1276" s="0"/>
      <c r="EA1276" s="0"/>
      <c r="EB1276" s="0"/>
      <c r="EC1276" s="0"/>
      <c r="ED1276" s="0"/>
      <c r="EE1276" s="0"/>
      <c r="EF1276" s="0"/>
      <c r="EG1276" s="0"/>
      <c r="EH1276" s="0"/>
      <c r="EI1276" s="0"/>
      <c r="EJ1276" s="0"/>
      <c r="EK1276" s="0"/>
      <c r="EL1276" s="0"/>
      <c r="EM1276" s="0"/>
      <c r="EN1276" s="0"/>
      <c r="EO1276" s="0"/>
      <c r="EP1276" s="0"/>
      <c r="EQ1276" s="0"/>
      <c r="ER1276" s="0"/>
      <c r="ES1276" s="0"/>
      <c r="ET1276" s="0"/>
      <c r="EU1276" s="0"/>
      <c r="EV1276" s="0"/>
      <c r="EW1276" s="0"/>
      <c r="EX1276" s="0"/>
      <c r="EY1276" s="0"/>
      <c r="EZ1276" s="0"/>
      <c r="FA1276" s="0"/>
      <c r="FB1276" s="0"/>
      <c r="FC1276" s="0"/>
      <c r="FD1276" s="0"/>
      <c r="FE1276" s="0"/>
      <c r="FF1276" s="0"/>
      <c r="FG1276" s="0"/>
      <c r="FH1276" s="0"/>
      <c r="FI1276" s="0"/>
      <c r="FJ1276" s="0"/>
      <c r="FK1276" s="0"/>
      <c r="FL1276" s="0"/>
      <c r="FM1276" s="0"/>
      <c r="FN1276" s="0"/>
      <c r="FO1276" s="0"/>
      <c r="FP1276" s="0"/>
      <c r="FQ1276" s="0"/>
      <c r="FR1276" s="0"/>
      <c r="FS1276" s="0"/>
      <c r="FT1276" s="0"/>
      <c r="FU1276" s="0"/>
      <c r="FV1276" s="0"/>
      <c r="FW1276" s="0"/>
      <c r="FX1276" s="0"/>
      <c r="FY1276" s="0"/>
      <c r="FZ1276" s="0"/>
      <c r="GA1276" s="0"/>
      <c r="GB1276" s="0"/>
      <c r="GC1276" s="0"/>
      <c r="GD1276" s="0"/>
      <c r="GE1276" s="0"/>
      <c r="GF1276" s="0"/>
      <c r="GG1276" s="0"/>
      <c r="GH1276" s="0"/>
      <c r="GI1276" s="0"/>
      <c r="GJ1276" s="0"/>
      <c r="GK1276" s="0"/>
      <c r="GL1276" s="0"/>
      <c r="GM1276" s="0"/>
      <c r="GN1276" s="0"/>
      <c r="GO1276" s="0"/>
      <c r="GP1276" s="0"/>
      <c r="GQ1276" s="0"/>
      <c r="GR1276" s="0"/>
      <c r="GS1276" s="0"/>
      <c r="GT1276" s="0"/>
      <c r="GU1276" s="0"/>
      <c r="GV1276" s="0"/>
      <c r="GW1276" s="0"/>
      <c r="GX1276" s="0"/>
      <c r="GY1276" s="0"/>
      <c r="GZ1276" s="0"/>
      <c r="HA1276" s="0"/>
      <c r="HB1276" s="0"/>
      <c r="HC1276" s="0"/>
      <c r="HD1276" s="0"/>
      <c r="HE1276" s="0"/>
      <c r="HF1276" s="0"/>
      <c r="HG1276" s="0"/>
      <c r="HH1276" s="0"/>
      <c r="HI1276" s="0"/>
      <c r="HJ1276" s="0"/>
      <c r="HK1276" s="0"/>
      <c r="HL1276" s="0"/>
      <c r="HM1276" s="0"/>
      <c r="HN1276" s="0"/>
      <c r="HO1276" s="0"/>
      <c r="HP1276" s="0"/>
      <c r="HQ1276" s="0"/>
      <c r="HR1276" s="0"/>
      <c r="HS1276" s="0"/>
      <c r="HT1276" s="0"/>
      <c r="HU1276" s="0"/>
      <c r="HV1276" s="0"/>
      <c r="HW1276" s="0"/>
      <c r="HX1276" s="0"/>
      <c r="HY1276" s="0"/>
      <c r="HZ1276" s="0"/>
      <c r="IA1276" s="0"/>
      <c r="IB1276" s="0"/>
      <c r="IC1276" s="0"/>
      <c r="ID1276" s="0"/>
      <c r="IE1276" s="0"/>
      <c r="IF1276" s="0"/>
      <c r="IG1276" s="0"/>
      <c r="IH1276" s="0"/>
      <c r="II1276" s="0"/>
      <c r="IJ1276" s="0"/>
      <c r="IK1276" s="0"/>
      <c r="IL1276" s="0"/>
      <c r="IM1276" s="0"/>
      <c r="IN1276" s="0"/>
      <c r="IO1276" s="0"/>
      <c r="IP1276" s="0"/>
      <c r="IQ1276" s="0"/>
      <c r="IR1276" s="0"/>
      <c r="IS1276" s="0"/>
      <c r="IT1276" s="0"/>
      <c r="IU1276" s="0"/>
      <c r="IV1276" s="0"/>
    </row>
    <row r="1277" customFormat="false" ht="15" hidden="false" customHeight="true" outlineLevel="0" collapsed="false">
      <c r="A1277" s="1454" t="s">
        <v>929</v>
      </c>
      <c r="B1277" s="1455"/>
      <c r="C1277" s="1455"/>
      <c r="D1277" s="1455"/>
      <c r="E1277" s="1456"/>
      <c r="F1277" s="1457" t="n">
        <f aca="false">E1277/$E$1304</f>
        <v>0</v>
      </c>
      <c r="G1277" s="1459"/>
      <c r="I1277" s="1249"/>
      <c r="J1277" s="0"/>
      <c r="K1277" s="1453"/>
      <c r="L1277" s="1444"/>
      <c r="M1277" s="0"/>
      <c r="N1277" s="0"/>
      <c r="O1277" s="0"/>
      <c r="P1277" s="0"/>
      <c r="Q1277" s="0"/>
      <c r="R1277" s="0"/>
      <c r="S1277" s="0"/>
      <c r="T1277" s="0"/>
      <c r="U1277" s="0"/>
      <c r="V1277" s="0"/>
      <c r="W1277" s="0"/>
      <c r="X1277" s="0"/>
      <c r="Y1277" s="0"/>
      <c r="Z1277" s="0"/>
      <c r="AA1277" s="0"/>
      <c r="AB1277" s="0"/>
      <c r="AC1277" s="0"/>
      <c r="AD1277" s="0"/>
      <c r="AE1277" s="0"/>
      <c r="AF1277" s="0"/>
      <c r="AG1277" s="0"/>
      <c r="AH1277" s="0"/>
      <c r="AI1277" s="0"/>
      <c r="AJ1277" s="0"/>
      <c r="AK1277" s="0"/>
      <c r="AL1277" s="0"/>
      <c r="AM1277" s="0"/>
      <c r="AN1277" s="0"/>
      <c r="AO1277" s="0"/>
      <c r="AP1277" s="0"/>
      <c r="AQ1277" s="0"/>
      <c r="AR1277" s="0"/>
      <c r="AS1277" s="0"/>
      <c r="AT1277" s="0"/>
      <c r="AU1277" s="0"/>
      <c r="AV1277" s="0"/>
      <c r="AW1277" s="0"/>
      <c r="AX1277" s="0"/>
      <c r="AY1277" s="0"/>
      <c r="AZ1277" s="0"/>
      <c r="BA1277" s="0"/>
      <c r="BB1277" s="0"/>
      <c r="BC1277" s="0"/>
      <c r="BD1277" s="0"/>
      <c r="BE1277" s="0"/>
      <c r="BF1277" s="0"/>
      <c r="BG1277" s="0"/>
      <c r="BH1277" s="0"/>
      <c r="BI1277" s="0"/>
      <c r="BJ1277" s="0"/>
      <c r="BK1277" s="0"/>
      <c r="BL1277" s="0"/>
      <c r="BM1277" s="0"/>
      <c r="BN1277" s="0"/>
      <c r="BO1277" s="0"/>
      <c r="BP1277" s="0"/>
      <c r="BQ1277" s="0"/>
      <c r="BR1277" s="0"/>
      <c r="BS1277" s="0"/>
      <c r="BT1277" s="0"/>
      <c r="BU1277" s="0"/>
      <c r="BV1277" s="0"/>
      <c r="BW1277" s="0"/>
      <c r="BX1277" s="0"/>
      <c r="BY1277" s="0"/>
      <c r="BZ1277" s="0"/>
      <c r="CA1277" s="0"/>
      <c r="CB1277" s="0"/>
      <c r="CC1277" s="0"/>
      <c r="CD1277" s="0"/>
      <c r="CE1277" s="0"/>
      <c r="CF1277" s="0"/>
      <c r="CG1277" s="0"/>
      <c r="CH1277" s="0"/>
      <c r="CI1277" s="0"/>
      <c r="CJ1277" s="0"/>
      <c r="CK1277" s="0"/>
      <c r="CL1277" s="0"/>
      <c r="CM1277" s="0"/>
      <c r="CN1277" s="0"/>
      <c r="CO1277" s="0"/>
      <c r="CP1277" s="0"/>
      <c r="CQ1277" s="0"/>
      <c r="CR1277" s="0"/>
      <c r="CS1277" s="0"/>
      <c r="CT1277" s="0"/>
      <c r="CU1277" s="0"/>
      <c r="CV1277" s="0"/>
      <c r="CW1277" s="0"/>
      <c r="CX1277" s="0"/>
      <c r="CY1277" s="0"/>
      <c r="CZ1277" s="0"/>
      <c r="DA1277" s="0"/>
      <c r="DB1277" s="0"/>
      <c r="DC1277" s="0"/>
      <c r="DD1277" s="0"/>
      <c r="DE1277" s="0"/>
      <c r="DF1277" s="0"/>
      <c r="DG1277" s="0"/>
      <c r="DH1277" s="0"/>
      <c r="DI1277" s="0"/>
      <c r="DJ1277" s="0"/>
      <c r="DK1277" s="0"/>
      <c r="DL1277" s="0"/>
      <c r="DM1277" s="0"/>
      <c r="DN1277" s="0"/>
      <c r="DO1277" s="0"/>
      <c r="DP1277" s="0"/>
      <c r="DQ1277" s="0"/>
      <c r="DR1277" s="0"/>
      <c r="DS1277" s="0"/>
      <c r="DT1277" s="0"/>
      <c r="DU1277" s="0"/>
      <c r="DV1277" s="0"/>
      <c r="DW1277" s="0"/>
      <c r="DX1277" s="0"/>
      <c r="DY1277" s="0"/>
      <c r="DZ1277" s="0"/>
      <c r="EA1277" s="0"/>
      <c r="EB1277" s="0"/>
      <c r="EC1277" s="0"/>
      <c r="ED1277" s="0"/>
      <c r="EE1277" s="0"/>
      <c r="EF1277" s="0"/>
      <c r="EG1277" s="0"/>
      <c r="EH1277" s="0"/>
      <c r="EI1277" s="0"/>
      <c r="EJ1277" s="0"/>
      <c r="EK1277" s="0"/>
      <c r="EL1277" s="0"/>
      <c r="EM1277" s="0"/>
      <c r="EN1277" s="0"/>
      <c r="EO1277" s="0"/>
      <c r="EP1277" s="0"/>
      <c r="EQ1277" s="0"/>
      <c r="ER1277" s="0"/>
      <c r="ES1277" s="0"/>
      <c r="ET1277" s="0"/>
      <c r="EU1277" s="0"/>
      <c r="EV1277" s="0"/>
      <c r="EW1277" s="0"/>
      <c r="EX1277" s="0"/>
      <c r="EY1277" s="0"/>
      <c r="EZ1277" s="0"/>
      <c r="FA1277" s="0"/>
      <c r="FB1277" s="0"/>
      <c r="FC1277" s="0"/>
      <c r="FD1277" s="0"/>
      <c r="FE1277" s="0"/>
      <c r="FF1277" s="0"/>
      <c r="FG1277" s="0"/>
      <c r="FH1277" s="0"/>
      <c r="FI1277" s="0"/>
      <c r="FJ1277" s="0"/>
      <c r="FK1277" s="0"/>
      <c r="FL1277" s="0"/>
      <c r="FM1277" s="0"/>
      <c r="FN1277" s="0"/>
      <c r="FO1277" s="0"/>
      <c r="FP1277" s="0"/>
      <c r="FQ1277" s="0"/>
      <c r="FR1277" s="0"/>
      <c r="FS1277" s="0"/>
      <c r="FT1277" s="0"/>
      <c r="FU1277" s="0"/>
      <c r="FV1277" s="0"/>
      <c r="FW1277" s="0"/>
      <c r="FX1277" s="0"/>
      <c r="FY1277" s="0"/>
      <c r="FZ1277" s="0"/>
      <c r="GA1277" s="0"/>
      <c r="GB1277" s="0"/>
      <c r="GC1277" s="0"/>
      <c r="GD1277" s="0"/>
      <c r="GE1277" s="0"/>
      <c r="GF1277" s="0"/>
      <c r="GG1277" s="0"/>
      <c r="GH1277" s="0"/>
      <c r="GI1277" s="0"/>
      <c r="GJ1277" s="0"/>
      <c r="GK1277" s="0"/>
      <c r="GL1277" s="0"/>
      <c r="GM1277" s="0"/>
      <c r="GN1277" s="0"/>
      <c r="GO1277" s="0"/>
      <c r="GP1277" s="0"/>
      <c r="GQ1277" s="0"/>
      <c r="GR1277" s="0"/>
      <c r="GS1277" s="0"/>
      <c r="GT1277" s="0"/>
      <c r="GU1277" s="0"/>
      <c r="GV1277" s="0"/>
      <c r="GW1277" s="0"/>
      <c r="GX1277" s="0"/>
      <c r="GY1277" s="0"/>
      <c r="GZ1277" s="0"/>
      <c r="HA1277" s="0"/>
      <c r="HB1277" s="0"/>
      <c r="HC1277" s="0"/>
      <c r="HD1277" s="0"/>
      <c r="HE1277" s="0"/>
      <c r="HF1277" s="0"/>
      <c r="HG1277" s="0"/>
      <c r="HH1277" s="0"/>
      <c r="HI1277" s="0"/>
      <c r="HJ1277" s="0"/>
      <c r="HK1277" s="0"/>
      <c r="HL1277" s="0"/>
      <c r="HM1277" s="0"/>
      <c r="HN1277" s="0"/>
      <c r="HO1277" s="0"/>
      <c r="HP1277" s="0"/>
      <c r="HQ1277" s="0"/>
      <c r="HR1277" s="0"/>
      <c r="HS1277" s="0"/>
      <c r="HT1277" s="0"/>
      <c r="HU1277" s="0"/>
      <c r="HV1277" s="0"/>
      <c r="HW1277" s="0"/>
      <c r="HX1277" s="0"/>
      <c r="HY1277" s="0"/>
      <c r="HZ1277" s="0"/>
      <c r="IA1277" s="0"/>
      <c r="IB1277" s="0"/>
      <c r="IC1277" s="0"/>
      <c r="ID1277" s="0"/>
      <c r="IE1277" s="0"/>
      <c r="IF1277" s="0"/>
      <c r="IG1277" s="0"/>
      <c r="IH1277" s="0"/>
      <c r="II1277" s="0"/>
      <c r="IJ1277" s="0"/>
      <c r="IK1277" s="0"/>
      <c r="IL1277" s="0"/>
      <c r="IM1277" s="0"/>
      <c r="IN1277" s="0"/>
      <c r="IO1277" s="0"/>
      <c r="IP1277" s="0"/>
      <c r="IQ1277" s="0"/>
      <c r="IR1277" s="0"/>
      <c r="IS1277" s="0"/>
      <c r="IT1277" s="0"/>
      <c r="IU1277" s="0"/>
      <c r="IV1277" s="0"/>
    </row>
    <row r="1278" customFormat="false" ht="15" hidden="false" customHeight="true" outlineLevel="0" collapsed="false">
      <c r="A1278" s="1471" t="s">
        <v>930</v>
      </c>
      <c r="B1278" s="1468"/>
      <c r="C1278" s="1468"/>
      <c r="D1278" s="1468"/>
      <c r="E1278" s="1472"/>
      <c r="F1278" s="1470" t="n">
        <f aca="false">E1278/$E$1304</f>
        <v>0</v>
      </c>
      <c r="G1278" s="1475"/>
      <c r="I1278" s="1249"/>
      <c r="J1278" s="0"/>
      <c r="K1278" s="1453"/>
      <c r="L1278" s="1444"/>
      <c r="M1278" s="0"/>
      <c r="N1278" s="0"/>
      <c r="O1278" s="0"/>
      <c r="P1278" s="0"/>
      <c r="Q1278" s="0"/>
      <c r="R1278" s="0"/>
      <c r="S1278" s="0"/>
      <c r="T1278" s="0"/>
      <c r="U1278" s="0"/>
      <c r="V1278" s="0"/>
      <c r="W1278" s="0"/>
      <c r="X1278" s="0"/>
      <c r="Y1278" s="0"/>
      <c r="Z1278" s="0"/>
      <c r="AA1278" s="0"/>
      <c r="AB1278" s="0"/>
      <c r="AC1278" s="0"/>
      <c r="AD1278" s="0"/>
      <c r="AE1278" s="0"/>
      <c r="AF1278" s="0"/>
      <c r="AG1278" s="0"/>
      <c r="AH1278" s="0"/>
      <c r="AI1278" s="0"/>
      <c r="AJ1278" s="0"/>
      <c r="AK1278" s="0"/>
      <c r="AL1278" s="0"/>
      <c r="AM1278" s="0"/>
      <c r="AN1278" s="0"/>
      <c r="AO1278" s="0"/>
      <c r="AP1278" s="0"/>
      <c r="AQ1278" s="0"/>
      <c r="AR1278" s="0"/>
      <c r="AS1278" s="0"/>
      <c r="AT1278" s="0"/>
      <c r="AU1278" s="0"/>
      <c r="AV1278" s="0"/>
      <c r="AW1278" s="0"/>
      <c r="AX1278" s="0"/>
      <c r="AY1278" s="0"/>
      <c r="AZ1278" s="0"/>
      <c r="BA1278" s="0"/>
      <c r="BB1278" s="0"/>
      <c r="BC1278" s="0"/>
      <c r="BD1278" s="0"/>
      <c r="BE1278" s="0"/>
      <c r="BF1278" s="0"/>
      <c r="BG1278" s="0"/>
      <c r="BH1278" s="0"/>
      <c r="BI1278" s="0"/>
      <c r="BJ1278" s="0"/>
      <c r="BK1278" s="0"/>
      <c r="BL1278" s="0"/>
      <c r="BM1278" s="0"/>
      <c r="BN1278" s="0"/>
      <c r="BO1278" s="0"/>
      <c r="BP1278" s="0"/>
      <c r="BQ1278" s="0"/>
      <c r="BR1278" s="0"/>
      <c r="BS1278" s="0"/>
      <c r="BT1278" s="0"/>
      <c r="BU1278" s="0"/>
      <c r="BV1278" s="0"/>
      <c r="BW1278" s="0"/>
      <c r="BX1278" s="0"/>
      <c r="BY1278" s="0"/>
      <c r="BZ1278" s="0"/>
      <c r="CA1278" s="0"/>
      <c r="CB1278" s="0"/>
      <c r="CC1278" s="0"/>
      <c r="CD1278" s="0"/>
      <c r="CE1278" s="0"/>
      <c r="CF1278" s="0"/>
      <c r="CG1278" s="0"/>
      <c r="CH1278" s="0"/>
      <c r="CI1278" s="0"/>
      <c r="CJ1278" s="0"/>
      <c r="CK1278" s="0"/>
      <c r="CL1278" s="0"/>
      <c r="CM1278" s="0"/>
      <c r="CN1278" s="0"/>
      <c r="CO1278" s="0"/>
      <c r="CP1278" s="0"/>
      <c r="CQ1278" s="0"/>
      <c r="CR1278" s="0"/>
      <c r="CS1278" s="0"/>
      <c r="CT1278" s="0"/>
      <c r="CU1278" s="0"/>
      <c r="CV1278" s="0"/>
      <c r="CW1278" s="0"/>
      <c r="CX1278" s="0"/>
      <c r="CY1278" s="0"/>
      <c r="CZ1278" s="0"/>
      <c r="DA1278" s="0"/>
      <c r="DB1278" s="0"/>
      <c r="DC1278" s="0"/>
      <c r="DD1278" s="0"/>
      <c r="DE1278" s="0"/>
      <c r="DF1278" s="0"/>
      <c r="DG1278" s="0"/>
      <c r="DH1278" s="0"/>
      <c r="DI1278" s="0"/>
      <c r="DJ1278" s="0"/>
      <c r="DK1278" s="0"/>
      <c r="DL1278" s="0"/>
      <c r="DM1278" s="0"/>
      <c r="DN1278" s="0"/>
      <c r="DO1278" s="0"/>
      <c r="DP1278" s="0"/>
      <c r="DQ1278" s="0"/>
      <c r="DR1278" s="0"/>
      <c r="DS1278" s="0"/>
      <c r="DT1278" s="0"/>
      <c r="DU1278" s="0"/>
      <c r="DV1278" s="0"/>
      <c r="DW1278" s="0"/>
      <c r="DX1278" s="0"/>
      <c r="DY1278" s="0"/>
      <c r="DZ1278" s="0"/>
      <c r="EA1278" s="0"/>
      <c r="EB1278" s="0"/>
      <c r="EC1278" s="0"/>
      <c r="ED1278" s="0"/>
      <c r="EE1278" s="0"/>
      <c r="EF1278" s="0"/>
      <c r="EG1278" s="0"/>
      <c r="EH1278" s="0"/>
      <c r="EI1278" s="0"/>
      <c r="EJ1278" s="0"/>
      <c r="EK1278" s="0"/>
      <c r="EL1278" s="0"/>
      <c r="EM1278" s="0"/>
      <c r="EN1278" s="0"/>
      <c r="EO1278" s="0"/>
      <c r="EP1278" s="0"/>
      <c r="EQ1278" s="0"/>
      <c r="ER1278" s="0"/>
      <c r="ES1278" s="0"/>
      <c r="ET1278" s="0"/>
      <c r="EU1278" s="0"/>
      <c r="EV1278" s="0"/>
      <c r="EW1278" s="0"/>
      <c r="EX1278" s="0"/>
      <c r="EY1278" s="0"/>
      <c r="EZ1278" s="0"/>
      <c r="FA1278" s="0"/>
      <c r="FB1278" s="0"/>
      <c r="FC1278" s="0"/>
      <c r="FD1278" s="0"/>
      <c r="FE1278" s="0"/>
      <c r="FF1278" s="0"/>
      <c r="FG1278" s="0"/>
      <c r="FH1278" s="0"/>
      <c r="FI1278" s="0"/>
      <c r="FJ1278" s="0"/>
      <c r="FK1278" s="0"/>
      <c r="FL1278" s="0"/>
      <c r="FM1278" s="0"/>
      <c r="FN1278" s="0"/>
      <c r="FO1278" s="0"/>
      <c r="FP1278" s="0"/>
      <c r="FQ1278" s="0"/>
      <c r="FR1278" s="0"/>
      <c r="FS1278" s="0"/>
      <c r="FT1278" s="0"/>
      <c r="FU1278" s="0"/>
      <c r="FV1278" s="0"/>
      <c r="FW1278" s="0"/>
      <c r="FX1278" s="0"/>
      <c r="FY1278" s="0"/>
      <c r="FZ1278" s="0"/>
      <c r="GA1278" s="0"/>
      <c r="GB1278" s="0"/>
      <c r="GC1278" s="0"/>
      <c r="GD1278" s="0"/>
      <c r="GE1278" s="0"/>
      <c r="GF1278" s="0"/>
      <c r="GG1278" s="0"/>
      <c r="GH1278" s="0"/>
      <c r="GI1278" s="0"/>
      <c r="GJ1278" s="0"/>
      <c r="GK1278" s="0"/>
      <c r="GL1278" s="0"/>
      <c r="GM1278" s="0"/>
      <c r="GN1278" s="0"/>
      <c r="GO1278" s="0"/>
      <c r="GP1278" s="0"/>
      <c r="GQ1278" s="0"/>
      <c r="GR1278" s="0"/>
      <c r="GS1278" s="0"/>
      <c r="GT1278" s="0"/>
      <c r="GU1278" s="0"/>
      <c r="GV1278" s="0"/>
      <c r="GW1278" s="0"/>
      <c r="GX1278" s="0"/>
      <c r="GY1278" s="0"/>
      <c r="GZ1278" s="0"/>
      <c r="HA1278" s="0"/>
      <c r="HB1278" s="0"/>
      <c r="HC1278" s="0"/>
      <c r="HD1278" s="0"/>
      <c r="HE1278" s="0"/>
      <c r="HF1278" s="0"/>
      <c r="HG1278" s="0"/>
      <c r="HH1278" s="0"/>
      <c r="HI1278" s="0"/>
      <c r="HJ1278" s="0"/>
      <c r="HK1278" s="0"/>
      <c r="HL1278" s="0"/>
      <c r="HM1278" s="0"/>
      <c r="HN1278" s="0"/>
      <c r="HO1278" s="0"/>
      <c r="HP1278" s="0"/>
      <c r="HQ1278" s="0"/>
      <c r="HR1278" s="0"/>
      <c r="HS1278" s="0"/>
      <c r="HT1278" s="0"/>
      <c r="HU1278" s="0"/>
      <c r="HV1278" s="0"/>
      <c r="HW1278" s="0"/>
      <c r="HX1278" s="0"/>
      <c r="HY1278" s="0"/>
      <c r="HZ1278" s="0"/>
      <c r="IA1278" s="0"/>
      <c r="IB1278" s="0"/>
      <c r="IC1278" s="0"/>
      <c r="ID1278" s="0"/>
      <c r="IE1278" s="0"/>
      <c r="IF1278" s="0"/>
      <c r="IG1278" s="0"/>
      <c r="IH1278" s="0"/>
      <c r="II1278" s="0"/>
      <c r="IJ1278" s="0"/>
      <c r="IK1278" s="0"/>
      <c r="IL1278" s="0"/>
      <c r="IM1278" s="0"/>
      <c r="IN1278" s="0"/>
      <c r="IO1278" s="0"/>
      <c r="IP1278" s="0"/>
      <c r="IQ1278" s="0"/>
      <c r="IR1278" s="0"/>
      <c r="IS1278" s="0"/>
      <c r="IT1278" s="0"/>
      <c r="IU1278" s="0"/>
      <c r="IV1278" s="0"/>
    </row>
    <row r="1279" customFormat="false" ht="15" hidden="false" customHeight="true" outlineLevel="0" collapsed="false">
      <c r="A1279" s="1448" t="s">
        <v>931</v>
      </c>
      <c r="B1279" s="1449"/>
      <c r="C1279" s="1449"/>
      <c r="D1279" s="1449"/>
      <c r="E1279" s="1450" t="n">
        <f aca="false">SUM(E1280:E1281)</f>
        <v>0</v>
      </c>
      <c r="F1279" s="1451"/>
      <c r="G1279" s="1452"/>
      <c r="I1279" s="1249"/>
      <c r="J1279" s="0"/>
      <c r="K1279" s="1453"/>
      <c r="L1279" s="1444"/>
      <c r="M1279" s="0"/>
      <c r="N1279" s="0"/>
      <c r="O1279" s="0"/>
      <c r="P1279" s="0"/>
      <c r="Q1279" s="0"/>
      <c r="R1279" s="0"/>
      <c r="S1279" s="0"/>
      <c r="T1279" s="0"/>
      <c r="U1279" s="0"/>
      <c r="V1279" s="0"/>
      <c r="W1279" s="0"/>
      <c r="X1279" s="0"/>
      <c r="Y1279" s="0"/>
      <c r="Z1279" s="0"/>
      <c r="AA1279" s="0"/>
      <c r="AB1279" s="0"/>
      <c r="AC1279" s="0"/>
      <c r="AD1279" s="0"/>
      <c r="AE1279" s="0"/>
      <c r="AF1279" s="0"/>
      <c r="AG1279" s="0"/>
      <c r="AH1279" s="0"/>
      <c r="AI1279" s="0"/>
      <c r="AJ1279" s="0"/>
      <c r="AK1279" s="0"/>
      <c r="AL1279" s="0"/>
      <c r="AM1279" s="0"/>
      <c r="AN1279" s="0"/>
      <c r="AO1279" s="0"/>
      <c r="AP1279" s="0"/>
      <c r="AQ1279" s="0"/>
      <c r="AR1279" s="0"/>
      <c r="AS1279" s="0"/>
      <c r="AT1279" s="0"/>
      <c r="AU1279" s="0"/>
      <c r="AV1279" s="0"/>
      <c r="AW1279" s="0"/>
      <c r="AX1279" s="0"/>
      <c r="AY1279" s="0"/>
      <c r="AZ1279" s="0"/>
      <c r="BA1279" s="0"/>
      <c r="BB1279" s="0"/>
      <c r="BC1279" s="0"/>
      <c r="BD1279" s="0"/>
      <c r="BE1279" s="0"/>
      <c r="BF1279" s="0"/>
      <c r="BG1279" s="0"/>
      <c r="BH1279" s="0"/>
      <c r="BI1279" s="0"/>
      <c r="BJ1279" s="0"/>
      <c r="BK1279" s="0"/>
      <c r="BL1279" s="0"/>
      <c r="BM1279" s="0"/>
      <c r="BN1279" s="0"/>
      <c r="BO1279" s="0"/>
      <c r="BP1279" s="0"/>
      <c r="BQ1279" s="0"/>
      <c r="BR1279" s="0"/>
      <c r="BS1279" s="0"/>
      <c r="BT1279" s="0"/>
      <c r="BU1279" s="0"/>
      <c r="BV1279" s="0"/>
      <c r="BW1279" s="0"/>
      <c r="BX1279" s="0"/>
      <c r="BY1279" s="0"/>
      <c r="BZ1279" s="0"/>
      <c r="CA1279" s="0"/>
      <c r="CB1279" s="0"/>
      <c r="CC1279" s="0"/>
      <c r="CD1279" s="0"/>
      <c r="CE1279" s="0"/>
      <c r="CF1279" s="0"/>
      <c r="CG1279" s="0"/>
      <c r="CH1279" s="0"/>
      <c r="CI1279" s="0"/>
      <c r="CJ1279" s="0"/>
      <c r="CK1279" s="0"/>
      <c r="CL1279" s="0"/>
      <c r="CM1279" s="0"/>
      <c r="CN1279" s="0"/>
      <c r="CO1279" s="0"/>
      <c r="CP1279" s="0"/>
      <c r="CQ1279" s="0"/>
      <c r="CR1279" s="0"/>
      <c r="CS1279" s="0"/>
      <c r="CT1279" s="0"/>
      <c r="CU1279" s="0"/>
      <c r="CV1279" s="0"/>
      <c r="CW1279" s="0"/>
      <c r="CX1279" s="0"/>
      <c r="CY1279" s="0"/>
      <c r="CZ1279" s="0"/>
      <c r="DA1279" s="0"/>
      <c r="DB1279" s="0"/>
      <c r="DC1279" s="0"/>
      <c r="DD1279" s="0"/>
      <c r="DE1279" s="0"/>
      <c r="DF1279" s="0"/>
      <c r="DG1279" s="0"/>
      <c r="DH1279" s="0"/>
      <c r="DI1279" s="0"/>
      <c r="DJ1279" s="0"/>
      <c r="DK1279" s="0"/>
      <c r="DL1279" s="0"/>
      <c r="DM1279" s="0"/>
      <c r="DN1279" s="0"/>
      <c r="DO1279" s="0"/>
      <c r="DP1279" s="0"/>
      <c r="DQ1279" s="0"/>
      <c r="DR1279" s="0"/>
      <c r="DS1279" s="0"/>
      <c r="DT1279" s="0"/>
      <c r="DU1279" s="0"/>
      <c r="DV1279" s="0"/>
      <c r="DW1279" s="0"/>
      <c r="DX1279" s="0"/>
      <c r="DY1279" s="0"/>
      <c r="DZ1279" s="0"/>
      <c r="EA1279" s="0"/>
      <c r="EB1279" s="0"/>
      <c r="EC1279" s="0"/>
      <c r="ED1279" s="0"/>
      <c r="EE1279" s="0"/>
      <c r="EF1279" s="0"/>
      <c r="EG1279" s="0"/>
      <c r="EH1279" s="0"/>
      <c r="EI1279" s="0"/>
      <c r="EJ1279" s="0"/>
      <c r="EK1279" s="0"/>
      <c r="EL1279" s="0"/>
      <c r="EM1279" s="0"/>
      <c r="EN1279" s="0"/>
      <c r="EO1279" s="0"/>
      <c r="EP1279" s="0"/>
      <c r="EQ1279" s="0"/>
      <c r="ER1279" s="0"/>
      <c r="ES1279" s="0"/>
      <c r="ET1279" s="0"/>
      <c r="EU1279" s="0"/>
      <c r="EV1279" s="0"/>
      <c r="EW1279" s="0"/>
      <c r="EX1279" s="0"/>
      <c r="EY1279" s="0"/>
      <c r="EZ1279" s="0"/>
      <c r="FA1279" s="0"/>
      <c r="FB1279" s="0"/>
      <c r="FC1279" s="0"/>
      <c r="FD1279" s="0"/>
      <c r="FE1279" s="0"/>
      <c r="FF1279" s="0"/>
      <c r="FG1279" s="0"/>
      <c r="FH1279" s="0"/>
      <c r="FI1279" s="0"/>
      <c r="FJ1279" s="0"/>
      <c r="FK1279" s="0"/>
      <c r="FL1279" s="0"/>
      <c r="FM1279" s="0"/>
      <c r="FN1279" s="0"/>
      <c r="FO1279" s="0"/>
      <c r="FP1279" s="0"/>
      <c r="FQ1279" s="0"/>
      <c r="FR1279" s="0"/>
      <c r="FS1279" s="0"/>
      <c r="FT1279" s="0"/>
      <c r="FU1279" s="0"/>
      <c r="FV1279" s="0"/>
      <c r="FW1279" s="0"/>
      <c r="FX1279" s="0"/>
      <c r="FY1279" s="0"/>
      <c r="FZ1279" s="0"/>
      <c r="GA1279" s="0"/>
      <c r="GB1279" s="0"/>
      <c r="GC1279" s="0"/>
      <c r="GD1279" s="0"/>
      <c r="GE1279" s="0"/>
      <c r="GF1279" s="0"/>
      <c r="GG1279" s="0"/>
      <c r="GH1279" s="0"/>
      <c r="GI1279" s="0"/>
      <c r="GJ1279" s="0"/>
      <c r="GK1279" s="0"/>
      <c r="GL1279" s="0"/>
      <c r="GM1279" s="0"/>
      <c r="GN1279" s="0"/>
      <c r="GO1279" s="0"/>
      <c r="GP1279" s="0"/>
      <c r="GQ1279" s="0"/>
      <c r="GR1279" s="0"/>
      <c r="GS1279" s="0"/>
      <c r="GT1279" s="0"/>
      <c r="GU1279" s="0"/>
      <c r="GV1279" s="0"/>
      <c r="GW1279" s="0"/>
      <c r="GX1279" s="0"/>
      <c r="GY1279" s="0"/>
      <c r="GZ1279" s="0"/>
      <c r="HA1279" s="0"/>
      <c r="HB1279" s="0"/>
      <c r="HC1279" s="0"/>
      <c r="HD1279" s="0"/>
      <c r="HE1279" s="0"/>
      <c r="HF1279" s="0"/>
      <c r="HG1279" s="0"/>
      <c r="HH1279" s="0"/>
      <c r="HI1279" s="0"/>
      <c r="HJ1279" s="0"/>
      <c r="HK1279" s="0"/>
      <c r="HL1279" s="0"/>
      <c r="HM1279" s="0"/>
      <c r="HN1279" s="0"/>
      <c r="HO1279" s="0"/>
      <c r="HP1279" s="0"/>
      <c r="HQ1279" s="0"/>
      <c r="HR1279" s="0"/>
      <c r="HS1279" s="0"/>
      <c r="HT1279" s="0"/>
      <c r="HU1279" s="0"/>
      <c r="HV1279" s="0"/>
      <c r="HW1279" s="0"/>
      <c r="HX1279" s="0"/>
      <c r="HY1279" s="0"/>
      <c r="HZ1279" s="0"/>
      <c r="IA1279" s="0"/>
      <c r="IB1279" s="0"/>
      <c r="IC1279" s="0"/>
      <c r="ID1279" s="0"/>
      <c r="IE1279" s="0"/>
      <c r="IF1279" s="0"/>
      <c r="IG1279" s="0"/>
      <c r="IH1279" s="0"/>
      <c r="II1279" s="0"/>
      <c r="IJ1279" s="0"/>
      <c r="IK1279" s="0"/>
      <c r="IL1279" s="0"/>
      <c r="IM1279" s="0"/>
      <c r="IN1279" s="0"/>
      <c r="IO1279" s="0"/>
      <c r="IP1279" s="0"/>
      <c r="IQ1279" s="0"/>
      <c r="IR1279" s="0"/>
      <c r="IS1279" s="0"/>
      <c r="IT1279" s="0"/>
      <c r="IU1279" s="0"/>
      <c r="IV1279" s="0"/>
    </row>
    <row r="1280" customFormat="false" ht="15" hidden="false" customHeight="true" outlineLevel="0" collapsed="false">
      <c r="A1280" s="1454" t="s">
        <v>928</v>
      </c>
      <c r="B1280" s="1455"/>
      <c r="C1280" s="1455"/>
      <c r="D1280" s="1455"/>
      <c r="E1280" s="1456"/>
      <c r="F1280" s="1457" t="n">
        <f aca="false">E1280/$E$1304</f>
        <v>0</v>
      </c>
      <c r="G1280" s="1458"/>
      <c r="I1280" s="1249"/>
      <c r="J1280" s="0"/>
      <c r="K1280" s="1453"/>
      <c r="L1280" s="1444"/>
      <c r="M1280" s="0"/>
      <c r="N1280" s="0"/>
      <c r="O1280" s="0"/>
      <c r="P1280" s="0"/>
      <c r="Q1280" s="0"/>
      <c r="R1280" s="0"/>
      <c r="S1280" s="0"/>
      <c r="T1280" s="0"/>
      <c r="U1280" s="0"/>
      <c r="V1280" s="0"/>
      <c r="W1280" s="0"/>
      <c r="X1280" s="0"/>
      <c r="Y1280" s="0"/>
      <c r="Z1280" s="0"/>
      <c r="AA1280" s="0"/>
      <c r="AB1280" s="0"/>
      <c r="AC1280" s="0"/>
      <c r="AD1280" s="0"/>
      <c r="AE1280" s="0"/>
      <c r="AF1280" s="0"/>
      <c r="AG1280" s="0"/>
      <c r="AH1280" s="0"/>
      <c r="AI1280" s="0"/>
      <c r="AJ1280" s="0"/>
      <c r="AK1280" s="0"/>
      <c r="AL1280" s="0"/>
      <c r="AM1280" s="0"/>
      <c r="AN1280" s="0"/>
      <c r="AO1280" s="0"/>
      <c r="AP1280" s="0"/>
      <c r="AQ1280" s="0"/>
      <c r="AR1280" s="0"/>
      <c r="AS1280" s="0"/>
      <c r="AT1280" s="0"/>
      <c r="AU1280" s="0"/>
      <c r="AV1280" s="0"/>
      <c r="AW1280" s="0"/>
      <c r="AX1280" s="0"/>
      <c r="AY1280" s="0"/>
      <c r="AZ1280" s="0"/>
      <c r="BA1280" s="0"/>
      <c r="BB1280" s="0"/>
      <c r="BC1280" s="0"/>
      <c r="BD1280" s="0"/>
      <c r="BE1280" s="0"/>
      <c r="BF1280" s="0"/>
      <c r="BG1280" s="0"/>
      <c r="BH1280" s="0"/>
      <c r="BI1280" s="0"/>
      <c r="BJ1280" s="0"/>
      <c r="BK1280" s="0"/>
      <c r="BL1280" s="0"/>
      <c r="BM1280" s="0"/>
      <c r="BN1280" s="0"/>
      <c r="BO1280" s="0"/>
      <c r="BP1280" s="0"/>
      <c r="BQ1280" s="0"/>
      <c r="BR1280" s="0"/>
      <c r="BS1280" s="0"/>
      <c r="BT1280" s="0"/>
      <c r="BU1280" s="0"/>
      <c r="BV1280" s="0"/>
      <c r="BW1280" s="0"/>
      <c r="BX1280" s="0"/>
      <c r="BY1280" s="0"/>
      <c r="BZ1280" s="0"/>
      <c r="CA1280" s="0"/>
      <c r="CB1280" s="0"/>
      <c r="CC1280" s="0"/>
      <c r="CD1280" s="0"/>
      <c r="CE1280" s="0"/>
      <c r="CF1280" s="0"/>
      <c r="CG1280" s="0"/>
      <c r="CH1280" s="0"/>
      <c r="CI1280" s="0"/>
      <c r="CJ1280" s="0"/>
      <c r="CK1280" s="0"/>
      <c r="CL1280" s="0"/>
      <c r="CM1280" s="0"/>
      <c r="CN1280" s="0"/>
      <c r="CO1280" s="0"/>
      <c r="CP1280" s="0"/>
      <c r="CQ1280" s="0"/>
      <c r="CR1280" s="0"/>
      <c r="CS1280" s="0"/>
      <c r="CT1280" s="0"/>
      <c r="CU1280" s="0"/>
      <c r="CV1280" s="0"/>
      <c r="CW1280" s="0"/>
      <c r="CX1280" s="0"/>
      <c r="CY1280" s="0"/>
      <c r="CZ1280" s="0"/>
      <c r="DA1280" s="0"/>
      <c r="DB1280" s="0"/>
      <c r="DC1280" s="0"/>
      <c r="DD1280" s="0"/>
      <c r="DE1280" s="0"/>
      <c r="DF1280" s="0"/>
      <c r="DG1280" s="0"/>
      <c r="DH1280" s="0"/>
      <c r="DI1280" s="0"/>
      <c r="DJ1280" s="0"/>
      <c r="DK1280" s="0"/>
      <c r="DL1280" s="0"/>
      <c r="DM1280" s="0"/>
      <c r="DN1280" s="0"/>
      <c r="DO1280" s="0"/>
      <c r="DP1280" s="0"/>
      <c r="DQ1280" s="0"/>
      <c r="DR1280" s="0"/>
      <c r="DS1280" s="0"/>
      <c r="DT1280" s="0"/>
      <c r="DU1280" s="0"/>
      <c r="DV1280" s="0"/>
      <c r="DW1280" s="0"/>
      <c r="DX1280" s="0"/>
      <c r="DY1280" s="0"/>
      <c r="DZ1280" s="0"/>
      <c r="EA1280" s="0"/>
      <c r="EB1280" s="0"/>
      <c r="EC1280" s="0"/>
      <c r="ED1280" s="0"/>
      <c r="EE1280" s="0"/>
      <c r="EF1280" s="0"/>
      <c r="EG1280" s="0"/>
      <c r="EH1280" s="0"/>
      <c r="EI1280" s="0"/>
      <c r="EJ1280" s="0"/>
      <c r="EK1280" s="0"/>
      <c r="EL1280" s="0"/>
      <c r="EM1280" s="0"/>
      <c r="EN1280" s="0"/>
      <c r="EO1280" s="0"/>
      <c r="EP1280" s="0"/>
      <c r="EQ1280" s="0"/>
      <c r="ER1280" s="0"/>
      <c r="ES1280" s="0"/>
      <c r="ET1280" s="0"/>
      <c r="EU1280" s="0"/>
      <c r="EV1280" s="0"/>
      <c r="EW1280" s="0"/>
      <c r="EX1280" s="0"/>
      <c r="EY1280" s="0"/>
      <c r="EZ1280" s="0"/>
      <c r="FA1280" s="0"/>
      <c r="FB1280" s="0"/>
      <c r="FC1280" s="0"/>
      <c r="FD1280" s="0"/>
      <c r="FE1280" s="0"/>
      <c r="FF1280" s="0"/>
      <c r="FG1280" s="0"/>
      <c r="FH1280" s="0"/>
      <c r="FI1280" s="0"/>
      <c r="FJ1280" s="0"/>
      <c r="FK1280" s="0"/>
      <c r="FL1280" s="0"/>
      <c r="FM1280" s="0"/>
      <c r="FN1280" s="0"/>
      <c r="FO1280" s="0"/>
      <c r="FP1280" s="0"/>
      <c r="FQ1280" s="0"/>
      <c r="FR1280" s="0"/>
      <c r="FS1280" s="0"/>
      <c r="FT1280" s="0"/>
      <c r="FU1280" s="0"/>
      <c r="FV1280" s="0"/>
      <c r="FW1280" s="0"/>
      <c r="FX1280" s="0"/>
      <c r="FY1280" s="0"/>
      <c r="FZ1280" s="0"/>
      <c r="GA1280" s="0"/>
      <c r="GB1280" s="0"/>
      <c r="GC1280" s="0"/>
      <c r="GD1280" s="0"/>
      <c r="GE1280" s="0"/>
      <c r="GF1280" s="0"/>
      <c r="GG1280" s="0"/>
      <c r="GH1280" s="0"/>
      <c r="GI1280" s="0"/>
      <c r="GJ1280" s="0"/>
      <c r="GK1280" s="0"/>
      <c r="GL1280" s="0"/>
      <c r="GM1280" s="0"/>
      <c r="GN1280" s="0"/>
      <c r="GO1280" s="0"/>
      <c r="GP1280" s="0"/>
      <c r="GQ1280" s="0"/>
      <c r="GR1280" s="0"/>
      <c r="GS1280" s="0"/>
      <c r="GT1280" s="0"/>
      <c r="GU1280" s="0"/>
      <c r="GV1280" s="0"/>
      <c r="GW1280" s="0"/>
      <c r="GX1280" s="0"/>
      <c r="GY1280" s="0"/>
      <c r="GZ1280" s="0"/>
      <c r="HA1280" s="0"/>
      <c r="HB1280" s="0"/>
      <c r="HC1280" s="0"/>
      <c r="HD1280" s="0"/>
      <c r="HE1280" s="0"/>
      <c r="HF1280" s="0"/>
      <c r="HG1280" s="0"/>
      <c r="HH1280" s="0"/>
      <c r="HI1280" s="0"/>
      <c r="HJ1280" s="0"/>
      <c r="HK1280" s="0"/>
      <c r="HL1280" s="0"/>
      <c r="HM1280" s="0"/>
      <c r="HN1280" s="0"/>
      <c r="HO1280" s="0"/>
      <c r="HP1280" s="0"/>
      <c r="HQ1280" s="0"/>
      <c r="HR1280" s="0"/>
      <c r="HS1280" s="0"/>
      <c r="HT1280" s="0"/>
      <c r="HU1280" s="0"/>
      <c r="HV1280" s="0"/>
      <c r="HW1280" s="0"/>
      <c r="HX1280" s="0"/>
      <c r="HY1280" s="0"/>
      <c r="HZ1280" s="0"/>
      <c r="IA1280" s="0"/>
      <c r="IB1280" s="0"/>
      <c r="IC1280" s="0"/>
      <c r="ID1280" s="0"/>
      <c r="IE1280" s="0"/>
      <c r="IF1280" s="0"/>
      <c r="IG1280" s="0"/>
      <c r="IH1280" s="0"/>
      <c r="II1280" s="0"/>
      <c r="IJ1280" s="0"/>
      <c r="IK1280" s="0"/>
      <c r="IL1280" s="0"/>
      <c r="IM1280" s="0"/>
      <c r="IN1280" s="0"/>
      <c r="IO1280" s="0"/>
      <c r="IP1280" s="0"/>
      <c r="IQ1280" s="0"/>
      <c r="IR1280" s="0"/>
      <c r="IS1280" s="0"/>
      <c r="IT1280" s="0"/>
      <c r="IU1280" s="0"/>
      <c r="IV1280" s="0"/>
    </row>
    <row r="1281" customFormat="false" ht="15.75" hidden="false" customHeight="true" outlineLevel="0" collapsed="false">
      <c r="A1281" s="1471" t="s">
        <v>932</v>
      </c>
      <c r="B1281" s="1468"/>
      <c r="C1281" s="1468"/>
      <c r="D1281" s="1468"/>
      <c r="E1281" s="1472"/>
      <c r="F1281" s="1470" t="n">
        <f aca="false">E1281/$E$1304</f>
        <v>0</v>
      </c>
      <c r="G1281" s="1475"/>
      <c r="I1281" s="1249"/>
      <c r="J1281" s="0"/>
      <c r="K1281" s="1453"/>
      <c r="L1281" s="1444"/>
      <c r="M1281" s="0"/>
      <c r="N1281" s="0"/>
      <c r="O1281" s="0"/>
      <c r="P1281" s="0"/>
      <c r="Q1281" s="0"/>
      <c r="R1281" s="0"/>
      <c r="S1281" s="0"/>
      <c r="T1281" s="0"/>
      <c r="U1281" s="0"/>
      <c r="V1281" s="0"/>
      <c r="W1281" s="0"/>
      <c r="X1281" s="0"/>
      <c r="Y1281" s="0"/>
      <c r="Z1281" s="0"/>
      <c r="AA1281" s="0"/>
      <c r="AB1281" s="0"/>
      <c r="AC1281" s="0"/>
      <c r="AD1281" s="0"/>
      <c r="AE1281" s="0"/>
      <c r="AF1281" s="0"/>
      <c r="AG1281" s="0"/>
      <c r="AH1281" s="0"/>
      <c r="AI1281" s="0"/>
      <c r="AJ1281" s="0"/>
      <c r="AK1281" s="0"/>
      <c r="AL1281" s="0"/>
      <c r="AM1281" s="0"/>
      <c r="AN1281" s="0"/>
      <c r="AO1281" s="0"/>
      <c r="AP1281" s="0"/>
      <c r="AQ1281" s="0"/>
      <c r="AR1281" s="0"/>
      <c r="AS1281" s="0"/>
      <c r="AT1281" s="0"/>
      <c r="AU1281" s="0"/>
      <c r="AV1281" s="0"/>
      <c r="AW1281" s="0"/>
      <c r="AX1281" s="0"/>
      <c r="AY1281" s="0"/>
      <c r="AZ1281" s="0"/>
      <c r="BA1281" s="0"/>
      <c r="BB1281" s="0"/>
      <c r="BC1281" s="0"/>
      <c r="BD1281" s="0"/>
      <c r="BE1281" s="0"/>
      <c r="BF1281" s="0"/>
      <c r="BG1281" s="0"/>
      <c r="BH1281" s="0"/>
      <c r="BI1281" s="0"/>
      <c r="BJ1281" s="0"/>
      <c r="BK1281" s="0"/>
      <c r="BL1281" s="0"/>
      <c r="BM1281" s="0"/>
      <c r="BN1281" s="0"/>
      <c r="BO1281" s="0"/>
      <c r="BP1281" s="0"/>
      <c r="BQ1281" s="0"/>
      <c r="BR1281" s="0"/>
      <c r="BS1281" s="0"/>
      <c r="BT1281" s="0"/>
      <c r="BU1281" s="0"/>
      <c r="BV1281" s="0"/>
      <c r="BW1281" s="0"/>
      <c r="BX1281" s="0"/>
      <c r="BY1281" s="0"/>
      <c r="BZ1281" s="0"/>
      <c r="CA1281" s="0"/>
      <c r="CB1281" s="0"/>
      <c r="CC1281" s="0"/>
      <c r="CD1281" s="0"/>
      <c r="CE1281" s="0"/>
      <c r="CF1281" s="0"/>
      <c r="CG1281" s="0"/>
      <c r="CH1281" s="0"/>
      <c r="CI1281" s="0"/>
      <c r="CJ1281" s="0"/>
      <c r="CK1281" s="0"/>
      <c r="CL1281" s="0"/>
      <c r="CM1281" s="0"/>
      <c r="CN1281" s="0"/>
      <c r="CO1281" s="0"/>
      <c r="CP1281" s="0"/>
      <c r="CQ1281" s="0"/>
      <c r="CR1281" s="0"/>
      <c r="CS1281" s="0"/>
      <c r="CT1281" s="0"/>
      <c r="CU1281" s="0"/>
      <c r="CV1281" s="0"/>
      <c r="CW1281" s="0"/>
      <c r="CX1281" s="0"/>
      <c r="CY1281" s="0"/>
      <c r="CZ1281" s="0"/>
      <c r="DA1281" s="0"/>
      <c r="DB1281" s="0"/>
      <c r="DC1281" s="0"/>
      <c r="DD1281" s="0"/>
      <c r="DE1281" s="0"/>
      <c r="DF1281" s="0"/>
      <c r="DG1281" s="0"/>
      <c r="DH1281" s="0"/>
      <c r="DI1281" s="0"/>
      <c r="DJ1281" s="0"/>
      <c r="DK1281" s="0"/>
      <c r="DL1281" s="0"/>
      <c r="DM1281" s="0"/>
      <c r="DN1281" s="0"/>
      <c r="DO1281" s="0"/>
      <c r="DP1281" s="0"/>
      <c r="DQ1281" s="0"/>
      <c r="DR1281" s="0"/>
      <c r="DS1281" s="0"/>
      <c r="DT1281" s="0"/>
      <c r="DU1281" s="0"/>
      <c r="DV1281" s="0"/>
      <c r="DW1281" s="0"/>
      <c r="DX1281" s="0"/>
      <c r="DY1281" s="0"/>
      <c r="DZ1281" s="0"/>
      <c r="EA1281" s="0"/>
      <c r="EB1281" s="0"/>
      <c r="EC1281" s="0"/>
      <c r="ED1281" s="0"/>
      <c r="EE1281" s="0"/>
      <c r="EF1281" s="0"/>
      <c r="EG1281" s="0"/>
      <c r="EH1281" s="0"/>
      <c r="EI1281" s="0"/>
      <c r="EJ1281" s="0"/>
      <c r="EK1281" s="0"/>
      <c r="EL1281" s="0"/>
      <c r="EM1281" s="0"/>
      <c r="EN1281" s="0"/>
      <c r="EO1281" s="0"/>
      <c r="EP1281" s="0"/>
      <c r="EQ1281" s="0"/>
      <c r="ER1281" s="0"/>
      <c r="ES1281" s="0"/>
      <c r="ET1281" s="0"/>
      <c r="EU1281" s="0"/>
      <c r="EV1281" s="0"/>
      <c r="EW1281" s="0"/>
      <c r="EX1281" s="0"/>
      <c r="EY1281" s="0"/>
      <c r="EZ1281" s="0"/>
      <c r="FA1281" s="0"/>
      <c r="FB1281" s="0"/>
      <c r="FC1281" s="0"/>
      <c r="FD1281" s="0"/>
      <c r="FE1281" s="0"/>
      <c r="FF1281" s="0"/>
      <c r="FG1281" s="0"/>
      <c r="FH1281" s="0"/>
      <c r="FI1281" s="0"/>
      <c r="FJ1281" s="0"/>
      <c r="FK1281" s="0"/>
      <c r="FL1281" s="0"/>
      <c r="FM1281" s="0"/>
      <c r="FN1281" s="0"/>
      <c r="FO1281" s="0"/>
      <c r="FP1281" s="0"/>
      <c r="FQ1281" s="0"/>
      <c r="FR1281" s="0"/>
      <c r="FS1281" s="0"/>
      <c r="FT1281" s="0"/>
      <c r="FU1281" s="0"/>
      <c r="FV1281" s="0"/>
      <c r="FW1281" s="0"/>
      <c r="FX1281" s="0"/>
      <c r="FY1281" s="0"/>
      <c r="FZ1281" s="0"/>
      <c r="GA1281" s="0"/>
      <c r="GB1281" s="0"/>
      <c r="GC1281" s="0"/>
      <c r="GD1281" s="0"/>
      <c r="GE1281" s="0"/>
      <c r="GF1281" s="0"/>
      <c r="GG1281" s="0"/>
      <c r="GH1281" s="0"/>
      <c r="GI1281" s="0"/>
      <c r="GJ1281" s="0"/>
      <c r="GK1281" s="0"/>
      <c r="GL1281" s="0"/>
      <c r="GM1281" s="0"/>
      <c r="GN1281" s="0"/>
      <c r="GO1281" s="0"/>
      <c r="GP1281" s="0"/>
      <c r="GQ1281" s="0"/>
      <c r="GR1281" s="0"/>
      <c r="GS1281" s="0"/>
      <c r="GT1281" s="0"/>
      <c r="GU1281" s="0"/>
      <c r="GV1281" s="0"/>
      <c r="GW1281" s="0"/>
      <c r="GX1281" s="0"/>
      <c r="GY1281" s="0"/>
      <c r="GZ1281" s="0"/>
      <c r="HA1281" s="0"/>
      <c r="HB1281" s="0"/>
      <c r="HC1281" s="0"/>
      <c r="HD1281" s="0"/>
      <c r="HE1281" s="0"/>
      <c r="HF1281" s="0"/>
      <c r="HG1281" s="0"/>
      <c r="HH1281" s="0"/>
      <c r="HI1281" s="0"/>
      <c r="HJ1281" s="0"/>
      <c r="HK1281" s="0"/>
      <c r="HL1281" s="0"/>
      <c r="HM1281" s="0"/>
      <c r="HN1281" s="0"/>
      <c r="HO1281" s="0"/>
      <c r="HP1281" s="0"/>
      <c r="HQ1281" s="0"/>
      <c r="HR1281" s="0"/>
      <c r="HS1281" s="0"/>
      <c r="HT1281" s="0"/>
      <c r="HU1281" s="0"/>
      <c r="HV1281" s="0"/>
      <c r="HW1281" s="0"/>
      <c r="HX1281" s="0"/>
      <c r="HY1281" s="0"/>
      <c r="HZ1281" s="0"/>
      <c r="IA1281" s="0"/>
      <c r="IB1281" s="0"/>
      <c r="IC1281" s="0"/>
      <c r="ID1281" s="0"/>
      <c r="IE1281" s="0"/>
      <c r="IF1281" s="0"/>
      <c r="IG1281" s="0"/>
      <c r="IH1281" s="0"/>
      <c r="II1281" s="0"/>
      <c r="IJ1281" s="0"/>
      <c r="IK1281" s="0"/>
      <c r="IL1281" s="0"/>
      <c r="IM1281" s="0"/>
      <c r="IN1281" s="0"/>
      <c r="IO1281" s="0"/>
      <c r="IP1281" s="0"/>
      <c r="IQ1281" s="0"/>
      <c r="IR1281" s="0"/>
      <c r="IS1281" s="0"/>
      <c r="IT1281" s="0"/>
      <c r="IU1281" s="0"/>
      <c r="IV1281" s="0"/>
    </row>
    <row r="1282" customFormat="false" ht="15" hidden="false" customHeight="true" outlineLevel="0" collapsed="false">
      <c r="A1282" s="1448" t="s">
        <v>933</v>
      </c>
      <c r="B1282" s="1449"/>
      <c r="C1282" s="1449"/>
      <c r="D1282" s="1449"/>
      <c r="E1282" s="1450" t="n">
        <f aca="false">SUM(E1283:E1286)</f>
        <v>0</v>
      </c>
      <c r="F1282" s="1451"/>
      <c r="G1282" s="1452"/>
      <c r="I1282" s="1249"/>
      <c r="J1282" s="0"/>
      <c r="K1282" s="1453"/>
      <c r="L1282" s="1444"/>
      <c r="M1282" s="0"/>
      <c r="N1282" s="0"/>
      <c r="O1282" s="0"/>
      <c r="P1282" s="0"/>
      <c r="Q1282" s="0"/>
      <c r="R1282" s="0"/>
      <c r="S1282" s="0"/>
      <c r="T1282" s="0"/>
      <c r="U1282" s="0"/>
      <c r="V1282" s="0"/>
      <c r="W1282" s="0"/>
      <c r="X1282" s="0"/>
      <c r="Y1282" s="0"/>
      <c r="Z1282" s="0"/>
      <c r="AA1282" s="0"/>
      <c r="AB1282" s="0"/>
      <c r="AC1282" s="0"/>
      <c r="AD1282" s="0"/>
      <c r="AE1282" s="0"/>
      <c r="AF1282" s="0"/>
      <c r="AG1282" s="0"/>
      <c r="AH1282" s="0"/>
      <c r="AI1282" s="0"/>
      <c r="AJ1282" s="0"/>
      <c r="AK1282" s="0"/>
      <c r="AL1282" s="0"/>
      <c r="AM1282" s="0"/>
      <c r="AN1282" s="0"/>
      <c r="AO1282" s="0"/>
      <c r="AP1282" s="0"/>
      <c r="AQ1282" s="0"/>
      <c r="AR1282" s="0"/>
      <c r="AS1282" s="0"/>
      <c r="AT1282" s="0"/>
      <c r="AU1282" s="0"/>
      <c r="AV1282" s="0"/>
      <c r="AW1282" s="0"/>
      <c r="AX1282" s="0"/>
      <c r="AY1282" s="0"/>
      <c r="AZ1282" s="0"/>
      <c r="BA1282" s="0"/>
      <c r="BB1282" s="0"/>
      <c r="BC1282" s="0"/>
      <c r="BD1282" s="0"/>
      <c r="BE1282" s="0"/>
      <c r="BF1282" s="0"/>
      <c r="BG1282" s="0"/>
      <c r="BH1282" s="0"/>
      <c r="BI1282" s="0"/>
      <c r="BJ1282" s="0"/>
      <c r="BK1282" s="0"/>
      <c r="BL1282" s="0"/>
      <c r="BM1282" s="0"/>
      <c r="BN1282" s="0"/>
      <c r="BO1282" s="0"/>
      <c r="BP1282" s="0"/>
      <c r="BQ1282" s="0"/>
      <c r="BR1282" s="0"/>
      <c r="BS1282" s="0"/>
      <c r="BT1282" s="0"/>
      <c r="BU1282" s="0"/>
      <c r="BV1282" s="0"/>
      <c r="BW1282" s="0"/>
      <c r="BX1282" s="0"/>
      <c r="BY1282" s="0"/>
      <c r="BZ1282" s="0"/>
      <c r="CA1282" s="0"/>
      <c r="CB1282" s="0"/>
      <c r="CC1282" s="0"/>
      <c r="CD1282" s="0"/>
      <c r="CE1282" s="0"/>
      <c r="CF1282" s="0"/>
      <c r="CG1282" s="0"/>
      <c r="CH1282" s="0"/>
      <c r="CI1282" s="0"/>
      <c r="CJ1282" s="0"/>
      <c r="CK1282" s="0"/>
      <c r="CL1282" s="0"/>
      <c r="CM1282" s="0"/>
      <c r="CN1282" s="0"/>
      <c r="CO1282" s="0"/>
      <c r="CP1282" s="0"/>
      <c r="CQ1282" s="0"/>
      <c r="CR1282" s="0"/>
      <c r="CS1282" s="0"/>
      <c r="CT1282" s="0"/>
      <c r="CU1282" s="0"/>
      <c r="CV1282" s="0"/>
      <c r="CW1282" s="0"/>
      <c r="CX1282" s="0"/>
      <c r="CY1282" s="0"/>
      <c r="CZ1282" s="0"/>
      <c r="DA1282" s="0"/>
      <c r="DB1282" s="0"/>
      <c r="DC1282" s="0"/>
      <c r="DD1282" s="0"/>
      <c r="DE1282" s="0"/>
      <c r="DF1282" s="0"/>
      <c r="DG1282" s="0"/>
      <c r="DH1282" s="0"/>
      <c r="DI1282" s="0"/>
      <c r="DJ1282" s="0"/>
      <c r="DK1282" s="0"/>
      <c r="DL1282" s="0"/>
      <c r="DM1282" s="0"/>
      <c r="DN1282" s="0"/>
      <c r="DO1282" s="0"/>
      <c r="DP1282" s="0"/>
      <c r="DQ1282" s="0"/>
      <c r="DR1282" s="0"/>
      <c r="DS1282" s="0"/>
      <c r="DT1282" s="0"/>
      <c r="DU1282" s="0"/>
      <c r="DV1282" s="0"/>
      <c r="DW1282" s="0"/>
      <c r="DX1282" s="0"/>
      <c r="DY1282" s="0"/>
      <c r="DZ1282" s="0"/>
      <c r="EA1282" s="0"/>
      <c r="EB1282" s="0"/>
      <c r="EC1282" s="0"/>
      <c r="ED1282" s="0"/>
      <c r="EE1282" s="0"/>
      <c r="EF1282" s="0"/>
      <c r="EG1282" s="0"/>
      <c r="EH1282" s="0"/>
      <c r="EI1282" s="0"/>
      <c r="EJ1282" s="0"/>
      <c r="EK1282" s="0"/>
      <c r="EL1282" s="0"/>
      <c r="EM1282" s="0"/>
      <c r="EN1282" s="0"/>
      <c r="EO1282" s="0"/>
      <c r="EP1282" s="0"/>
      <c r="EQ1282" s="0"/>
      <c r="ER1282" s="0"/>
      <c r="ES1282" s="0"/>
      <c r="ET1282" s="0"/>
      <c r="EU1282" s="0"/>
      <c r="EV1282" s="0"/>
      <c r="EW1282" s="0"/>
      <c r="EX1282" s="0"/>
      <c r="EY1282" s="0"/>
      <c r="EZ1282" s="0"/>
      <c r="FA1282" s="0"/>
      <c r="FB1282" s="0"/>
      <c r="FC1282" s="0"/>
      <c r="FD1282" s="0"/>
      <c r="FE1282" s="0"/>
      <c r="FF1282" s="0"/>
      <c r="FG1282" s="0"/>
      <c r="FH1282" s="0"/>
      <c r="FI1282" s="0"/>
      <c r="FJ1282" s="0"/>
      <c r="FK1282" s="0"/>
      <c r="FL1282" s="0"/>
      <c r="FM1282" s="0"/>
      <c r="FN1282" s="0"/>
      <c r="FO1282" s="0"/>
      <c r="FP1282" s="0"/>
      <c r="FQ1282" s="0"/>
      <c r="FR1282" s="0"/>
      <c r="FS1282" s="0"/>
      <c r="FT1282" s="0"/>
      <c r="FU1282" s="0"/>
      <c r="FV1282" s="0"/>
      <c r="FW1282" s="0"/>
      <c r="FX1282" s="0"/>
      <c r="FY1282" s="0"/>
      <c r="FZ1282" s="0"/>
      <c r="GA1282" s="0"/>
      <c r="GB1282" s="0"/>
      <c r="GC1282" s="0"/>
      <c r="GD1282" s="0"/>
      <c r="GE1282" s="0"/>
      <c r="GF1282" s="0"/>
      <c r="GG1282" s="0"/>
      <c r="GH1282" s="0"/>
      <c r="GI1282" s="0"/>
      <c r="GJ1282" s="0"/>
      <c r="GK1282" s="0"/>
      <c r="GL1282" s="0"/>
      <c r="GM1282" s="0"/>
      <c r="GN1282" s="0"/>
      <c r="GO1282" s="0"/>
      <c r="GP1282" s="0"/>
      <c r="GQ1282" s="0"/>
      <c r="GR1282" s="0"/>
      <c r="GS1282" s="0"/>
      <c r="GT1282" s="0"/>
      <c r="GU1282" s="0"/>
      <c r="GV1282" s="0"/>
      <c r="GW1282" s="0"/>
      <c r="GX1282" s="0"/>
      <c r="GY1282" s="0"/>
      <c r="GZ1282" s="0"/>
      <c r="HA1282" s="0"/>
      <c r="HB1282" s="0"/>
      <c r="HC1282" s="0"/>
      <c r="HD1282" s="0"/>
      <c r="HE1282" s="0"/>
      <c r="HF1282" s="0"/>
      <c r="HG1282" s="0"/>
      <c r="HH1282" s="0"/>
      <c r="HI1282" s="0"/>
      <c r="HJ1282" s="0"/>
      <c r="HK1282" s="0"/>
      <c r="HL1282" s="0"/>
      <c r="HM1282" s="0"/>
      <c r="HN1282" s="0"/>
      <c r="HO1282" s="0"/>
      <c r="HP1282" s="0"/>
      <c r="HQ1282" s="0"/>
      <c r="HR1282" s="0"/>
      <c r="HS1282" s="0"/>
      <c r="HT1282" s="0"/>
      <c r="HU1282" s="0"/>
      <c r="HV1282" s="0"/>
      <c r="HW1282" s="0"/>
      <c r="HX1282" s="0"/>
      <c r="HY1282" s="0"/>
      <c r="HZ1282" s="0"/>
      <c r="IA1282" s="0"/>
      <c r="IB1282" s="0"/>
      <c r="IC1282" s="0"/>
      <c r="ID1282" s="0"/>
      <c r="IE1282" s="0"/>
      <c r="IF1282" s="0"/>
      <c r="IG1282" s="0"/>
      <c r="IH1282" s="0"/>
      <c r="II1282" s="0"/>
      <c r="IJ1282" s="0"/>
      <c r="IK1282" s="0"/>
      <c r="IL1282" s="0"/>
      <c r="IM1282" s="0"/>
      <c r="IN1282" s="0"/>
      <c r="IO1282" s="0"/>
      <c r="IP1282" s="0"/>
      <c r="IQ1282" s="0"/>
      <c r="IR1282" s="0"/>
      <c r="IS1282" s="0"/>
      <c r="IT1282" s="0"/>
      <c r="IU1282" s="0"/>
      <c r="IV1282" s="0"/>
    </row>
    <row r="1283" customFormat="false" ht="15" hidden="false" customHeight="true" outlineLevel="0" collapsed="false">
      <c r="A1283" s="1454" t="s">
        <v>934</v>
      </c>
      <c r="B1283" s="1455"/>
      <c r="C1283" s="1455"/>
      <c r="D1283" s="1455"/>
      <c r="E1283" s="1456"/>
      <c r="F1283" s="1457" t="n">
        <f aca="false">E1283/$E$1304</f>
        <v>0</v>
      </c>
      <c r="G1283" s="1467"/>
      <c r="I1283" s="1249"/>
      <c r="J1283" s="0"/>
      <c r="K1283" s="1453"/>
      <c r="L1283" s="1444"/>
      <c r="M1283" s="0"/>
      <c r="N1283" s="0"/>
      <c r="O1283" s="0"/>
      <c r="P1283" s="0"/>
      <c r="Q1283" s="0"/>
      <c r="R1283" s="0"/>
      <c r="S1283" s="0"/>
      <c r="T1283" s="0"/>
      <c r="U1283" s="0"/>
      <c r="V1283" s="0"/>
      <c r="W1283" s="0"/>
      <c r="X1283" s="0"/>
      <c r="Y1283" s="0"/>
      <c r="Z1283" s="0"/>
      <c r="AA1283" s="0"/>
      <c r="AB1283" s="0"/>
      <c r="AC1283" s="0"/>
      <c r="AD1283" s="0"/>
      <c r="AE1283" s="0"/>
      <c r="AF1283" s="0"/>
      <c r="AG1283" s="0"/>
      <c r="AH1283" s="0"/>
      <c r="AI1283" s="0"/>
      <c r="AJ1283" s="0"/>
      <c r="AK1283" s="0"/>
      <c r="AL1283" s="0"/>
      <c r="AM1283" s="0"/>
      <c r="AN1283" s="0"/>
      <c r="AO1283" s="0"/>
      <c r="AP1283" s="0"/>
      <c r="AQ1283" s="0"/>
      <c r="AR1283" s="0"/>
      <c r="AS1283" s="0"/>
      <c r="AT1283" s="0"/>
      <c r="AU1283" s="0"/>
      <c r="AV1283" s="0"/>
      <c r="AW1283" s="0"/>
      <c r="AX1283" s="0"/>
      <c r="AY1283" s="0"/>
      <c r="AZ1283" s="0"/>
      <c r="BA1283" s="0"/>
      <c r="BB1283" s="0"/>
      <c r="BC1283" s="0"/>
      <c r="BD1283" s="0"/>
      <c r="BE1283" s="0"/>
      <c r="BF1283" s="0"/>
      <c r="BG1283" s="0"/>
      <c r="BH1283" s="0"/>
      <c r="BI1283" s="0"/>
      <c r="BJ1283" s="0"/>
      <c r="BK1283" s="0"/>
      <c r="BL1283" s="0"/>
      <c r="BM1283" s="0"/>
      <c r="BN1283" s="0"/>
      <c r="BO1283" s="0"/>
      <c r="BP1283" s="0"/>
      <c r="BQ1283" s="0"/>
      <c r="BR1283" s="0"/>
      <c r="BS1283" s="0"/>
      <c r="BT1283" s="0"/>
      <c r="BU1283" s="0"/>
      <c r="BV1283" s="0"/>
      <c r="BW1283" s="0"/>
      <c r="BX1283" s="0"/>
      <c r="BY1283" s="0"/>
      <c r="BZ1283" s="0"/>
      <c r="CA1283" s="0"/>
      <c r="CB1283" s="0"/>
      <c r="CC1283" s="0"/>
      <c r="CD1283" s="0"/>
      <c r="CE1283" s="0"/>
      <c r="CF1283" s="0"/>
      <c r="CG1283" s="0"/>
      <c r="CH1283" s="0"/>
      <c r="CI1283" s="0"/>
      <c r="CJ1283" s="0"/>
      <c r="CK1283" s="0"/>
      <c r="CL1283" s="0"/>
      <c r="CM1283" s="0"/>
      <c r="CN1283" s="0"/>
      <c r="CO1283" s="0"/>
      <c r="CP1283" s="0"/>
      <c r="CQ1283" s="0"/>
      <c r="CR1283" s="0"/>
      <c r="CS1283" s="0"/>
      <c r="CT1283" s="0"/>
      <c r="CU1283" s="0"/>
      <c r="CV1283" s="0"/>
      <c r="CW1283" s="0"/>
      <c r="CX1283" s="0"/>
      <c r="CY1283" s="0"/>
      <c r="CZ1283" s="0"/>
      <c r="DA1283" s="0"/>
      <c r="DB1283" s="0"/>
      <c r="DC1283" s="0"/>
      <c r="DD1283" s="0"/>
      <c r="DE1283" s="0"/>
      <c r="DF1283" s="0"/>
      <c r="DG1283" s="0"/>
      <c r="DH1283" s="0"/>
      <c r="DI1283" s="0"/>
      <c r="DJ1283" s="0"/>
      <c r="DK1283" s="0"/>
      <c r="DL1283" s="0"/>
      <c r="DM1283" s="0"/>
      <c r="DN1283" s="0"/>
      <c r="DO1283" s="0"/>
      <c r="DP1283" s="0"/>
      <c r="DQ1283" s="0"/>
      <c r="DR1283" s="0"/>
      <c r="DS1283" s="0"/>
      <c r="DT1283" s="0"/>
      <c r="DU1283" s="0"/>
      <c r="DV1283" s="0"/>
      <c r="DW1283" s="0"/>
      <c r="DX1283" s="0"/>
      <c r="DY1283" s="0"/>
      <c r="DZ1283" s="0"/>
      <c r="EA1283" s="0"/>
      <c r="EB1283" s="0"/>
      <c r="EC1283" s="0"/>
      <c r="ED1283" s="0"/>
      <c r="EE1283" s="0"/>
      <c r="EF1283" s="0"/>
      <c r="EG1283" s="0"/>
      <c r="EH1283" s="0"/>
      <c r="EI1283" s="0"/>
      <c r="EJ1283" s="0"/>
      <c r="EK1283" s="0"/>
      <c r="EL1283" s="0"/>
      <c r="EM1283" s="0"/>
      <c r="EN1283" s="0"/>
      <c r="EO1283" s="0"/>
      <c r="EP1283" s="0"/>
      <c r="EQ1283" s="0"/>
      <c r="ER1283" s="0"/>
      <c r="ES1283" s="0"/>
      <c r="ET1283" s="0"/>
      <c r="EU1283" s="0"/>
      <c r="EV1283" s="0"/>
      <c r="EW1283" s="0"/>
      <c r="EX1283" s="0"/>
      <c r="EY1283" s="0"/>
      <c r="EZ1283" s="0"/>
      <c r="FA1283" s="0"/>
      <c r="FB1283" s="0"/>
      <c r="FC1283" s="0"/>
      <c r="FD1283" s="0"/>
      <c r="FE1283" s="0"/>
      <c r="FF1283" s="0"/>
      <c r="FG1283" s="0"/>
      <c r="FH1283" s="0"/>
      <c r="FI1283" s="0"/>
      <c r="FJ1283" s="0"/>
      <c r="FK1283" s="0"/>
      <c r="FL1283" s="0"/>
      <c r="FM1283" s="0"/>
      <c r="FN1283" s="0"/>
      <c r="FO1283" s="0"/>
      <c r="FP1283" s="0"/>
      <c r="FQ1283" s="0"/>
      <c r="FR1283" s="0"/>
      <c r="FS1283" s="0"/>
      <c r="FT1283" s="0"/>
      <c r="FU1283" s="0"/>
      <c r="FV1283" s="0"/>
      <c r="FW1283" s="0"/>
      <c r="FX1283" s="0"/>
      <c r="FY1283" s="0"/>
      <c r="FZ1283" s="0"/>
      <c r="GA1283" s="0"/>
      <c r="GB1283" s="0"/>
      <c r="GC1283" s="0"/>
      <c r="GD1283" s="0"/>
      <c r="GE1283" s="0"/>
      <c r="GF1283" s="0"/>
      <c r="GG1283" s="0"/>
      <c r="GH1283" s="0"/>
      <c r="GI1283" s="0"/>
      <c r="GJ1283" s="0"/>
      <c r="GK1283" s="0"/>
      <c r="GL1283" s="0"/>
      <c r="GM1283" s="0"/>
      <c r="GN1283" s="0"/>
      <c r="GO1283" s="0"/>
      <c r="GP1283" s="0"/>
      <c r="GQ1283" s="0"/>
      <c r="GR1283" s="0"/>
      <c r="GS1283" s="0"/>
      <c r="GT1283" s="0"/>
      <c r="GU1283" s="0"/>
      <c r="GV1283" s="0"/>
      <c r="GW1283" s="0"/>
      <c r="GX1283" s="0"/>
      <c r="GY1283" s="0"/>
      <c r="GZ1283" s="0"/>
      <c r="HA1283" s="0"/>
      <c r="HB1283" s="0"/>
      <c r="HC1283" s="0"/>
      <c r="HD1283" s="0"/>
      <c r="HE1283" s="0"/>
      <c r="HF1283" s="0"/>
      <c r="HG1283" s="0"/>
      <c r="HH1283" s="0"/>
      <c r="HI1283" s="0"/>
      <c r="HJ1283" s="0"/>
      <c r="HK1283" s="0"/>
      <c r="HL1283" s="0"/>
      <c r="HM1283" s="0"/>
      <c r="HN1283" s="0"/>
      <c r="HO1283" s="0"/>
      <c r="HP1283" s="0"/>
      <c r="HQ1283" s="0"/>
      <c r="HR1283" s="0"/>
      <c r="HS1283" s="0"/>
      <c r="HT1283" s="0"/>
      <c r="HU1283" s="0"/>
      <c r="HV1283" s="0"/>
      <c r="HW1283" s="0"/>
      <c r="HX1283" s="0"/>
      <c r="HY1283" s="0"/>
      <c r="HZ1283" s="0"/>
      <c r="IA1283" s="0"/>
      <c r="IB1283" s="0"/>
      <c r="IC1283" s="0"/>
      <c r="ID1283" s="0"/>
      <c r="IE1283" s="0"/>
      <c r="IF1283" s="0"/>
      <c r="IG1283" s="0"/>
      <c r="IH1283" s="0"/>
      <c r="II1283" s="0"/>
      <c r="IJ1283" s="0"/>
      <c r="IK1283" s="0"/>
      <c r="IL1283" s="0"/>
      <c r="IM1283" s="0"/>
      <c r="IN1283" s="0"/>
      <c r="IO1283" s="0"/>
      <c r="IP1283" s="0"/>
      <c r="IQ1283" s="0"/>
      <c r="IR1283" s="0"/>
      <c r="IS1283" s="0"/>
      <c r="IT1283" s="0"/>
      <c r="IU1283" s="0"/>
      <c r="IV1283" s="0"/>
    </row>
    <row r="1284" s="55" customFormat="true" ht="15" hidden="false" customHeight="true" outlineLevel="0" collapsed="false">
      <c r="A1284" s="1454" t="s">
        <v>929</v>
      </c>
      <c r="B1284" s="1455"/>
      <c r="C1284" s="1455"/>
      <c r="D1284" s="1455"/>
      <c r="E1284" s="1456"/>
      <c r="F1284" s="1457" t="n">
        <f aca="false">E1284/$E$1304</f>
        <v>0</v>
      </c>
      <c r="G1284" s="1467"/>
      <c r="H1284" s="11"/>
      <c r="I1284" s="1249"/>
      <c r="J1284" s="0"/>
      <c r="K1284" s="1453"/>
      <c r="L1284" s="1444"/>
      <c r="M1284" s="11"/>
      <c r="N1284" s="11"/>
      <c r="O1284" s="11"/>
      <c r="P1284" s="11"/>
      <c r="Q1284" s="11"/>
      <c r="R1284" s="11"/>
    </row>
    <row r="1285" customFormat="false" ht="15" hidden="false" customHeight="true" outlineLevel="0" collapsed="false">
      <c r="A1285" s="1454" t="s">
        <v>930</v>
      </c>
      <c r="B1285" s="1455"/>
      <c r="C1285" s="1455"/>
      <c r="D1285" s="1455"/>
      <c r="E1285" s="1456"/>
      <c r="F1285" s="1457" t="n">
        <f aca="false">E1285/$E$1304</f>
        <v>0</v>
      </c>
      <c r="G1285" s="1467"/>
      <c r="I1285" s="1249"/>
      <c r="J1285" s="0"/>
      <c r="K1285" s="1453"/>
      <c r="L1285" s="1444"/>
      <c r="M1285" s="0"/>
      <c r="N1285" s="0"/>
      <c r="O1285" s="0"/>
      <c r="P1285" s="0"/>
      <c r="Q1285" s="0"/>
      <c r="R1285" s="0"/>
      <c r="S1285" s="0"/>
      <c r="T1285" s="0"/>
      <c r="U1285" s="0"/>
      <c r="V1285" s="0"/>
      <c r="W1285" s="0"/>
      <c r="X1285" s="0"/>
      <c r="Y1285" s="0"/>
      <c r="Z1285" s="0"/>
      <c r="AA1285" s="0"/>
      <c r="AB1285" s="0"/>
      <c r="AC1285" s="0"/>
      <c r="AD1285" s="0"/>
      <c r="AE1285" s="0"/>
      <c r="AF1285" s="0"/>
      <c r="AG1285" s="0"/>
      <c r="AH1285" s="0"/>
      <c r="AI1285" s="0"/>
      <c r="AJ1285" s="0"/>
      <c r="AK1285" s="0"/>
      <c r="AL1285" s="0"/>
      <c r="AM1285" s="0"/>
      <c r="AN1285" s="0"/>
      <c r="AO1285" s="0"/>
      <c r="AP1285" s="0"/>
      <c r="AQ1285" s="0"/>
      <c r="AR1285" s="0"/>
      <c r="AS1285" s="0"/>
      <c r="AT1285" s="0"/>
      <c r="AU1285" s="0"/>
      <c r="AV1285" s="0"/>
      <c r="AW1285" s="0"/>
      <c r="AX1285" s="0"/>
      <c r="AY1285" s="0"/>
      <c r="AZ1285" s="0"/>
      <c r="BA1285" s="0"/>
      <c r="BB1285" s="0"/>
      <c r="BC1285" s="0"/>
      <c r="BD1285" s="0"/>
      <c r="BE1285" s="0"/>
      <c r="BF1285" s="0"/>
      <c r="BG1285" s="0"/>
      <c r="BH1285" s="0"/>
      <c r="BI1285" s="0"/>
      <c r="BJ1285" s="0"/>
      <c r="BK1285" s="0"/>
      <c r="BL1285" s="0"/>
      <c r="BM1285" s="0"/>
      <c r="BN1285" s="0"/>
      <c r="BO1285" s="0"/>
      <c r="BP1285" s="0"/>
      <c r="BQ1285" s="0"/>
      <c r="BR1285" s="0"/>
      <c r="BS1285" s="0"/>
      <c r="BT1285" s="0"/>
      <c r="BU1285" s="0"/>
      <c r="BV1285" s="0"/>
      <c r="BW1285" s="0"/>
      <c r="BX1285" s="0"/>
      <c r="BY1285" s="0"/>
      <c r="BZ1285" s="0"/>
      <c r="CA1285" s="0"/>
      <c r="CB1285" s="0"/>
      <c r="CC1285" s="0"/>
      <c r="CD1285" s="0"/>
      <c r="CE1285" s="0"/>
      <c r="CF1285" s="0"/>
      <c r="CG1285" s="0"/>
      <c r="CH1285" s="0"/>
      <c r="CI1285" s="0"/>
      <c r="CJ1285" s="0"/>
      <c r="CK1285" s="0"/>
      <c r="CL1285" s="0"/>
      <c r="CM1285" s="0"/>
      <c r="CN1285" s="0"/>
      <c r="CO1285" s="0"/>
      <c r="CP1285" s="0"/>
      <c r="CQ1285" s="0"/>
      <c r="CR1285" s="0"/>
      <c r="CS1285" s="0"/>
      <c r="CT1285" s="0"/>
      <c r="CU1285" s="0"/>
      <c r="CV1285" s="0"/>
      <c r="CW1285" s="0"/>
      <c r="CX1285" s="0"/>
      <c r="CY1285" s="0"/>
      <c r="CZ1285" s="0"/>
      <c r="DA1285" s="0"/>
      <c r="DB1285" s="0"/>
      <c r="DC1285" s="0"/>
      <c r="DD1285" s="0"/>
      <c r="DE1285" s="0"/>
      <c r="DF1285" s="0"/>
      <c r="DG1285" s="0"/>
      <c r="DH1285" s="0"/>
      <c r="DI1285" s="0"/>
      <c r="DJ1285" s="0"/>
      <c r="DK1285" s="0"/>
      <c r="DL1285" s="0"/>
      <c r="DM1285" s="0"/>
      <c r="DN1285" s="0"/>
      <c r="DO1285" s="0"/>
      <c r="DP1285" s="0"/>
      <c r="DQ1285" s="0"/>
      <c r="DR1285" s="0"/>
      <c r="DS1285" s="0"/>
      <c r="DT1285" s="0"/>
      <c r="DU1285" s="0"/>
      <c r="DV1285" s="0"/>
      <c r="DW1285" s="0"/>
      <c r="DX1285" s="0"/>
      <c r="DY1285" s="0"/>
      <c r="DZ1285" s="0"/>
      <c r="EA1285" s="0"/>
      <c r="EB1285" s="0"/>
      <c r="EC1285" s="0"/>
      <c r="ED1285" s="0"/>
      <c r="EE1285" s="0"/>
      <c r="EF1285" s="0"/>
      <c r="EG1285" s="0"/>
      <c r="EH1285" s="0"/>
      <c r="EI1285" s="0"/>
      <c r="EJ1285" s="0"/>
      <c r="EK1285" s="0"/>
      <c r="EL1285" s="0"/>
      <c r="EM1285" s="0"/>
      <c r="EN1285" s="0"/>
      <c r="EO1285" s="0"/>
      <c r="EP1285" s="0"/>
      <c r="EQ1285" s="0"/>
      <c r="ER1285" s="0"/>
      <c r="ES1285" s="0"/>
      <c r="ET1285" s="0"/>
      <c r="EU1285" s="0"/>
      <c r="EV1285" s="0"/>
      <c r="EW1285" s="0"/>
      <c r="EX1285" s="0"/>
      <c r="EY1285" s="0"/>
      <c r="EZ1285" s="0"/>
      <c r="FA1285" s="0"/>
      <c r="FB1285" s="0"/>
      <c r="FC1285" s="0"/>
      <c r="FD1285" s="0"/>
      <c r="FE1285" s="0"/>
      <c r="FF1285" s="0"/>
      <c r="FG1285" s="0"/>
      <c r="FH1285" s="0"/>
      <c r="FI1285" s="0"/>
      <c r="FJ1285" s="0"/>
      <c r="FK1285" s="0"/>
      <c r="FL1285" s="0"/>
      <c r="FM1285" s="0"/>
      <c r="FN1285" s="0"/>
      <c r="FO1285" s="0"/>
      <c r="FP1285" s="0"/>
      <c r="FQ1285" s="0"/>
      <c r="FR1285" s="0"/>
      <c r="FS1285" s="0"/>
      <c r="FT1285" s="0"/>
      <c r="FU1285" s="0"/>
      <c r="FV1285" s="0"/>
      <c r="FW1285" s="0"/>
      <c r="FX1285" s="0"/>
      <c r="FY1285" s="0"/>
      <c r="FZ1285" s="0"/>
      <c r="GA1285" s="0"/>
      <c r="GB1285" s="0"/>
      <c r="GC1285" s="0"/>
      <c r="GD1285" s="0"/>
      <c r="GE1285" s="0"/>
      <c r="GF1285" s="0"/>
      <c r="GG1285" s="0"/>
      <c r="GH1285" s="0"/>
      <c r="GI1285" s="0"/>
      <c r="GJ1285" s="0"/>
      <c r="GK1285" s="0"/>
      <c r="GL1285" s="0"/>
      <c r="GM1285" s="0"/>
      <c r="GN1285" s="0"/>
      <c r="GO1285" s="0"/>
      <c r="GP1285" s="0"/>
      <c r="GQ1285" s="0"/>
      <c r="GR1285" s="0"/>
      <c r="GS1285" s="0"/>
      <c r="GT1285" s="0"/>
      <c r="GU1285" s="0"/>
      <c r="GV1285" s="0"/>
      <c r="GW1285" s="0"/>
      <c r="GX1285" s="0"/>
      <c r="GY1285" s="0"/>
      <c r="GZ1285" s="0"/>
      <c r="HA1285" s="0"/>
      <c r="HB1285" s="0"/>
      <c r="HC1285" s="0"/>
      <c r="HD1285" s="0"/>
      <c r="HE1285" s="0"/>
      <c r="HF1285" s="0"/>
      <c r="HG1285" s="0"/>
      <c r="HH1285" s="0"/>
      <c r="HI1285" s="0"/>
      <c r="HJ1285" s="0"/>
      <c r="HK1285" s="0"/>
      <c r="HL1285" s="0"/>
      <c r="HM1285" s="0"/>
      <c r="HN1285" s="0"/>
      <c r="HO1285" s="0"/>
      <c r="HP1285" s="0"/>
      <c r="HQ1285" s="0"/>
      <c r="HR1285" s="0"/>
      <c r="HS1285" s="0"/>
      <c r="HT1285" s="0"/>
      <c r="HU1285" s="0"/>
      <c r="HV1285" s="0"/>
      <c r="HW1285" s="0"/>
      <c r="HX1285" s="0"/>
      <c r="HY1285" s="0"/>
      <c r="HZ1285" s="0"/>
      <c r="IA1285" s="0"/>
      <c r="IB1285" s="0"/>
      <c r="IC1285" s="0"/>
      <c r="ID1285" s="0"/>
      <c r="IE1285" s="0"/>
      <c r="IF1285" s="0"/>
      <c r="IG1285" s="0"/>
      <c r="IH1285" s="0"/>
      <c r="II1285" s="0"/>
      <c r="IJ1285" s="0"/>
      <c r="IK1285" s="0"/>
      <c r="IL1285" s="0"/>
      <c r="IM1285" s="0"/>
      <c r="IN1285" s="0"/>
      <c r="IO1285" s="0"/>
      <c r="IP1285" s="0"/>
      <c r="IQ1285" s="0"/>
      <c r="IR1285" s="0"/>
      <c r="IS1285" s="0"/>
      <c r="IT1285" s="0"/>
      <c r="IU1285" s="0"/>
      <c r="IV1285" s="0"/>
    </row>
    <row r="1286" customFormat="false" ht="15.75" hidden="false" customHeight="true" outlineLevel="0" collapsed="false">
      <c r="A1286" s="1471" t="s">
        <v>932</v>
      </c>
      <c r="B1286" s="1468"/>
      <c r="C1286" s="1468"/>
      <c r="D1286" s="1468"/>
      <c r="E1286" s="1472"/>
      <c r="F1286" s="1470" t="n">
        <f aca="false">E1286/$E$1304</f>
        <v>0</v>
      </c>
      <c r="G1286" s="1467"/>
      <c r="I1286" s="1249"/>
      <c r="J1286" s="0"/>
      <c r="K1286" s="1453"/>
      <c r="L1286" s="1444"/>
      <c r="M1286" s="0"/>
      <c r="N1286" s="0"/>
      <c r="O1286" s="0"/>
      <c r="P1286" s="0"/>
      <c r="Q1286" s="0"/>
      <c r="R1286" s="0"/>
      <c r="S1286" s="0"/>
      <c r="T1286" s="0"/>
      <c r="U1286" s="0"/>
      <c r="V1286" s="0"/>
      <c r="W1286" s="0"/>
      <c r="X1286" s="0"/>
      <c r="Y1286" s="0"/>
      <c r="Z1286" s="0"/>
      <c r="AA1286" s="0"/>
      <c r="AB1286" s="0"/>
      <c r="AC1286" s="0"/>
      <c r="AD1286" s="0"/>
      <c r="AE1286" s="0"/>
      <c r="AF1286" s="0"/>
      <c r="AG1286" s="0"/>
      <c r="AH1286" s="0"/>
      <c r="AI1286" s="0"/>
      <c r="AJ1286" s="0"/>
      <c r="AK1286" s="0"/>
      <c r="AL1286" s="0"/>
      <c r="AM1286" s="0"/>
      <c r="AN1286" s="0"/>
      <c r="AO1286" s="0"/>
      <c r="AP1286" s="0"/>
      <c r="AQ1286" s="0"/>
      <c r="AR1286" s="0"/>
      <c r="AS1286" s="0"/>
      <c r="AT1286" s="0"/>
      <c r="AU1286" s="0"/>
      <c r="AV1286" s="0"/>
      <c r="AW1286" s="0"/>
      <c r="AX1286" s="0"/>
      <c r="AY1286" s="0"/>
      <c r="AZ1286" s="0"/>
      <c r="BA1286" s="0"/>
      <c r="BB1286" s="0"/>
      <c r="BC1286" s="0"/>
      <c r="BD1286" s="0"/>
      <c r="BE1286" s="0"/>
      <c r="BF1286" s="0"/>
      <c r="BG1286" s="0"/>
      <c r="BH1286" s="0"/>
      <c r="BI1286" s="0"/>
      <c r="BJ1286" s="0"/>
      <c r="BK1286" s="0"/>
      <c r="BL1286" s="0"/>
      <c r="BM1286" s="0"/>
      <c r="BN1286" s="0"/>
      <c r="BO1286" s="0"/>
      <c r="BP1286" s="0"/>
      <c r="BQ1286" s="0"/>
      <c r="BR1286" s="0"/>
      <c r="BS1286" s="0"/>
      <c r="BT1286" s="0"/>
      <c r="BU1286" s="0"/>
      <c r="BV1286" s="0"/>
      <c r="BW1286" s="0"/>
      <c r="BX1286" s="0"/>
      <c r="BY1286" s="0"/>
      <c r="BZ1286" s="0"/>
      <c r="CA1286" s="0"/>
      <c r="CB1286" s="0"/>
      <c r="CC1286" s="0"/>
      <c r="CD1286" s="0"/>
      <c r="CE1286" s="0"/>
      <c r="CF1286" s="0"/>
      <c r="CG1286" s="0"/>
      <c r="CH1286" s="0"/>
      <c r="CI1286" s="0"/>
      <c r="CJ1286" s="0"/>
      <c r="CK1286" s="0"/>
      <c r="CL1286" s="0"/>
      <c r="CM1286" s="0"/>
      <c r="CN1286" s="0"/>
      <c r="CO1286" s="0"/>
      <c r="CP1286" s="0"/>
      <c r="CQ1286" s="0"/>
      <c r="CR1286" s="0"/>
      <c r="CS1286" s="0"/>
      <c r="CT1286" s="0"/>
      <c r="CU1286" s="0"/>
      <c r="CV1286" s="0"/>
      <c r="CW1286" s="0"/>
      <c r="CX1286" s="0"/>
      <c r="CY1286" s="0"/>
      <c r="CZ1286" s="0"/>
      <c r="DA1286" s="0"/>
      <c r="DB1286" s="0"/>
      <c r="DC1286" s="0"/>
      <c r="DD1286" s="0"/>
      <c r="DE1286" s="0"/>
      <c r="DF1286" s="0"/>
      <c r="DG1286" s="0"/>
      <c r="DH1286" s="0"/>
      <c r="DI1286" s="0"/>
      <c r="DJ1286" s="0"/>
      <c r="DK1286" s="0"/>
      <c r="DL1286" s="0"/>
      <c r="DM1286" s="0"/>
      <c r="DN1286" s="0"/>
      <c r="DO1286" s="0"/>
      <c r="DP1286" s="0"/>
      <c r="DQ1286" s="0"/>
      <c r="DR1286" s="0"/>
      <c r="DS1286" s="0"/>
      <c r="DT1286" s="0"/>
      <c r="DU1286" s="0"/>
      <c r="DV1286" s="0"/>
      <c r="DW1286" s="0"/>
      <c r="DX1286" s="0"/>
      <c r="DY1286" s="0"/>
      <c r="DZ1286" s="0"/>
      <c r="EA1286" s="0"/>
      <c r="EB1286" s="0"/>
      <c r="EC1286" s="0"/>
      <c r="ED1286" s="0"/>
      <c r="EE1286" s="0"/>
      <c r="EF1286" s="0"/>
      <c r="EG1286" s="0"/>
      <c r="EH1286" s="0"/>
      <c r="EI1286" s="0"/>
      <c r="EJ1286" s="0"/>
      <c r="EK1286" s="0"/>
      <c r="EL1286" s="0"/>
      <c r="EM1286" s="0"/>
      <c r="EN1286" s="0"/>
      <c r="EO1286" s="0"/>
      <c r="EP1286" s="0"/>
      <c r="EQ1286" s="0"/>
      <c r="ER1286" s="0"/>
      <c r="ES1286" s="0"/>
      <c r="ET1286" s="0"/>
      <c r="EU1286" s="0"/>
      <c r="EV1286" s="0"/>
      <c r="EW1286" s="0"/>
      <c r="EX1286" s="0"/>
      <c r="EY1286" s="0"/>
      <c r="EZ1286" s="0"/>
      <c r="FA1286" s="0"/>
      <c r="FB1286" s="0"/>
      <c r="FC1286" s="0"/>
      <c r="FD1286" s="0"/>
      <c r="FE1286" s="0"/>
      <c r="FF1286" s="0"/>
      <c r="FG1286" s="0"/>
      <c r="FH1286" s="0"/>
      <c r="FI1286" s="0"/>
      <c r="FJ1286" s="0"/>
      <c r="FK1286" s="0"/>
      <c r="FL1286" s="0"/>
      <c r="FM1286" s="0"/>
      <c r="FN1286" s="0"/>
      <c r="FO1286" s="0"/>
      <c r="FP1286" s="0"/>
      <c r="FQ1286" s="0"/>
      <c r="FR1286" s="0"/>
      <c r="FS1286" s="0"/>
      <c r="FT1286" s="0"/>
      <c r="FU1286" s="0"/>
      <c r="FV1286" s="0"/>
      <c r="FW1286" s="0"/>
      <c r="FX1286" s="0"/>
      <c r="FY1286" s="0"/>
      <c r="FZ1286" s="0"/>
      <c r="GA1286" s="0"/>
      <c r="GB1286" s="0"/>
      <c r="GC1286" s="0"/>
      <c r="GD1286" s="0"/>
      <c r="GE1286" s="0"/>
      <c r="GF1286" s="0"/>
      <c r="GG1286" s="0"/>
      <c r="GH1286" s="0"/>
      <c r="GI1286" s="0"/>
      <c r="GJ1286" s="0"/>
      <c r="GK1286" s="0"/>
      <c r="GL1286" s="0"/>
      <c r="GM1286" s="0"/>
      <c r="GN1286" s="0"/>
      <c r="GO1286" s="0"/>
      <c r="GP1286" s="0"/>
      <c r="GQ1286" s="0"/>
      <c r="GR1286" s="0"/>
      <c r="GS1286" s="0"/>
      <c r="GT1286" s="0"/>
      <c r="GU1286" s="0"/>
      <c r="GV1286" s="0"/>
      <c r="GW1286" s="0"/>
      <c r="GX1286" s="0"/>
      <c r="GY1286" s="0"/>
      <c r="GZ1286" s="0"/>
      <c r="HA1286" s="0"/>
      <c r="HB1286" s="0"/>
      <c r="HC1286" s="0"/>
      <c r="HD1286" s="0"/>
      <c r="HE1286" s="0"/>
      <c r="HF1286" s="0"/>
      <c r="HG1286" s="0"/>
      <c r="HH1286" s="0"/>
      <c r="HI1286" s="0"/>
      <c r="HJ1286" s="0"/>
      <c r="HK1286" s="0"/>
      <c r="HL1286" s="0"/>
      <c r="HM1286" s="0"/>
      <c r="HN1286" s="0"/>
      <c r="HO1286" s="0"/>
      <c r="HP1286" s="0"/>
      <c r="HQ1286" s="0"/>
      <c r="HR1286" s="0"/>
      <c r="HS1286" s="0"/>
      <c r="HT1286" s="0"/>
      <c r="HU1286" s="0"/>
      <c r="HV1286" s="0"/>
      <c r="HW1286" s="0"/>
      <c r="HX1286" s="0"/>
      <c r="HY1286" s="0"/>
      <c r="HZ1286" s="0"/>
      <c r="IA1286" s="0"/>
      <c r="IB1286" s="0"/>
      <c r="IC1286" s="0"/>
      <c r="ID1286" s="0"/>
      <c r="IE1286" s="0"/>
      <c r="IF1286" s="0"/>
      <c r="IG1286" s="0"/>
      <c r="IH1286" s="0"/>
      <c r="II1286" s="0"/>
      <c r="IJ1286" s="0"/>
      <c r="IK1286" s="0"/>
      <c r="IL1286" s="0"/>
      <c r="IM1286" s="0"/>
      <c r="IN1286" s="0"/>
      <c r="IO1286" s="0"/>
      <c r="IP1286" s="0"/>
      <c r="IQ1286" s="0"/>
      <c r="IR1286" s="0"/>
      <c r="IS1286" s="0"/>
      <c r="IT1286" s="0"/>
      <c r="IU1286" s="0"/>
      <c r="IV1286" s="0"/>
    </row>
    <row r="1287" customFormat="false" ht="15" hidden="false" customHeight="true" outlineLevel="0" collapsed="false">
      <c r="A1287" s="1448" t="s">
        <v>1784</v>
      </c>
      <c r="B1287" s="1449"/>
      <c r="C1287" s="1449"/>
      <c r="D1287" s="1449"/>
      <c r="E1287" s="1450" t="n">
        <f aca="false">SUM(E1288:E1291)</f>
        <v>0</v>
      </c>
      <c r="F1287" s="1451"/>
      <c r="G1287" s="1452"/>
      <c r="I1287" s="1249"/>
      <c r="J1287" s="0"/>
      <c r="K1287" s="1453"/>
      <c r="L1287" s="1444"/>
      <c r="M1287" s="0"/>
      <c r="N1287" s="0"/>
      <c r="O1287" s="0"/>
      <c r="P1287" s="0"/>
      <c r="Q1287" s="0"/>
      <c r="R1287" s="0"/>
      <c r="S1287" s="0"/>
      <c r="T1287" s="0"/>
      <c r="U1287" s="0"/>
      <c r="V1287" s="0"/>
      <c r="W1287" s="0"/>
      <c r="X1287" s="0"/>
      <c r="Y1287" s="0"/>
      <c r="Z1287" s="0"/>
      <c r="AA1287" s="0"/>
      <c r="AB1287" s="0"/>
      <c r="AC1287" s="0"/>
      <c r="AD1287" s="0"/>
      <c r="AE1287" s="0"/>
      <c r="AF1287" s="0"/>
      <c r="AG1287" s="0"/>
      <c r="AH1287" s="0"/>
      <c r="AI1287" s="0"/>
      <c r="AJ1287" s="0"/>
      <c r="AK1287" s="0"/>
      <c r="AL1287" s="0"/>
      <c r="AM1287" s="0"/>
      <c r="AN1287" s="0"/>
      <c r="AO1287" s="0"/>
      <c r="AP1287" s="0"/>
      <c r="AQ1287" s="0"/>
      <c r="AR1287" s="0"/>
      <c r="AS1287" s="0"/>
      <c r="AT1287" s="0"/>
      <c r="AU1287" s="0"/>
      <c r="AV1287" s="0"/>
      <c r="AW1287" s="0"/>
      <c r="AX1287" s="0"/>
      <c r="AY1287" s="0"/>
      <c r="AZ1287" s="0"/>
      <c r="BA1287" s="0"/>
      <c r="BB1287" s="0"/>
      <c r="BC1287" s="0"/>
      <c r="BD1287" s="0"/>
      <c r="BE1287" s="0"/>
      <c r="BF1287" s="0"/>
      <c r="BG1287" s="0"/>
      <c r="BH1287" s="0"/>
      <c r="BI1287" s="0"/>
      <c r="BJ1287" s="0"/>
      <c r="BK1287" s="0"/>
      <c r="BL1287" s="0"/>
      <c r="BM1287" s="0"/>
      <c r="BN1287" s="0"/>
      <c r="BO1287" s="0"/>
      <c r="BP1287" s="0"/>
      <c r="BQ1287" s="0"/>
      <c r="BR1287" s="0"/>
      <c r="BS1287" s="0"/>
      <c r="BT1287" s="0"/>
      <c r="BU1287" s="0"/>
      <c r="BV1287" s="0"/>
      <c r="BW1287" s="0"/>
      <c r="BX1287" s="0"/>
      <c r="BY1287" s="0"/>
      <c r="BZ1287" s="0"/>
      <c r="CA1287" s="0"/>
      <c r="CB1287" s="0"/>
      <c r="CC1287" s="0"/>
      <c r="CD1287" s="0"/>
      <c r="CE1287" s="0"/>
      <c r="CF1287" s="0"/>
      <c r="CG1287" s="0"/>
      <c r="CH1287" s="0"/>
      <c r="CI1287" s="0"/>
      <c r="CJ1287" s="0"/>
      <c r="CK1287" s="0"/>
      <c r="CL1287" s="0"/>
      <c r="CM1287" s="0"/>
      <c r="CN1287" s="0"/>
      <c r="CO1287" s="0"/>
      <c r="CP1287" s="0"/>
      <c r="CQ1287" s="0"/>
      <c r="CR1287" s="0"/>
      <c r="CS1287" s="0"/>
      <c r="CT1287" s="0"/>
      <c r="CU1287" s="0"/>
      <c r="CV1287" s="0"/>
      <c r="CW1287" s="0"/>
      <c r="CX1287" s="0"/>
      <c r="CY1287" s="0"/>
      <c r="CZ1287" s="0"/>
      <c r="DA1287" s="0"/>
      <c r="DB1287" s="0"/>
      <c r="DC1287" s="0"/>
      <c r="DD1287" s="0"/>
      <c r="DE1287" s="0"/>
      <c r="DF1287" s="0"/>
      <c r="DG1287" s="0"/>
      <c r="DH1287" s="0"/>
      <c r="DI1287" s="0"/>
      <c r="DJ1287" s="0"/>
      <c r="DK1287" s="0"/>
      <c r="DL1287" s="0"/>
      <c r="DM1287" s="0"/>
      <c r="DN1287" s="0"/>
      <c r="DO1287" s="0"/>
      <c r="DP1287" s="0"/>
      <c r="DQ1287" s="0"/>
      <c r="DR1287" s="0"/>
      <c r="DS1287" s="0"/>
      <c r="DT1287" s="0"/>
      <c r="DU1287" s="0"/>
      <c r="DV1287" s="0"/>
      <c r="DW1287" s="0"/>
      <c r="DX1287" s="0"/>
      <c r="DY1287" s="0"/>
      <c r="DZ1287" s="0"/>
      <c r="EA1287" s="0"/>
      <c r="EB1287" s="0"/>
      <c r="EC1287" s="0"/>
      <c r="ED1287" s="0"/>
      <c r="EE1287" s="0"/>
      <c r="EF1287" s="0"/>
      <c r="EG1287" s="0"/>
      <c r="EH1287" s="0"/>
      <c r="EI1287" s="0"/>
      <c r="EJ1287" s="0"/>
      <c r="EK1287" s="0"/>
      <c r="EL1287" s="0"/>
      <c r="EM1287" s="0"/>
      <c r="EN1287" s="0"/>
      <c r="EO1287" s="0"/>
      <c r="EP1287" s="0"/>
      <c r="EQ1287" s="0"/>
      <c r="ER1287" s="0"/>
      <c r="ES1287" s="0"/>
      <c r="ET1287" s="0"/>
      <c r="EU1287" s="0"/>
      <c r="EV1287" s="0"/>
      <c r="EW1287" s="0"/>
      <c r="EX1287" s="0"/>
      <c r="EY1287" s="0"/>
      <c r="EZ1287" s="0"/>
      <c r="FA1287" s="0"/>
      <c r="FB1287" s="0"/>
      <c r="FC1287" s="0"/>
      <c r="FD1287" s="0"/>
      <c r="FE1287" s="0"/>
      <c r="FF1287" s="0"/>
      <c r="FG1287" s="0"/>
      <c r="FH1287" s="0"/>
      <c r="FI1287" s="0"/>
      <c r="FJ1287" s="0"/>
      <c r="FK1287" s="0"/>
      <c r="FL1287" s="0"/>
      <c r="FM1287" s="0"/>
      <c r="FN1287" s="0"/>
      <c r="FO1287" s="0"/>
      <c r="FP1287" s="0"/>
      <c r="FQ1287" s="0"/>
      <c r="FR1287" s="0"/>
      <c r="FS1287" s="0"/>
      <c r="FT1287" s="0"/>
      <c r="FU1287" s="0"/>
      <c r="FV1287" s="0"/>
      <c r="FW1287" s="0"/>
      <c r="FX1287" s="0"/>
      <c r="FY1287" s="0"/>
      <c r="FZ1287" s="0"/>
      <c r="GA1287" s="0"/>
      <c r="GB1287" s="0"/>
      <c r="GC1287" s="0"/>
      <c r="GD1287" s="0"/>
      <c r="GE1287" s="0"/>
      <c r="GF1287" s="0"/>
      <c r="GG1287" s="0"/>
      <c r="GH1287" s="0"/>
      <c r="GI1287" s="0"/>
      <c r="GJ1287" s="0"/>
      <c r="GK1287" s="0"/>
      <c r="GL1287" s="0"/>
      <c r="GM1287" s="0"/>
      <c r="GN1287" s="0"/>
      <c r="GO1287" s="0"/>
      <c r="GP1287" s="0"/>
      <c r="GQ1287" s="0"/>
      <c r="GR1287" s="0"/>
      <c r="GS1287" s="0"/>
      <c r="GT1287" s="0"/>
      <c r="GU1287" s="0"/>
      <c r="GV1287" s="0"/>
      <c r="GW1287" s="0"/>
      <c r="GX1287" s="0"/>
      <c r="GY1287" s="0"/>
      <c r="GZ1287" s="0"/>
      <c r="HA1287" s="0"/>
      <c r="HB1287" s="0"/>
      <c r="HC1287" s="0"/>
      <c r="HD1287" s="0"/>
      <c r="HE1287" s="0"/>
      <c r="HF1287" s="0"/>
      <c r="HG1287" s="0"/>
      <c r="HH1287" s="0"/>
      <c r="HI1287" s="0"/>
      <c r="HJ1287" s="0"/>
      <c r="HK1287" s="0"/>
      <c r="HL1287" s="0"/>
      <c r="HM1287" s="0"/>
      <c r="HN1287" s="0"/>
      <c r="HO1287" s="0"/>
      <c r="HP1287" s="0"/>
      <c r="HQ1287" s="0"/>
      <c r="HR1287" s="0"/>
      <c r="HS1287" s="0"/>
      <c r="HT1287" s="0"/>
      <c r="HU1287" s="0"/>
      <c r="HV1287" s="0"/>
      <c r="HW1287" s="0"/>
      <c r="HX1287" s="0"/>
      <c r="HY1287" s="0"/>
      <c r="HZ1287" s="0"/>
      <c r="IA1287" s="0"/>
      <c r="IB1287" s="0"/>
      <c r="IC1287" s="0"/>
      <c r="ID1287" s="0"/>
      <c r="IE1287" s="0"/>
      <c r="IF1287" s="0"/>
      <c r="IG1287" s="0"/>
      <c r="IH1287" s="0"/>
      <c r="II1287" s="0"/>
      <c r="IJ1287" s="0"/>
      <c r="IK1287" s="0"/>
      <c r="IL1287" s="0"/>
      <c r="IM1287" s="0"/>
      <c r="IN1287" s="0"/>
      <c r="IO1287" s="0"/>
      <c r="IP1287" s="0"/>
      <c r="IQ1287" s="0"/>
      <c r="IR1287" s="0"/>
      <c r="IS1287" s="0"/>
      <c r="IT1287" s="0"/>
      <c r="IU1287" s="0"/>
      <c r="IV1287" s="0"/>
    </row>
    <row r="1288" customFormat="false" ht="15" hidden="false" customHeight="true" outlineLevel="0" collapsed="false">
      <c r="A1288" s="1454" t="s">
        <v>934</v>
      </c>
      <c r="B1288" s="1455"/>
      <c r="C1288" s="1455"/>
      <c r="D1288" s="1455"/>
      <c r="E1288" s="1456"/>
      <c r="F1288" s="1457" t="n">
        <f aca="false">E1288/$E$1304</f>
        <v>0</v>
      </c>
      <c r="G1288" s="1467"/>
      <c r="I1288" s="1249"/>
      <c r="J1288" s="0"/>
      <c r="K1288" s="1453"/>
      <c r="L1288" s="1444"/>
      <c r="M1288" s="0"/>
      <c r="N1288" s="0"/>
      <c r="O1288" s="0"/>
      <c r="P1288" s="0"/>
      <c r="Q1288" s="0"/>
      <c r="R1288" s="0"/>
      <c r="S1288" s="0"/>
      <c r="T1288" s="0"/>
      <c r="U1288" s="0"/>
      <c r="V1288" s="0"/>
      <c r="W1288" s="0"/>
      <c r="X1288" s="0"/>
      <c r="Y1288" s="0"/>
      <c r="Z1288" s="0"/>
      <c r="AA1288" s="0"/>
      <c r="AB1288" s="0"/>
      <c r="AC1288" s="0"/>
      <c r="AD1288" s="0"/>
      <c r="AE1288" s="0"/>
      <c r="AF1288" s="0"/>
      <c r="AG1288" s="0"/>
      <c r="AH1288" s="0"/>
      <c r="AI1288" s="0"/>
      <c r="AJ1288" s="0"/>
      <c r="AK1288" s="0"/>
      <c r="AL1288" s="0"/>
      <c r="AM1288" s="0"/>
      <c r="AN1288" s="0"/>
      <c r="AO1288" s="0"/>
      <c r="AP1288" s="0"/>
      <c r="AQ1288" s="0"/>
      <c r="AR1288" s="0"/>
      <c r="AS1288" s="0"/>
      <c r="AT1288" s="0"/>
      <c r="AU1288" s="0"/>
      <c r="AV1288" s="0"/>
      <c r="AW1288" s="0"/>
      <c r="AX1288" s="0"/>
      <c r="AY1288" s="0"/>
      <c r="AZ1288" s="0"/>
      <c r="BA1288" s="0"/>
      <c r="BB1288" s="0"/>
      <c r="BC1288" s="0"/>
      <c r="BD1288" s="0"/>
      <c r="BE1288" s="0"/>
      <c r="BF1288" s="0"/>
      <c r="BG1288" s="0"/>
      <c r="BH1288" s="0"/>
      <c r="BI1288" s="0"/>
      <c r="BJ1288" s="0"/>
      <c r="BK1288" s="0"/>
      <c r="BL1288" s="0"/>
      <c r="BM1288" s="0"/>
      <c r="BN1288" s="0"/>
      <c r="BO1288" s="0"/>
      <c r="BP1288" s="0"/>
      <c r="BQ1288" s="0"/>
      <c r="BR1288" s="0"/>
      <c r="BS1288" s="0"/>
      <c r="BT1288" s="0"/>
      <c r="BU1288" s="0"/>
      <c r="BV1288" s="0"/>
      <c r="BW1288" s="0"/>
      <c r="BX1288" s="0"/>
      <c r="BY1288" s="0"/>
      <c r="BZ1288" s="0"/>
      <c r="CA1288" s="0"/>
      <c r="CB1288" s="0"/>
      <c r="CC1288" s="0"/>
      <c r="CD1288" s="0"/>
      <c r="CE1288" s="0"/>
      <c r="CF1288" s="0"/>
      <c r="CG1288" s="0"/>
      <c r="CH1288" s="0"/>
      <c r="CI1288" s="0"/>
      <c r="CJ1288" s="0"/>
      <c r="CK1288" s="0"/>
      <c r="CL1288" s="0"/>
      <c r="CM1288" s="0"/>
      <c r="CN1288" s="0"/>
      <c r="CO1288" s="0"/>
      <c r="CP1288" s="0"/>
      <c r="CQ1288" s="0"/>
      <c r="CR1288" s="0"/>
      <c r="CS1288" s="0"/>
      <c r="CT1288" s="0"/>
      <c r="CU1288" s="0"/>
      <c r="CV1288" s="0"/>
      <c r="CW1288" s="0"/>
      <c r="CX1288" s="0"/>
      <c r="CY1288" s="0"/>
      <c r="CZ1288" s="0"/>
      <c r="DA1288" s="0"/>
      <c r="DB1288" s="0"/>
      <c r="DC1288" s="0"/>
      <c r="DD1288" s="0"/>
      <c r="DE1288" s="0"/>
      <c r="DF1288" s="0"/>
      <c r="DG1288" s="0"/>
      <c r="DH1288" s="0"/>
      <c r="DI1288" s="0"/>
      <c r="DJ1288" s="0"/>
      <c r="DK1288" s="0"/>
      <c r="DL1288" s="0"/>
      <c r="DM1288" s="0"/>
      <c r="DN1288" s="0"/>
      <c r="DO1288" s="0"/>
      <c r="DP1288" s="0"/>
      <c r="DQ1288" s="0"/>
      <c r="DR1288" s="0"/>
      <c r="DS1288" s="0"/>
      <c r="DT1288" s="0"/>
      <c r="DU1288" s="0"/>
      <c r="DV1288" s="0"/>
      <c r="DW1288" s="0"/>
      <c r="DX1288" s="0"/>
      <c r="DY1288" s="0"/>
      <c r="DZ1288" s="0"/>
      <c r="EA1288" s="0"/>
      <c r="EB1288" s="0"/>
      <c r="EC1288" s="0"/>
      <c r="ED1288" s="0"/>
      <c r="EE1288" s="0"/>
      <c r="EF1288" s="0"/>
      <c r="EG1288" s="0"/>
      <c r="EH1288" s="0"/>
      <c r="EI1288" s="0"/>
      <c r="EJ1288" s="0"/>
      <c r="EK1288" s="0"/>
      <c r="EL1288" s="0"/>
      <c r="EM1288" s="0"/>
      <c r="EN1288" s="0"/>
      <c r="EO1288" s="0"/>
      <c r="EP1288" s="0"/>
      <c r="EQ1288" s="0"/>
      <c r="ER1288" s="0"/>
      <c r="ES1288" s="0"/>
      <c r="ET1288" s="0"/>
      <c r="EU1288" s="0"/>
      <c r="EV1288" s="0"/>
      <c r="EW1288" s="0"/>
      <c r="EX1288" s="0"/>
      <c r="EY1288" s="0"/>
      <c r="EZ1288" s="0"/>
      <c r="FA1288" s="0"/>
      <c r="FB1288" s="0"/>
      <c r="FC1288" s="0"/>
      <c r="FD1288" s="0"/>
      <c r="FE1288" s="0"/>
      <c r="FF1288" s="0"/>
      <c r="FG1288" s="0"/>
      <c r="FH1288" s="0"/>
      <c r="FI1288" s="0"/>
      <c r="FJ1288" s="0"/>
      <c r="FK1288" s="0"/>
      <c r="FL1288" s="0"/>
      <c r="FM1288" s="0"/>
      <c r="FN1288" s="0"/>
      <c r="FO1288" s="0"/>
      <c r="FP1288" s="0"/>
      <c r="FQ1288" s="0"/>
      <c r="FR1288" s="0"/>
      <c r="FS1288" s="0"/>
      <c r="FT1288" s="0"/>
      <c r="FU1288" s="0"/>
      <c r="FV1288" s="0"/>
      <c r="FW1288" s="0"/>
      <c r="FX1288" s="0"/>
      <c r="FY1288" s="0"/>
      <c r="FZ1288" s="0"/>
      <c r="GA1288" s="0"/>
      <c r="GB1288" s="0"/>
      <c r="GC1288" s="0"/>
      <c r="GD1288" s="0"/>
      <c r="GE1288" s="0"/>
      <c r="GF1288" s="0"/>
      <c r="GG1288" s="0"/>
      <c r="GH1288" s="0"/>
      <c r="GI1288" s="0"/>
      <c r="GJ1288" s="0"/>
      <c r="GK1288" s="0"/>
      <c r="GL1288" s="0"/>
      <c r="GM1288" s="0"/>
      <c r="GN1288" s="0"/>
      <c r="GO1288" s="0"/>
      <c r="GP1288" s="0"/>
      <c r="GQ1288" s="0"/>
      <c r="GR1288" s="0"/>
      <c r="GS1288" s="0"/>
      <c r="GT1288" s="0"/>
      <c r="GU1288" s="0"/>
      <c r="GV1288" s="0"/>
      <c r="GW1288" s="0"/>
      <c r="GX1288" s="0"/>
      <c r="GY1288" s="0"/>
      <c r="GZ1288" s="0"/>
      <c r="HA1288" s="0"/>
      <c r="HB1288" s="0"/>
      <c r="HC1288" s="0"/>
      <c r="HD1288" s="0"/>
      <c r="HE1288" s="0"/>
      <c r="HF1288" s="0"/>
      <c r="HG1288" s="0"/>
      <c r="HH1288" s="0"/>
      <c r="HI1288" s="0"/>
      <c r="HJ1288" s="0"/>
      <c r="HK1288" s="0"/>
      <c r="HL1288" s="0"/>
      <c r="HM1288" s="0"/>
      <c r="HN1288" s="0"/>
      <c r="HO1288" s="0"/>
      <c r="HP1288" s="0"/>
      <c r="HQ1288" s="0"/>
      <c r="HR1288" s="0"/>
      <c r="HS1288" s="0"/>
      <c r="HT1288" s="0"/>
      <c r="HU1288" s="0"/>
      <c r="HV1288" s="0"/>
      <c r="HW1288" s="0"/>
      <c r="HX1288" s="0"/>
      <c r="HY1288" s="0"/>
      <c r="HZ1288" s="0"/>
      <c r="IA1288" s="0"/>
      <c r="IB1288" s="0"/>
      <c r="IC1288" s="0"/>
      <c r="ID1288" s="0"/>
      <c r="IE1288" s="0"/>
      <c r="IF1288" s="0"/>
      <c r="IG1288" s="0"/>
      <c r="IH1288" s="0"/>
      <c r="II1288" s="0"/>
      <c r="IJ1288" s="0"/>
      <c r="IK1288" s="0"/>
      <c r="IL1288" s="0"/>
      <c r="IM1288" s="0"/>
      <c r="IN1288" s="0"/>
      <c r="IO1288" s="0"/>
      <c r="IP1288" s="0"/>
      <c r="IQ1288" s="0"/>
      <c r="IR1288" s="0"/>
      <c r="IS1288" s="0"/>
      <c r="IT1288" s="0"/>
      <c r="IU1288" s="0"/>
      <c r="IV1288" s="0"/>
    </row>
    <row r="1289" customFormat="false" ht="15.75" hidden="false" customHeight="true" outlineLevel="0" collapsed="false">
      <c r="A1289" s="1454" t="s">
        <v>929</v>
      </c>
      <c r="B1289" s="1455"/>
      <c r="C1289" s="1455"/>
      <c r="D1289" s="1455"/>
      <c r="E1289" s="1456"/>
      <c r="F1289" s="1457" t="n">
        <f aca="false">E1289/$E$1304</f>
        <v>0</v>
      </c>
      <c r="G1289" s="1467"/>
      <c r="H1289" s="19"/>
      <c r="I1289" s="1249"/>
      <c r="J1289" s="0"/>
      <c r="K1289" s="1453"/>
      <c r="L1289" s="1444"/>
      <c r="M1289" s="0"/>
      <c r="N1289" s="0"/>
      <c r="O1289" s="0"/>
      <c r="P1289" s="0"/>
      <c r="Q1289" s="0"/>
      <c r="R1289" s="0"/>
      <c r="S1289" s="0"/>
      <c r="T1289" s="0"/>
      <c r="U1289" s="0"/>
      <c r="V1289" s="0"/>
      <c r="W1289" s="0"/>
      <c r="X1289" s="0"/>
      <c r="Y1289" s="0"/>
      <c r="Z1289" s="0"/>
      <c r="AA1289" s="0"/>
      <c r="AB1289" s="0"/>
      <c r="AC1289" s="0"/>
      <c r="AD1289" s="0"/>
      <c r="AE1289" s="0"/>
      <c r="AF1289" s="0"/>
      <c r="AG1289" s="0"/>
      <c r="AH1289" s="0"/>
      <c r="AI1289" s="0"/>
      <c r="AJ1289" s="0"/>
      <c r="AK1289" s="0"/>
      <c r="AL1289" s="0"/>
      <c r="AM1289" s="0"/>
      <c r="AN1289" s="0"/>
      <c r="AO1289" s="0"/>
      <c r="AP1289" s="0"/>
      <c r="AQ1289" s="0"/>
      <c r="AR1289" s="0"/>
      <c r="AS1289" s="0"/>
      <c r="AT1289" s="0"/>
      <c r="AU1289" s="0"/>
      <c r="AV1289" s="0"/>
      <c r="AW1289" s="0"/>
      <c r="AX1289" s="0"/>
      <c r="AY1289" s="0"/>
      <c r="AZ1289" s="0"/>
      <c r="BA1289" s="0"/>
      <c r="BB1289" s="0"/>
      <c r="BC1289" s="0"/>
      <c r="BD1289" s="0"/>
      <c r="BE1289" s="0"/>
      <c r="BF1289" s="0"/>
      <c r="BG1289" s="0"/>
      <c r="BH1289" s="0"/>
      <c r="BI1289" s="0"/>
      <c r="BJ1289" s="0"/>
      <c r="BK1289" s="0"/>
      <c r="BL1289" s="0"/>
      <c r="BM1289" s="0"/>
      <c r="BN1289" s="0"/>
      <c r="BO1289" s="0"/>
      <c r="BP1289" s="0"/>
      <c r="BQ1289" s="0"/>
      <c r="BR1289" s="0"/>
      <c r="BS1289" s="0"/>
      <c r="BT1289" s="0"/>
      <c r="BU1289" s="0"/>
      <c r="BV1289" s="0"/>
      <c r="BW1289" s="0"/>
      <c r="BX1289" s="0"/>
      <c r="BY1289" s="0"/>
      <c r="BZ1289" s="0"/>
      <c r="CA1289" s="0"/>
      <c r="CB1289" s="0"/>
      <c r="CC1289" s="0"/>
      <c r="CD1289" s="0"/>
      <c r="CE1289" s="0"/>
      <c r="CF1289" s="0"/>
      <c r="CG1289" s="0"/>
      <c r="CH1289" s="0"/>
      <c r="CI1289" s="0"/>
      <c r="CJ1289" s="0"/>
      <c r="CK1289" s="0"/>
      <c r="CL1289" s="0"/>
      <c r="CM1289" s="0"/>
      <c r="CN1289" s="0"/>
      <c r="CO1289" s="0"/>
      <c r="CP1289" s="0"/>
      <c r="CQ1289" s="0"/>
      <c r="CR1289" s="0"/>
      <c r="CS1289" s="0"/>
      <c r="CT1289" s="0"/>
      <c r="CU1289" s="0"/>
      <c r="CV1289" s="0"/>
      <c r="CW1289" s="0"/>
      <c r="CX1289" s="0"/>
      <c r="CY1289" s="0"/>
      <c r="CZ1289" s="0"/>
      <c r="DA1289" s="0"/>
      <c r="DB1289" s="0"/>
      <c r="DC1289" s="0"/>
      <c r="DD1289" s="0"/>
      <c r="DE1289" s="0"/>
      <c r="DF1289" s="0"/>
      <c r="DG1289" s="0"/>
      <c r="DH1289" s="0"/>
      <c r="DI1289" s="0"/>
      <c r="DJ1289" s="0"/>
      <c r="DK1289" s="0"/>
      <c r="DL1289" s="0"/>
      <c r="DM1289" s="0"/>
      <c r="DN1289" s="0"/>
      <c r="DO1289" s="0"/>
      <c r="DP1289" s="0"/>
      <c r="DQ1289" s="0"/>
      <c r="DR1289" s="0"/>
      <c r="DS1289" s="0"/>
      <c r="DT1289" s="0"/>
      <c r="DU1289" s="0"/>
      <c r="DV1289" s="0"/>
      <c r="DW1289" s="0"/>
      <c r="DX1289" s="0"/>
      <c r="DY1289" s="0"/>
      <c r="DZ1289" s="0"/>
      <c r="EA1289" s="0"/>
      <c r="EB1289" s="0"/>
      <c r="EC1289" s="0"/>
      <c r="ED1289" s="0"/>
      <c r="EE1289" s="0"/>
      <c r="EF1289" s="0"/>
      <c r="EG1289" s="0"/>
      <c r="EH1289" s="0"/>
      <c r="EI1289" s="0"/>
      <c r="EJ1289" s="0"/>
      <c r="EK1289" s="0"/>
      <c r="EL1289" s="0"/>
      <c r="EM1289" s="0"/>
      <c r="EN1289" s="0"/>
      <c r="EO1289" s="0"/>
      <c r="EP1289" s="0"/>
      <c r="EQ1289" s="0"/>
      <c r="ER1289" s="0"/>
      <c r="ES1289" s="0"/>
      <c r="ET1289" s="0"/>
      <c r="EU1289" s="0"/>
      <c r="EV1289" s="0"/>
      <c r="EW1289" s="0"/>
      <c r="EX1289" s="0"/>
      <c r="EY1289" s="0"/>
      <c r="EZ1289" s="0"/>
      <c r="FA1289" s="0"/>
      <c r="FB1289" s="0"/>
      <c r="FC1289" s="0"/>
      <c r="FD1289" s="0"/>
      <c r="FE1289" s="0"/>
      <c r="FF1289" s="0"/>
      <c r="FG1289" s="0"/>
      <c r="FH1289" s="0"/>
      <c r="FI1289" s="0"/>
      <c r="FJ1289" s="0"/>
      <c r="FK1289" s="0"/>
      <c r="FL1289" s="0"/>
      <c r="FM1289" s="0"/>
      <c r="FN1289" s="0"/>
      <c r="FO1289" s="0"/>
      <c r="FP1289" s="0"/>
      <c r="FQ1289" s="0"/>
      <c r="FR1289" s="0"/>
      <c r="FS1289" s="0"/>
      <c r="FT1289" s="0"/>
      <c r="FU1289" s="0"/>
      <c r="FV1289" s="0"/>
      <c r="FW1289" s="0"/>
      <c r="FX1289" s="0"/>
      <c r="FY1289" s="0"/>
      <c r="FZ1289" s="0"/>
      <c r="GA1289" s="0"/>
      <c r="GB1289" s="0"/>
      <c r="GC1289" s="0"/>
      <c r="GD1289" s="0"/>
      <c r="GE1289" s="0"/>
      <c r="GF1289" s="0"/>
      <c r="GG1289" s="0"/>
      <c r="GH1289" s="0"/>
      <c r="GI1289" s="0"/>
      <c r="GJ1289" s="0"/>
      <c r="GK1289" s="0"/>
      <c r="GL1289" s="0"/>
      <c r="GM1289" s="0"/>
      <c r="GN1289" s="0"/>
      <c r="GO1289" s="0"/>
      <c r="GP1289" s="0"/>
      <c r="GQ1289" s="0"/>
      <c r="GR1289" s="0"/>
      <c r="GS1289" s="0"/>
      <c r="GT1289" s="0"/>
      <c r="GU1289" s="0"/>
      <c r="GV1289" s="0"/>
      <c r="GW1289" s="0"/>
      <c r="GX1289" s="0"/>
      <c r="GY1289" s="0"/>
      <c r="GZ1289" s="0"/>
      <c r="HA1289" s="0"/>
      <c r="HB1289" s="0"/>
      <c r="HC1289" s="0"/>
      <c r="HD1289" s="0"/>
      <c r="HE1289" s="0"/>
      <c r="HF1289" s="0"/>
      <c r="HG1289" s="0"/>
      <c r="HH1289" s="0"/>
      <c r="HI1289" s="0"/>
      <c r="HJ1289" s="0"/>
      <c r="HK1289" s="0"/>
      <c r="HL1289" s="0"/>
      <c r="HM1289" s="0"/>
      <c r="HN1289" s="0"/>
      <c r="HO1289" s="0"/>
      <c r="HP1289" s="0"/>
      <c r="HQ1289" s="0"/>
      <c r="HR1289" s="0"/>
      <c r="HS1289" s="0"/>
      <c r="HT1289" s="0"/>
      <c r="HU1289" s="0"/>
      <c r="HV1289" s="0"/>
      <c r="HW1289" s="0"/>
      <c r="HX1289" s="0"/>
      <c r="HY1289" s="0"/>
      <c r="HZ1289" s="0"/>
      <c r="IA1289" s="0"/>
      <c r="IB1289" s="0"/>
      <c r="IC1289" s="0"/>
      <c r="ID1289" s="0"/>
      <c r="IE1289" s="0"/>
      <c r="IF1289" s="0"/>
      <c r="IG1289" s="0"/>
      <c r="IH1289" s="0"/>
      <c r="II1289" s="0"/>
      <c r="IJ1289" s="0"/>
      <c r="IK1289" s="0"/>
      <c r="IL1289" s="0"/>
      <c r="IM1289" s="0"/>
      <c r="IN1289" s="0"/>
      <c r="IO1289" s="0"/>
      <c r="IP1289" s="0"/>
      <c r="IQ1289" s="0"/>
      <c r="IR1289" s="0"/>
      <c r="IS1289" s="0"/>
      <c r="IT1289" s="0"/>
      <c r="IU1289" s="0"/>
      <c r="IV1289" s="0"/>
    </row>
    <row r="1290" customFormat="false" ht="15" hidden="false" customHeight="true" outlineLevel="0" collapsed="false">
      <c r="A1290" s="1454" t="s">
        <v>930</v>
      </c>
      <c r="B1290" s="1455"/>
      <c r="C1290" s="1455"/>
      <c r="D1290" s="1455"/>
      <c r="E1290" s="1456"/>
      <c r="F1290" s="1457" t="n">
        <f aca="false">E1290/$E$1304</f>
        <v>0</v>
      </c>
      <c r="G1290" s="1467"/>
      <c r="H1290" s="19"/>
      <c r="I1290" s="1249"/>
      <c r="J1290" s="0"/>
      <c r="K1290" s="1453"/>
      <c r="L1290" s="1444"/>
      <c r="M1290" s="0"/>
      <c r="N1290" s="0"/>
      <c r="O1290" s="0"/>
      <c r="P1290" s="0"/>
      <c r="Q1290" s="0"/>
      <c r="R1290" s="0"/>
      <c r="S1290" s="0"/>
      <c r="T1290" s="0"/>
      <c r="U1290" s="0"/>
      <c r="V1290" s="0"/>
      <c r="W1290" s="0"/>
      <c r="X1290" s="0"/>
      <c r="Y1290" s="0"/>
      <c r="Z1290" s="0"/>
      <c r="AA1290" s="0"/>
      <c r="AB1290" s="0"/>
      <c r="AC1290" s="0"/>
      <c r="AD1290" s="0"/>
      <c r="AE1290" s="0"/>
      <c r="AF1290" s="0"/>
      <c r="AG1290" s="0"/>
      <c r="AH1290" s="0"/>
      <c r="AI1290" s="0"/>
      <c r="AJ1290" s="0"/>
      <c r="AK1290" s="0"/>
      <c r="AL1290" s="0"/>
      <c r="AM1290" s="0"/>
      <c r="AN1290" s="0"/>
      <c r="AO1290" s="0"/>
      <c r="AP1290" s="0"/>
      <c r="AQ1290" s="0"/>
      <c r="AR1290" s="0"/>
      <c r="AS1290" s="0"/>
      <c r="AT1290" s="0"/>
      <c r="AU1290" s="0"/>
      <c r="AV1290" s="0"/>
      <c r="AW1290" s="0"/>
      <c r="AX1290" s="0"/>
      <c r="AY1290" s="0"/>
      <c r="AZ1290" s="0"/>
      <c r="BA1290" s="0"/>
      <c r="BB1290" s="0"/>
      <c r="BC1290" s="0"/>
      <c r="BD1290" s="0"/>
      <c r="BE1290" s="0"/>
      <c r="BF1290" s="0"/>
      <c r="BG1290" s="0"/>
      <c r="BH1290" s="0"/>
      <c r="BI1290" s="0"/>
      <c r="BJ1290" s="0"/>
      <c r="BK1290" s="0"/>
      <c r="BL1290" s="0"/>
      <c r="BM1290" s="0"/>
      <c r="BN1290" s="0"/>
      <c r="BO1290" s="0"/>
      <c r="BP1290" s="0"/>
      <c r="BQ1290" s="0"/>
      <c r="BR1290" s="0"/>
      <c r="BS1290" s="0"/>
      <c r="BT1290" s="0"/>
      <c r="BU1290" s="0"/>
      <c r="BV1290" s="0"/>
      <c r="BW1290" s="0"/>
      <c r="BX1290" s="0"/>
      <c r="BY1290" s="0"/>
      <c r="BZ1290" s="0"/>
      <c r="CA1290" s="0"/>
      <c r="CB1290" s="0"/>
      <c r="CC1290" s="0"/>
      <c r="CD1290" s="0"/>
      <c r="CE1290" s="0"/>
      <c r="CF1290" s="0"/>
      <c r="CG1290" s="0"/>
      <c r="CH1290" s="0"/>
      <c r="CI1290" s="0"/>
      <c r="CJ1290" s="0"/>
      <c r="CK1290" s="0"/>
      <c r="CL1290" s="0"/>
      <c r="CM1290" s="0"/>
      <c r="CN1290" s="0"/>
      <c r="CO1290" s="0"/>
      <c r="CP1290" s="0"/>
      <c r="CQ1290" s="0"/>
      <c r="CR1290" s="0"/>
      <c r="CS1290" s="0"/>
      <c r="CT1290" s="0"/>
      <c r="CU1290" s="0"/>
      <c r="CV1290" s="0"/>
      <c r="CW1290" s="0"/>
      <c r="CX1290" s="0"/>
      <c r="CY1290" s="0"/>
      <c r="CZ1290" s="0"/>
      <c r="DA1290" s="0"/>
      <c r="DB1290" s="0"/>
      <c r="DC1290" s="0"/>
      <c r="DD1290" s="0"/>
      <c r="DE1290" s="0"/>
      <c r="DF1290" s="0"/>
      <c r="DG1290" s="0"/>
      <c r="DH1290" s="0"/>
      <c r="DI1290" s="0"/>
      <c r="DJ1290" s="0"/>
      <c r="DK1290" s="0"/>
      <c r="DL1290" s="0"/>
      <c r="DM1290" s="0"/>
      <c r="DN1290" s="0"/>
      <c r="DO1290" s="0"/>
      <c r="DP1290" s="0"/>
      <c r="DQ1290" s="0"/>
      <c r="DR1290" s="0"/>
      <c r="DS1290" s="0"/>
      <c r="DT1290" s="0"/>
      <c r="DU1290" s="0"/>
      <c r="DV1290" s="0"/>
      <c r="DW1290" s="0"/>
      <c r="DX1290" s="0"/>
      <c r="DY1290" s="0"/>
      <c r="DZ1290" s="0"/>
      <c r="EA1290" s="0"/>
      <c r="EB1290" s="0"/>
      <c r="EC1290" s="0"/>
      <c r="ED1290" s="0"/>
      <c r="EE1290" s="0"/>
      <c r="EF1290" s="0"/>
      <c r="EG1290" s="0"/>
      <c r="EH1290" s="0"/>
      <c r="EI1290" s="0"/>
      <c r="EJ1290" s="0"/>
      <c r="EK1290" s="0"/>
      <c r="EL1290" s="0"/>
      <c r="EM1290" s="0"/>
      <c r="EN1290" s="0"/>
      <c r="EO1290" s="0"/>
      <c r="EP1290" s="0"/>
      <c r="EQ1290" s="0"/>
      <c r="ER1290" s="0"/>
      <c r="ES1290" s="0"/>
      <c r="ET1290" s="0"/>
      <c r="EU1290" s="0"/>
      <c r="EV1290" s="0"/>
      <c r="EW1290" s="0"/>
      <c r="EX1290" s="0"/>
      <c r="EY1290" s="0"/>
      <c r="EZ1290" s="0"/>
      <c r="FA1290" s="0"/>
      <c r="FB1290" s="0"/>
      <c r="FC1290" s="0"/>
      <c r="FD1290" s="0"/>
      <c r="FE1290" s="0"/>
      <c r="FF1290" s="0"/>
      <c r="FG1290" s="0"/>
      <c r="FH1290" s="0"/>
      <c r="FI1290" s="0"/>
      <c r="FJ1290" s="0"/>
      <c r="FK1290" s="0"/>
      <c r="FL1290" s="0"/>
      <c r="FM1290" s="0"/>
      <c r="FN1290" s="0"/>
      <c r="FO1290" s="0"/>
      <c r="FP1290" s="0"/>
      <c r="FQ1290" s="0"/>
      <c r="FR1290" s="0"/>
      <c r="FS1290" s="0"/>
      <c r="FT1290" s="0"/>
      <c r="FU1290" s="0"/>
      <c r="FV1290" s="0"/>
      <c r="FW1290" s="0"/>
      <c r="FX1290" s="0"/>
      <c r="FY1290" s="0"/>
      <c r="FZ1290" s="0"/>
      <c r="GA1290" s="0"/>
      <c r="GB1290" s="0"/>
      <c r="GC1290" s="0"/>
      <c r="GD1290" s="0"/>
      <c r="GE1290" s="0"/>
      <c r="GF1290" s="0"/>
      <c r="GG1290" s="0"/>
      <c r="GH1290" s="0"/>
      <c r="GI1290" s="0"/>
      <c r="GJ1290" s="0"/>
      <c r="GK1290" s="0"/>
      <c r="GL1290" s="0"/>
      <c r="GM1290" s="0"/>
      <c r="GN1290" s="0"/>
      <c r="GO1290" s="0"/>
      <c r="GP1290" s="0"/>
      <c r="GQ1290" s="0"/>
      <c r="GR1290" s="0"/>
      <c r="GS1290" s="0"/>
      <c r="GT1290" s="0"/>
      <c r="GU1290" s="0"/>
      <c r="GV1290" s="0"/>
      <c r="GW1290" s="0"/>
      <c r="GX1290" s="0"/>
      <c r="GY1290" s="0"/>
      <c r="GZ1290" s="0"/>
      <c r="HA1290" s="0"/>
      <c r="HB1290" s="0"/>
      <c r="HC1290" s="0"/>
      <c r="HD1290" s="0"/>
      <c r="HE1290" s="0"/>
      <c r="HF1290" s="0"/>
      <c r="HG1290" s="0"/>
      <c r="HH1290" s="0"/>
      <c r="HI1290" s="0"/>
      <c r="HJ1290" s="0"/>
      <c r="HK1290" s="0"/>
      <c r="HL1290" s="0"/>
      <c r="HM1290" s="0"/>
      <c r="HN1290" s="0"/>
      <c r="HO1290" s="0"/>
      <c r="HP1290" s="0"/>
      <c r="HQ1290" s="0"/>
      <c r="HR1290" s="0"/>
      <c r="HS1290" s="0"/>
      <c r="HT1290" s="0"/>
      <c r="HU1290" s="0"/>
      <c r="HV1290" s="0"/>
      <c r="HW1290" s="0"/>
      <c r="HX1290" s="0"/>
      <c r="HY1290" s="0"/>
      <c r="HZ1290" s="0"/>
      <c r="IA1290" s="0"/>
      <c r="IB1290" s="0"/>
      <c r="IC1290" s="0"/>
      <c r="ID1290" s="0"/>
      <c r="IE1290" s="0"/>
      <c r="IF1290" s="0"/>
      <c r="IG1290" s="0"/>
      <c r="IH1290" s="0"/>
      <c r="II1290" s="0"/>
      <c r="IJ1290" s="0"/>
      <c r="IK1290" s="0"/>
      <c r="IL1290" s="0"/>
      <c r="IM1290" s="0"/>
      <c r="IN1290" s="0"/>
      <c r="IO1290" s="0"/>
      <c r="IP1290" s="0"/>
      <c r="IQ1290" s="0"/>
      <c r="IR1290" s="0"/>
      <c r="IS1290" s="0"/>
      <c r="IT1290" s="0"/>
      <c r="IU1290" s="0"/>
      <c r="IV1290" s="0"/>
    </row>
    <row r="1291" customFormat="false" ht="15" hidden="false" customHeight="true" outlineLevel="0" collapsed="false">
      <c r="A1291" s="1471" t="s">
        <v>932</v>
      </c>
      <c r="B1291" s="1468"/>
      <c r="C1291" s="1468"/>
      <c r="D1291" s="1468"/>
      <c r="E1291" s="1472"/>
      <c r="F1291" s="1470" t="n">
        <f aca="false">E1291/$E$1304</f>
        <v>0</v>
      </c>
      <c r="G1291" s="1467"/>
      <c r="H1291" s="19"/>
      <c r="I1291" s="1249"/>
      <c r="J1291" s="0"/>
      <c r="K1291" s="1453"/>
      <c r="L1291" s="1444"/>
      <c r="M1291" s="0"/>
      <c r="N1291" s="0"/>
      <c r="O1291" s="0"/>
      <c r="P1291" s="0"/>
      <c r="Q1291" s="0"/>
      <c r="R1291" s="0"/>
      <c r="S1291" s="0"/>
      <c r="T1291" s="0"/>
      <c r="U1291" s="0"/>
      <c r="V1291" s="0"/>
      <c r="W1291" s="0"/>
      <c r="X1291" s="0"/>
      <c r="Y1291" s="0"/>
      <c r="Z1291" s="0"/>
      <c r="AA1291" s="0"/>
      <c r="AB1291" s="0"/>
      <c r="AC1291" s="0"/>
      <c r="AD1291" s="0"/>
      <c r="AE1291" s="0"/>
      <c r="AF1291" s="0"/>
      <c r="AG1291" s="0"/>
      <c r="AH1291" s="0"/>
      <c r="AI1291" s="0"/>
      <c r="AJ1291" s="0"/>
      <c r="AK1291" s="0"/>
      <c r="AL1291" s="0"/>
      <c r="AM1291" s="0"/>
      <c r="AN1291" s="0"/>
      <c r="AO1291" s="0"/>
      <c r="AP1291" s="0"/>
      <c r="AQ1291" s="0"/>
      <c r="AR1291" s="0"/>
      <c r="AS1291" s="0"/>
      <c r="AT1291" s="0"/>
      <c r="AU1291" s="0"/>
      <c r="AV1291" s="0"/>
      <c r="AW1291" s="0"/>
      <c r="AX1291" s="0"/>
      <c r="AY1291" s="0"/>
      <c r="AZ1291" s="0"/>
      <c r="BA1291" s="0"/>
      <c r="BB1291" s="0"/>
      <c r="BC1291" s="0"/>
      <c r="BD1291" s="0"/>
      <c r="BE1291" s="0"/>
      <c r="BF1291" s="0"/>
      <c r="BG1291" s="0"/>
      <c r="BH1291" s="0"/>
      <c r="BI1291" s="0"/>
      <c r="BJ1291" s="0"/>
      <c r="BK1291" s="0"/>
      <c r="BL1291" s="0"/>
      <c r="BM1291" s="0"/>
      <c r="BN1291" s="0"/>
      <c r="BO1291" s="0"/>
      <c r="BP1291" s="0"/>
      <c r="BQ1291" s="0"/>
      <c r="BR1291" s="0"/>
      <c r="BS1291" s="0"/>
      <c r="BT1291" s="0"/>
      <c r="BU1291" s="0"/>
      <c r="BV1291" s="0"/>
      <c r="BW1291" s="0"/>
      <c r="BX1291" s="0"/>
      <c r="BY1291" s="0"/>
      <c r="BZ1291" s="0"/>
      <c r="CA1291" s="0"/>
      <c r="CB1291" s="0"/>
      <c r="CC1291" s="0"/>
      <c r="CD1291" s="0"/>
      <c r="CE1291" s="0"/>
      <c r="CF1291" s="0"/>
      <c r="CG1291" s="0"/>
      <c r="CH1291" s="0"/>
      <c r="CI1291" s="0"/>
      <c r="CJ1291" s="0"/>
      <c r="CK1291" s="0"/>
      <c r="CL1291" s="0"/>
      <c r="CM1291" s="0"/>
      <c r="CN1291" s="0"/>
      <c r="CO1291" s="0"/>
      <c r="CP1291" s="0"/>
      <c r="CQ1291" s="0"/>
      <c r="CR1291" s="0"/>
      <c r="CS1291" s="0"/>
      <c r="CT1291" s="0"/>
      <c r="CU1291" s="0"/>
      <c r="CV1291" s="0"/>
      <c r="CW1291" s="0"/>
      <c r="CX1291" s="0"/>
      <c r="CY1291" s="0"/>
      <c r="CZ1291" s="0"/>
      <c r="DA1291" s="0"/>
      <c r="DB1291" s="0"/>
      <c r="DC1291" s="0"/>
      <c r="DD1291" s="0"/>
      <c r="DE1291" s="0"/>
      <c r="DF1291" s="0"/>
      <c r="DG1291" s="0"/>
      <c r="DH1291" s="0"/>
      <c r="DI1291" s="0"/>
      <c r="DJ1291" s="0"/>
      <c r="DK1291" s="0"/>
      <c r="DL1291" s="0"/>
      <c r="DM1291" s="0"/>
      <c r="DN1291" s="0"/>
      <c r="DO1291" s="0"/>
      <c r="DP1291" s="0"/>
      <c r="DQ1291" s="0"/>
      <c r="DR1291" s="0"/>
      <c r="DS1291" s="0"/>
      <c r="DT1291" s="0"/>
      <c r="DU1291" s="0"/>
      <c r="DV1291" s="0"/>
      <c r="DW1291" s="0"/>
      <c r="DX1291" s="0"/>
      <c r="DY1291" s="0"/>
      <c r="DZ1291" s="0"/>
      <c r="EA1291" s="0"/>
      <c r="EB1291" s="0"/>
      <c r="EC1291" s="0"/>
      <c r="ED1291" s="0"/>
      <c r="EE1291" s="0"/>
      <c r="EF1291" s="0"/>
      <c r="EG1291" s="0"/>
      <c r="EH1291" s="0"/>
      <c r="EI1291" s="0"/>
      <c r="EJ1291" s="0"/>
      <c r="EK1291" s="0"/>
      <c r="EL1291" s="0"/>
      <c r="EM1291" s="0"/>
      <c r="EN1291" s="0"/>
      <c r="EO1291" s="0"/>
      <c r="EP1291" s="0"/>
      <c r="EQ1291" s="0"/>
      <c r="ER1291" s="0"/>
      <c r="ES1291" s="0"/>
      <c r="ET1291" s="0"/>
      <c r="EU1291" s="0"/>
      <c r="EV1291" s="0"/>
      <c r="EW1291" s="0"/>
      <c r="EX1291" s="0"/>
      <c r="EY1291" s="0"/>
      <c r="EZ1291" s="0"/>
      <c r="FA1291" s="0"/>
      <c r="FB1291" s="0"/>
      <c r="FC1291" s="0"/>
      <c r="FD1291" s="0"/>
      <c r="FE1291" s="0"/>
      <c r="FF1291" s="0"/>
      <c r="FG1291" s="0"/>
      <c r="FH1291" s="0"/>
      <c r="FI1291" s="0"/>
      <c r="FJ1291" s="0"/>
      <c r="FK1291" s="0"/>
      <c r="FL1291" s="0"/>
      <c r="FM1291" s="0"/>
      <c r="FN1291" s="0"/>
      <c r="FO1291" s="0"/>
      <c r="FP1291" s="0"/>
      <c r="FQ1291" s="0"/>
      <c r="FR1291" s="0"/>
      <c r="FS1291" s="0"/>
      <c r="FT1291" s="0"/>
      <c r="FU1291" s="0"/>
      <c r="FV1291" s="0"/>
      <c r="FW1291" s="0"/>
      <c r="FX1291" s="0"/>
      <c r="FY1291" s="0"/>
      <c r="FZ1291" s="0"/>
      <c r="GA1291" s="0"/>
      <c r="GB1291" s="0"/>
      <c r="GC1291" s="0"/>
      <c r="GD1291" s="0"/>
      <c r="GE1291" s="0"/>
      <c r="GF1291" s="0"/>
      <c r="GG1291" s="0"/>
      <c r="GH1291" s="0"/>
      <c r="GI1291" s="0"/>
      <c r="GJ1291" s="0"/>
      <c r="GK1291" s="0"/>
      <c r="GL1291" s="0"/>
      <c r="GM1291" s="0"/>
      <c r="GN1291" s="0"/>
      <c r="GO1291" s="0"/>
      <c r="GP1291" s="0"/>
      <c r="GQ1291" s="0"/>
      <c r="GR1291" s="0"/>
      <c r="GS1291" s="0"/>
      <c r="GT1291" s="0"/>
      <c r="GU1291" s="0"/>
      <c r="GV1291" s="0"/>
      <c r="GW1291" s="0"/>
      <c r="GX1291" s="0"/>
      <c r="GY1291" s="0"/>
      <c r="GZ1291" s="0"/>
      <c r="HA1291" s="0"/>
      <c r="HB1291" s="0"/>
      <c r="HC1291" s="0"/>
      <c r="HD1291" s="0"/>
      <c r="HE1291" s="0"/>
      <c r="HF1291" s="0"/>
      <c r="HG1291" s="0"/>
      <c r="HH1291" s="0"/>
      <c r="HI1291" s="0"/>
      <c r="HJ1291" s="0"/>
      <c r="HK1291" s="0"/>
      <c r="HL1291" s="0"/>
      <c r="HM1291" s="0"/>
      <c r="HN1291" s="0"/>
      <c r="HO1291" s="0"/>
      <c r="HP1291" s="0"/>
      <c r="HQ1291" s="0"/>
      <c r="HR1291" s="0"/>
      <c r="HS1291" s="0"/>
      <c r="HT1291" s="0"/>
      <c r="HU1291" s="0"/>
      <c r="HV1291" s="0"/>
      <c r="HW1291" s="0"/>
      <c r="HX1291" s="0"/>
      <c r="HY1291" s="0"/>
      <c r="HZ1291" s="0"/>
      <c r="IA1291" s="0"/>
      <c r="IB1291" s="0"/>
      <c r="IC1291" s="0"/>
      <c r="ID1291" s="0"/>
      <c r="IE1291" s="0"/>
      <c r="IF1291" s="0"/>
      <c r="IG1291" s="0"/>
      <c r="IH1291" s="0"/>
      <c r="II1291" s="0"/>
      <c r="IJ1291" s="0"/>
      <c r="IK1291" s="0"/>
      <c r="IL1291" s="0"/>
      <c r="IM1291" s="0"/>
      <c r="IN1291" s="0"/>
      <c r="IO1291" s="0"/>
      <c r="IP1291" s="0"/>
      <c r="IQ1291" s="0"/>
      <c r="IR1291" s="0"/>
      <c r="IS1291" s="0"/>
      <c r="IT1291" s="0"/>
      <c r="IU1291" s="0"/>
      <c r="IV1291" s="0"/>
    </row>
    <row r="1292" customFormat="false" ht="15" hidden="false" customHeight="true" outlineLevel="0" collapsed="false">
      <c r="A1292" s="1448" t="s">
        <v>936</v>
      </c>
      <c r="B1292" s="1449"/>
      <c r="C1292" s="1449"/>
      <c r="D1292" s="1449"/>
      <c r="E1292" s="1450" t="n">
        <f aca="false">SUM(E1293:E1294)</f>
        <v>0</v>
      </c>
      <c r="F1292" s="1451"/>
      <c r="G1292" s="1452"/>
      <c r="I1292" s="1249"/>
      <c r="J1292" s="0"/>
      <c r="K1292" s="1453"/>
      <c r="L1292" s="1444"/>
      <c r="M1292" s="0"/>
      <c r="N1292" s="0"/>
      <c r="O1292" s="0"/>
      <c r="P1292" s="0"/>
      <c r="Q1292" s="0"/>
      <c r="R1292" s="0"/>
      <c r="S1292" s="0"/>
      <c r="T1292" s="0"/>
      <c r="U1292" s="0"/>
      <c r="V1292" s="0"/>
      <c r="W1292" s="0"/>
      <c r="X1292" s="0"/>
      <c r="Y1292" s="0"/>
      <c r="Z1292" s="0"/>
      <c r="AA1292" s="0"/>
      <c r="AB1292" s="0"/>
      <c r="AC1292" s="0"/>
      <c r="AD1292" s="0"/>
      <c r="AE1292" s="0"/>
      <c r="AF1292" s="0"/>
      <c r="AG1292" s="0"/>
      <c r="AH1292" s="0"/>
      <c r="AI1292" s="0"/>
      <c r="AJ1292" s="0"/>
      <c r="AK1292" s="0"/>
      <c r="AL1292" s="0"/>
      <c r="AM1292" s="0"/>
      <c r="AN1292" s="0"/>
      <c r="AO1292" s="0"/>
      <c r="AP1292" s="0"/>
      <c r="AQ1292" s="0"/>
      <c r="AR1292" s="0"/>
      <c r="AS1292" s="0"/>
      <c r="AT1292" s="0"/>
      <c r="AU1292" s="0"/>
      <c r="AV1292" s="0"/>
      <c r="AW1292" s="0"/>
      <c r="AX1292" s="0"/>
      <c r="AY1292" s="0"/>
      <c r="AZ1292" s="0"/>
      <c r="BA1292" s="0"/>
      <c r="BB1292" s="0"/>
      <c r="BC1292" s="0"/>
      <c r="BD1292" s="0"/>
      <c r="BE1292" s="0"/>
      <c r="BF1292" s="0"/>
      <c r="BG1292" s="0"/>
      <c r="BH1292" s="0"/>
      <c r="BI1292" s="0"/>
      <c r="BJ1292" s="0"/>
      <c r="BK1292" s="0"/>
      <c r="BL1292" s="0"/>
      <c r="BM1292" s="0"/>
      <c r="BN1292" s="0"/>
      <c r="BO1292" s="0"/>
      <c r="BP1292" s="0"/>
      <c r="BQ1292" s="0"/>
      <c r="BR1292" s="0"/>
      <c r="BS1292" s="0"/>
      <c r="BT1292" s="0"/>
      <c r="BU1292" s="0"/>
      <c r="BV1292" s="0"/>
      <c r="BW1292" s="0"/>
      <c r="BX1292" s="0"/>
      <c r="BY1292" s="0"/>
      <c r="BZ1292" s="0"/>
      <c r="CA1292" s="0"/>
      <c r="CB1292" s="0"/>
      <c r="CC1292" s="0"/>
      <c r="CD1292" s="0"/>
      <c r="CE1292" s="0"/>
      <c r="CF1292" s="0"/>
      <c r="CG1292" s="0"/>
      <c r="CH1292" s="0"/>
      <c r="CI1292" s="0"/>
      <c r="CJ1292" s="0"/>
      <c r="CK1292" s="0"/>
      <c r="CL1292" s="0"/>
      <c r="CM1292" s="0"/>
      <c r="CN1292" s="0"/>
      <c r="CO1292" s="0"/>
      <c r="CP1292" s="0"/>
      <c r="CQ1292" s="0"/>
      <c r="CR1292" s="0"/>
      <c r="CS1292" s="0"/>
      <c r="CT1292" s="0"/>
      <c r="CU1292" s="0"/>
      <c r="CV1292" s="0"/>
      <c r="CW1292" s="0"/>
      <c r="CX1292" s="0"/>
      <c r="CY1292" s="0"/>
      <c r="CZ1292" s="0"/>
      <c r="DA1292" s="0"/>
      <c r="DB1292" s="0"/>
      <c r="DC1292" s="0"/>
      <c r="DD1292" s="0"/>
      <c r="DE1292" s="0"/>
      <c r="DF1292" s="0"/>
      <c r="DG1292" s="0"/>
      <c r="DH1292" s="0"/>
      <c r="DI1292" s="0"/>
      <c r="DJ1292" s="0"/>
      <c r="DK1292" s="0"/>
      <c r="DL1292" s="0"/>
      <c r="DM1292" s="0"/>
      <c r="DN1292" s="0"/>
      <c r="DO1292" s="0"/>
      <c r="DP1292" s="0"/>
      <c r="DQ1292" s="0"/>
      <c r="DR1292" s="0"/>
      <c r="DS1292" s="0"/>
      <c r="DT1292" s="0"/>
      <c r="DU1292" s="0"/>
      <c r="DV1292" s="0"/>
      <c r="DW1292" s="0"/>
      <c r="DX1292" s="0"/>
      <c r="DY1292" s="0"/>
      <c r="DZ1292" s="0"/>
      <c r="EA1292" s="0"/>
      <c r="EB1292" s="0"/>
      <c r="EC1292" s="0"/>
      <c r="ED1292" s="0"/>
      <c r="EE1292" s="0"/>
      <c r="EF1292" s="0"/>
      <c r="EG1292" s="0"/>
      <c r="EH1292" s="0"/>
      <c r="EI1292" s="0"/>
      <c r="EJ1292" s="0"/>
      <c r="EK1292" s="0"/>
      <c r="EL1292" s="0"/>
      <c r="EM1292" s="0"/>
      <c r="EN1292" s="0"/>
      <c r="EO1292" s="0"/>
      <c r="EP1292" s="0"/>
      <c r="EQ1292" s="0"/>
      <c r="ER1292" s="0"/>
      <c r="ES1292" s="0"/>
      <c r="ET1292" s="0"/>
      <c r="EU1292" s="0"/>
      <c r="EV1292" s="0"/>
      <c r="EW1292" s="0"/>
      <c r="EX1292" s="0"/>
      <c r="EY1292" s="0"/>
      <c r="EZ1292" s="0"/>
      <c r="FA1292" s="0"/>
      <c r="FB1292" s="0"/>
      <c r="FC1292" s="0"/>
      <c r="FD1292" s="0"/>
      <c r="FE1292" s="0"/>
      <c r="FF1292" s="0"/>
      <c r="FG1292" s="0"/>
      <c r="FH1292" s="0"/>
      <c r="FI1292" s="0"/>
      <c r="FJ1292" s="0"/>
      <c r="FK1292" s="0"/>
      <c r="FL1292" s="0"/>
      <c r="FM1292" s="0"/>
      <c r="FN1292" s="0"/>
      <c r="FO1292" s="0"/>
      <c r="FP1292" s="0"/>
      <c r="FQ1292" s="0"/>
      <c r="FR1292" s="0"/>
      <c r="FS1292" s="0"/>
      <c r="FT1292" s="0"/>
      <c r="FU1292" s="0"/>
      <c r="FV1292" s="0"/>
      <c r="FW1292" s="0"/>
      <c r="FX1292" s="0"/>
      <c r="FY1292" s="0"/>
      <c r="FZ1292" s="0"/>
      <c r="GA1292" s="0"/>
      <c r="GB1292" s="0"/>
      <c r="GC1292" s="0"/>
      <c r="GD1292" s="0"/>
      <c r="GE1292" s="0"/>
      <c r="GF1292" s="0"/>
      <c r="GG1292" s="0"/>
      <c r="GH1292" s="0"/>
      <c r="GI1292" s="0"/>
      <c r="GJ1292" s="0"/>
      <c r="GK1292" s="0"/>
      <c r="GL1292" s="0"/>
      <c r="GM1292" s="0"/>
      <c r="GN1292" s="0"/>
      <c r="GO1292" s="0"/>
      <c r="GP1292" s="0"/>
      <c r="GQ1292" s="0"/>
      <c r="GR1292" s="0"/>
      <c r="GS1292" s="0"/>
      <c r="GT1292" s="0"/>
      <c r="GU1292" s="0"/>
      <c r="GV1292" s="0"/>
      <c r="GW1292" s="0"/>
      <c r="GX1292" s="0"/>
      <c r="GY1292" s="0"/>
      <c r="GZ1292" s="0"/>
      <c r="HA1292" s="0"/>
      <c r="HB1292" s="0"/>
      <c r="HC1292" s="0"/>
      <c r="HD1292" s="0"/>
      <c r="HE1292" s="0"/>
      <c r="HF1292" s="0"/>
      <c r="HG1292" s="0"/>
      <c r="HH1292" s="0"/>
      <c r="HI1292" s="0"/>
      <c r="HJ1292" s="0"/>
      <c r="HK1292" s="0"/>
      <c r="HL1292" s="0"/>
      <c r="HM1292" s="0"/>
      <c r="HN1292" s="0"/>
      <c r="HO1292" s="0"/>
      <c r="HP1292" s="0"/>
      <c r="HQ1292" s="0"/>
      <c r="HR1292" s="0"/>
      <c r="HS1292" s="0"/>
      <c r="HT1292" s="0"/>
      <c r="HU1292" s="0"/>
      <c r="HV1292" s="0"/>
      <c r="HW1292" s="0"/>
      <c r="HX1292" s="0"/>
      <c r="HY1292" s="0"/>
      <c r="HZ1292" s="0"/>
      <c r="IA1292" s="0"/>
      <c r="IB1292" s="0"/>
      <c r="IC1292" s="0"/>
      <c r="ID1292" s="0"/>
      <c r="IE1292" s="0"/>
      <c r="IF1292" s="0"/>
      <c r="IG1292" s="0"/>
      <c r="IH1292" s="0"/>
      <c r="II1292" s="0"/>
      <c r="IJ1292" s="0"/>
      <c r="IK1292" s="0"/>
      <c r="IL1292" s="0"/>
      <c r="IM1292" s="0"/>
      <c r="IN1292" s="0"/>
      <c r="IO1292" s="0"/>
      <c r="IP1292" s="0"/>
      <c r="IQ1292" s="0"/>
      <c r="IR1292" s="0"/>
      <c r="IS1292" s="0"/>
      <c r="IT1292" s="0"/>
      <c r="IU1292" s="0"/>
      <c r="IV1292" s="0"/>
    </row>
    <row r="1293" customFormat="false" ht="15.75" hidden="false" customHeight="true" outlineLevel="0" collapsed="false">
      <c r="A1293" s="1454" t="s">
        <v>928</v>
      </c>
      <c r="B1293" s="1455"/>
      <c r="C1293" s="1455"/>
      <c r="D1293" s="1455"/>
      <c r="E1293" s="1456"/>
      <c r="F1293" s="1457" t="n">
        <f aca="false">E1293/$E$1304</f>
        <v>0</v>
      </c>
      <c r="G1293" s="1467"/>
      <c r="I1293" s="1249"/>
      <c r="J1293" s="0"/>
      <c r="K1293" s="1453"/>
      <c r="L1293" s="1444"/>
      <c r="M1293" s="0"/>
      <c r="N1293" s="0"/>
      <c r="O1293" s="0"/>
      <c r="P1293" s="0"/>
      <c r="Q1293" s="0"/>
      <c r="R1293" s="0"/>
      <c r="S1293" s="0"/>
      <c r="T1293" s="0"/>
      <c r="U1293" s="0"/>
      <c r="V1293" s="0"/>
      <c r="W1293" s="0"/>
      <c r="X1293" s="0"/>
      <c r="Y1293" s="0"/>
      <c r="Z1293" s="0"/>
      <c r="AA1293" s="0"/>
      <c r="AB1293" s="0"/>
      <c r="AC1293" s="0"/>
      <c r="AD1293" s="0"/>
      <c r="AE1293" s="0"/>
      <c r="AF1293" s="0"/>
      <c r="AG1293" s="0"/>
      <c r="AH1293" s="0"/>
      <c r="AI1293" s="0"/>
      <c r="AJ1293" s="0"/>
      <c r="AK1293" s="0"/>
      <c r="AL1293" s="0"/>
      <c r="AM1293" s="0"/>
      <c r="AN1293" s="0"/>
      <c r="AO1293" s="0"/>
      <c r="AP1293" s="0"/>
      <c r="AQ1293" s="0"/>
      <c r="AR1293" s="0"/>
      <c r="AS1293" s="0"/>
      <c r="AT1293" s="0"/>
      <c r="AU1293" s="0"/>
      <c r="AV1293" s="0"/>
      <c r="AW1293" s="0"/>
      <c r="AX1293" s="0"/>
      <c r="AY1293" s="0"/>
      <c r="AZ1293" s="0"/>
      <c r="BA1293" s="0"/>
      <c r="BB1293" s="0"/>
      <c r="BC1293" s="0"/>
      <c r="BD1293" s="0"/>
      <c r="BE1293" s="0"/>
      <c r="BF1293" s="0"/>
      <c r="BG1293" s="0"/>
      <c r="BH1293" s="0"/>
      <c r="BI1293" s="0"/>
      <c r="BJ1293" s="0"/>
      <c r="BK1293" s="0"/>
      <c r="BL1293" s="0"/>
      <c r="BM1293" s="0"/>
      <c r="BN1293" s="0"/>
      <c r="BO1293" s="0"/>
      <c r="BP1293" s="0"/>
      <c r="BQ1293" s="0"/>
      <c r="BR1293" s="0"/>
      <c r="BS1293" s="0"/>
      <c r="BT1293" s="0"/>
      <c r="BU1293" s="0"/>
      <c r="BV1293" s="0"/>
      <c r="BW1293" s="0"/>
      <c r="BX1293" s="0"/>
      <c r="BY1293" s="0"/>
      <c r="BZ1293" s="0"/>
      <c r="CA1293" s="0"/>
      <c r="CB1293" s="0"/>
      <c r="CC1293" s="0"/>
      <c r="CD1293" s="0"/>
      <c r="CE1293" s="0"/>
      <c r="CF1293" s="0"/>
      <c r="CG1293" s="0"/>
      <c r="CH1293" s="0"/>
      <c r="CI1293" s="0"/>
      <c r="CJ1293" s="0"/>
      <c r="CK1293" s="0"/>
      <c r="CL1293" s="0"/>
      <c r="CM1293" s="0"/>
      <c r="CN1293" s="0"/>
      <c r="CO1293" s="0"/>
      <c r="CP1293" s="0"/>
      <c r="CQ1293" s="0"/>
      <c r="CR1293" s="0"/>
      <c r="CS1293" s="0"/>
      <c r="CT1293" s="0"/>
      <c r="CU1293" s="0"/>
      <c r="CV1293" s="0"/>
      <c r="CW1293" s="0"/>
      <c r="CX1293" s="0"/>
      <c r="CY1293" s="0"/>
      <c r="CZ1293" s="0"/>
      <c r="DA1293" s="0"/>
      <c r="DB1293" s="0"/>
      <c r="DC1293" s="0"/>
      <c r="DD1293" s="0"/>
      <c r="DE1293" s="0"/>
      <c r="DF1293" s="0"/>
      <c r="DG1293" s="0"/>
      <c r="DH1293" s="0"/>
      <c r="DI1293" s="0"/>
      <c r="DJ1293" s="0"/>
      <c r="DK1293" s="0"/>
      <c r="DL1293" s="0"/>
      <c r="DM1293" s="0"/>
      <c r="DN1293" s="0"/>
      <c r="DO1293" s="0"/>
      <c r="DP1293" s="0"/>
      <c r="DQ1293" s="0"/>
      <c r="DR1293" s="0"/>
      <c r="DS1293" s="0"/>
      <c r="DT1293" s="0"/>
      <c r="DU1293" s="0"/>
      <c r="DV1293" s="0"/>
      <c r="DW1293" s="0"/>
      <c r="DX1293" s="0"/>
      <c r="DY1293" s="0"/>
      <c r="DZ1293" s="0"/>
      <c r="EA1293" s="0"/>
      <c r="EB1293" s="0"/>
      <c r="EC1293" s="0"/>
      <c r="ED1293" s="0"/>
      <c r="EE1293" s="0"/>
      <c r="EF1293" s="0"/>
      <c r="EG1293" s="0"/>
      <c r="EH1293" s="0"/>
      <c r="EI1293" s="0"/>
      <c r="EJ1293" s="0"/>
      <c r="EK1293" s="0"/>
      <c r="EL1293" s="0"/>
      <c r="EM1293" s="0"/>
      <c r="EN1293" s="0"/>
      <c r="EO1293" s="0"/>
      <c r="EP1293" s="0"/>
      <c r="EQ1293" s="0"/>
      <c r="ER1293" s="0"/>
      <c r="ES1293" s="0"/>
      <c r="ET1293" s="0"/>
      <c r="EU1293" s="0"/>
      <c r="EV1293" s="0"/>
      <c r="EW1293" s="0"/>
      <c r="EX1293" s="0"/>
      <c r="EY1293" s="0"/>
      <c r="EZ1293" s="0"/>
      <c r="FA1293" s="0"/>
      <c r="FB1293" s="0"/>
      <c r="FC1293" s="0"/>
      <c r="FD1293" s="0"/>
      <c r="FE1293" s="0"/>
      <c r="FF1293" s="0"/>
      <c r="FG1293" s="0"/>
      <c r="FH1293" s="0"/>
      <c r="FI1293" s="0"/>
      <c r="FJ1293" s="0"/>
      <c r="FK1293" s="0"/>
      <c r="FL1293" s="0"/>
      <c r="FM1293" s="0"/>
      <c r="FN1293" s="0"/>
      <c r="FO1293" s="0"/>
      <c r="FP1293" s="0"/>
      <c r="FQ1293" s="0"/>
      <c r="FR1293" s="0"/>
      <c r="FS1293" s="0"/>
      <c r="FT1293" s="0"/>
      <c r="FU1293" s="0"/>
      <c r="FV1293" s="0"/>
      <c r="FW1293" s="0"/>
      <c r="FX1293" s="0"/>
      <c r="FY1293" s="0"/>
      <c r="FZ1293" s="0"/>
      <c r="GA1293" s="0"/>
      <c r="GB1293" s="0"/>
      <c r="GC1293" s="0"/>
      <c r="GD1293" s="0"/>
      <c r="GE1293" s="0"/>
      <c r="GF1293" s="0"/>
      <c r="GG1293" s="0"/>
      <c r="GH1293" s="0"/>
      <c r="GI1293" s="0"/>
      <c r="GJ1293" s="0"/>
      <c r="GK1293" s="0"/>
      <c r="GL1293" s="0"/>
      <c r="GM1293" s="0"/>
      <c r="GN1293" s="0"/>
      <c r="GO1293" s="0"/>
      <c r="GP1293" s="0"/>
      <c r="GQ1293" s="0"/>
      <c r="GR1293" s="0"/>
      <c r="GS1293" s="0"/>
      <c r="GT1293" s="0"/>
      <c r="GU1293" s="0"/>
      <c r="GV1293" s="0"/>
      <c r="GW1293" s="0"/>
      <c r="GX1293" s="0"/>
      <c r="GY1293" s="0"/>
      <c r="GZ1293" s="0"/>
      <c r="HA1293" s="0"/>
      <c r="HB1293" s="0"/>
      <c r="HC1293" s="0"/>
      <c r="HD1293" s="0"/>
      <c r="HE1293" s="0"/>
      <c r="HF1293" s="0"/>
      <c r="HG1293" s="0"/>
      <c r="HH1293" s="0"/>
      <c r="HI1293" s="0"/>
      <c r="HJ1293" s="0"/>
      <c r="HK1293" s="0"/>
      <c r="HL1293" s="0"/>
      <c r="HM1293" s="0"/>
      <c r="HN1293" s="0"/>
      <c r="HO1293" s="0"/>
      <c r="HP1293" s="0"/>
      <c r="HQ1293" s="0"/>
      <c r="HR1293" s="0"/>
      <c r="HS1293" s="0"/>
      <c r="HT1293" s="0"/>
      <c r="HU1293" s="0"/>
      <c r="HV1293" s="0"/>
      <c r="HW1293" s="0"/>
      <c r="HX1293" s="0"/>
      <c r="HY1293" s="0"/>
      <c r="HZ1293" s="0"/>
      <c r="IA1293" s="0"/>
      <c r="IB1293" s="0"/>
      <c r="IC1293" s="0"/>
      <c r="ID1293" s="0"/>
      <c r="IE1293" s="0"/>
      <c r="IF1293" s="0"/>
      <c r="IG1293" s="0"/>
      <c r="IH1293" s="0"/>
      <c r="II1293" s="0"/>
      <c r="IJ1293" s="0"/>
      <c r="IK1293" s="0"/>
      <c r="IL1293" s="0"/>
      <c r="IM1293" s="0"/>
      <c r="IN1293" s="0"/>
      <c r="IO1293" s="0"/>
      <c r="IP1293" s="0"/>
      <c r="IQ1293" s="0"/>
      <c r="IR1293" s="0"/>
      <c r="IS1293" s="0"/>
      <c r="IT1293" s="0"/>
      <c r="IU1293" s="0"/>
      <c r="IV1293" s="0"/>
    </row>
    <row r="1294" customFormat="false" ht="15" hidden="false" customHeight="true" outlineLevel="0" collapsed="false">
      <c r="A1294" s="1471" t="s">
        <v>932</v>
      </c>
      <c r="B1294" s="1468"/>
      <c r="C1294" s="1468"/>
      <c r="D1294" s="1468"/>
      <c r="E1294" s="1472"/>
      <c r="F1294" s="1470" t="n">
        <f aca="false">E1294/$E$1304</f>
        <v>0</v>
      </c>
      <c r="G1294" s="1467"/>
      <c r="I1294" s="1249"/>
      <c r="J1294" s="0"/>
      <c r="K1294" s="1453"/>
      <c r="L1294" s="1444"/>
      <c r="M1294" s="0"/>
      <c r="N1294" s="0"/>
      <c r="O1294" s="0"/>
      <c r="P1294" s="0"/>
      <c r="Q1294" s="0"/>
      <c r="R1294" s="0"/>
      <c r="S1294" s="0"/>
      <c r="T1294" s="0"/>
      <c r="U1294" s="0"/>
      <c r="V1294" s="0"/>
      <c r="W1294" s="0"/>
      <c r="X1294" s="0"/>
      <c r="Y1294" s="0"/>
      <c r="Z1294" s="0"/>
      <c r="AA1294" s="0"/>
      <c r="AB1294" s="0"/>
      <c r="AC1294" s="0"/>
      <c r="AD1294" s="0"/>
      <c r="AE1294" s="0"/>
      <c r="AF1294" s="0"/>
      <c r="AG1294" s="0"/>
      <c r="AH1294" s="0"/>
      <c r="AI1294" s="0"/>
      <c r="AJ1294" s="0"/>
      <c r="AK1294" s="0"/>
      <c r="AL1294" s="0"/>
      <c r="AM1294" s="0"/>
      <c r="AN1294" s="0"/>
      <c r="AO1294" s="0"/>
      <c r="AP1294" s="0"/>
      <c r="AQ1294" s="0"/>
      <c r="AR1294" s="0"/>
      <c r="AS1294" s="0"/>
      <c r="AT1294" s="0"/>
      <c r="AU1294" s="0"/>
      <c r="AV1294" s="0"/>
      <c r="AW1294" s="0"/>
      <c r="AX1294" s="0"/>
      <c r="AY1294" s="0"/>
      <c r="AZ1294" s="0"/>
      <c r="BA1294" s="0"/>
      <c r="BB1294" s="0"/>
      <c r="BC1294" s="0"/>
      <c r="BD1294" s="0"/>
      <c r="BE1294" s="0"/>
      <c r="BF1294" s="0"/>
      <c r="BG1294" s="0"/>
      <c r="BH1294" s="0"/>
      <c r="BI1294" s="0"/>
      <c r="BJ1294" s="0"/>
      <c r="BK1294" s="0"/>
      <c r="BL1294" s="0"/>
      <c r="BM1294" s="0"/>
      <c r="BN1294" s="0"/>
      <c r="BO1294" s="0"/>
      <c r="BP1294" s="0"/>
      <c r="BQ1294" s="0"/>
      <c r="BR1294" s="0"/>
      <c r="BS1294" s="0"/>
      <c r="BT1294" s="0"/>
      <c r="BU1294" s="0"/>
      <c r="BV1294" s="0"/>
      <c r="BW1294" s="0"/>
      <c r="BX1294" s="0"/>
      <c r="BY1294" s="0"/>
      <c r="BZ1294" s="0"/>
      <c r="CA1294" s="0"/>
      <c r="CB1294" s="0"/>
      <c r="CC1294" s="0"/>
      <c r="CD1294" s="0"/>
      <c r="CE1294" s="0"/>
      <c r="CF1294" s="0"/>
      <c r="CG1294" s="0"/>
      <c r="CH1294" s="0"/>
      <c r="CI1294" s="0"/>
      <c r="CJ1294" s="0"/>
      <c r="CK1294" s="0"/>
      <c r="CL1294" s="0"/>
      <c r="CM1294" s="0"/>
      <c r="CN1294" s="0"/>
      <c r="CO1294" s="0"/>
      <c r="CP1294" s="0"/>
      <c r="CQ1294" s="0"/>
      <c r="CR1294" s="0"/>
      <c r="CS1294" s="0"/>
      <c r="CT1294" s="0"/>
      <c r="CU1294" s="0"/>
      <c r="CV1294" s="0"/>
      <c r="CW1294" s="0"/>
      <c r="CX1294" s="0"/>
      <c r="CY1294" s="0"/>
      <c r="CZ1294" s="0"/>
      <c r="DA1294" s="0"/>
      <c r="DB1294" s="0"/>
      <c r="DC1294" s="0"/>
      <c r="DD1294" s="0"/>
      <c r="DE1294" s="0"/>
      <c r="DF1294" s="0"/>
      <c r="DG1294" s="0"/>
      <c r="DH1294" s="0"/>
      <c r="DI1294" s="0"/>
      <c r="DJ1294" s="0"/>
      <c r="DK1294" s="0"/>
      <c r="DL1294" s="0"/>
      <c r="DM1294" s="0"/>
      <c r="DN1294" s="0"/>
      <c r="DO1294" s="0"/>
      <c r="DP1294" s="0"/>
      <c r="DQ1294" s="0"/>
      <c r="DR1294" s="0"/>
      <c r="DS1294" s="0"/>
      <c r="DT1294" s="0"/>
      <c r="DU1294" s="0"/>
      <c r="DV1294" s="0"/>
      <c r="DW1294" s="0"/>
      <c r="DX1294" s="0"/>
      <c r="DY1294" s="0"/>
      <c r="DZ1294" s="0"/>
      <c r="EA1294" s="0"/>
      <c r="EB1294" s="0"/>
      <c r="EC1294" s="0"/>
      <c r="ED1294" s="0"/>
      <c r="EE1294" s="0"/>
      <c r="EF1294" s="0"/>
      <c r="EG1294" s="0"/>
      <c r="EH1294" s="0"/>
      <c r="EI1294" s="0"/>
      <c r="EJ1294" s="0"/>
      <c r="EK1294" s="0"/>
      <c r="EL1294" s="0"/>
      <c r="EM1294" s="0"/>
      <c r="EN1294" s="0"/>
      <c r="EO1294" s="0"/>
      <c r="EP1294" s="0"/>
      <c r="EQ1294" s="0"/>
      <c r="ER1294" s="0"/>
      <c r="ES1294" s="0"/>
      <c r="ET1294" s="0"/>
      <c r="EU1294" s="0"/>
      <c r="EV1294" s="0"/>
      <c r="EW1294" s="0"/>
      <c r="EX1294" s="0"/>
      <c r="EY1294" s="0"/>
      <c r="EZ1294" s="0"/>
      <c r="FA1294" s="0"/>
      <c r="FB1294" s="0"/>
      <c r="FC1294" s="0"/>
      <c r="FD1294" s="0"/>
      <c r="FE1294" s="0"/>
      <c r="FF1294" s="0"/>
      <c r="FG1294" s="0"/>
      <c r="FH1294" s="0"/>
      <c r="FI1294" s="0"/>
      <c r="FJ1294" s="0"/>
      <c r="FK1294" s="0"/>
      <c r="FL1294" s="0"/>
      <c r="FM1294" s="0"/>
      <c r="FN1294" s="0"/>
      <c r="FO1294" s="0"/>
      <c r="FP1294" s="0"/>
      <c r="FQ1294" s="0"/>
      <c r="FR1294" s="0"/>
      <c r="FS1294" s="0"/>
      <c r="FT1294" s="0"/>
      <c r="FU1294" s="0"/>
      <c r="FV1294" s="0"/>
      <c r="FW1294" s="0"/>
      <c r="FX1294" s="0"/>
      <c r="FY1294" s="0"/>
      <c r="FZ1294" s="0"/>
      <c r="GA1294" s="0"/>
      <c r="GB1294" s="0"/>
      <c r="GC1294" s="0"/>
      <c r="GD1294" s="0"/>
      <c r="GE1294" s="0"/>
      <c r="GF1294" s="0"/>
      <c r="GG1294" s="0"/>
      <c r="GH1294" s="0"/>
      <c r="GI1294" s="0"/>
      <c r="GJ1294" s="0"/>
      <c r="GK1294" s="0"/>
      <c r="GL1294" s="0"/>
      <c r="GM1294" s="0"/>
      <c r="GN1294" s="0"/>
      <c r="GO1294" s="0"/>
      <c r="GP1294" s="0"/>
      <c r="GQ1294" s="0"/>
      <c r="GR1294" s="0"/>
      <c r="GS1294" s="0"/>
      <c r="GT1294" s="0"/>
      <c r="GU1294" s="0"/>
      <c r="GV1294" s="0"/>
      <c r="GW1294" s="0"/>
      <c r="GX1294" s="0"/>
      <c r="GY1294" s="0"/>
      <c r="GZ1294" s="0"/>
      <c r="HA1294" s="0"/>
      <c r="HB1294" s="0"/>
      <c r="HC1294" s="0"/>
      <c r="HD1294" s="0"/>
      <c r="HE1294" s="0"/>
      <c r="HF1294" s="0"/>
      <c r="HG1294" s="0"/>
      <c r="HH1294" s="0"/>
      <c r="HI1294" s="0"/>
      <c r="HJ1294" s="0"/>
      <c r="HK1294" s="0"/>
      <c r="HL1294" s="0"/>
      <c r="HM1294" s="0"/>
      <c r="HN1294" s="0"/>
      <c r="HO1294" s="0"/>
      <c r="HP1294" s="0"/>
      <c r="HQ1294" s="0"/>
      <c r="HR1294" s="0"/>
      <c r="HS1294" s="0"/>
      <c r="HT1294" s="0"/>
      <c r="HU1294" s="0"/>
      <c r="HV1294" s="0"/>
      <c r="HW1294" s="0"/>
      <c r="HX1294" s="0"/>
      <c r="HY1294" s="0"/>
      <c r="HZ1294" s="0"/>
      <c r="IA1294" s="0"/>
      <c r="IB1294" s="0"/>
      <c r="IC1294" s="0"/>
      <c r="ID1294" s="0"/>
      <c r="IE1294" s="0"/>
      <c r="IF1294" s="0"/>
      <c r="IG1294" s="0"/>
      <c r="IH1294" s="0"/>
      <c r="II1294" s="0"/>
      <c r="IJ1294" s="0"/>
      <c r="IK1294" s="0"/>
      <c r="IL1294" s="0"/>
      <c r="IM1294" s="0"/>
      <c r="IN1294" s="0"/>
      <c r="IO1294" s="0"/>
      <c r="IP1294" s="0"/>
      <c r="IQ1294" s="0"/>
      <c r="IR1294" s="0"/>
      <c r="IS1294" s="0"/>
      <c r="IT1294" s="0"/>
      <c r="IU1294" s="0"/>
      <c r="IV1294" s="0"/>
    </row>
    <row r="1295" customFormat="false" ht="15" hidden="false" customHeight="true" outlineLevel="0" collapsed="false">
      <c r="A1295" s="1448" t="s">
        <v>937</v>
      </c>
      <c r="B1295" s="1449"/>
      <c r="C1295" s="1449"/>
      <c r="D1295" s="1449"/>
      <c r="E1295" s="1450" t="n">
        <f aca="false">SUM(E1296:E1298)</f>
        <v>144</v>
      </c>
      <c r="F1295" s="1451"/>
      <c r="G1295" s="1452" t="n">
        <v>144</v>
      </c>
      <c r="H1295" s="19"/>
      <c r="I1295" s="1249"/>
      <c r="J1295" s="1444"/>
      <c r="K1295" s="1453"/>
      <c r="L1295" s="1432"/>
      <c r="M1295" s="0"/>
      <c r="N1295" s="0"/>
      <c r="O1295" s="0"/>
      <c r="P1295" s="0"/>
      <c r="Q1295" s="0"/>
      <c r="R1295" s="0"/>
      <c r="S1295" s="0"/>
      <c r="T1295" s="0"/>
      <c r="U1295" s="0"/>
      <c r="V1295" s="0"/>
      <c r="W1295" s="0"/>
      <c r="X1295" s="0"/>
      <c r="Y1295" s="0"/>
      <c r="Z1295" s="0"/>
      <c r="AA1295" s="0"/>
      <c r="AB1295" s="0"/>
      <c r="AC1295" s="0"/>
      <c r="AD1295" s="0"/>
      <c r="AE1295" s="0"/>
      <c r="AF1295" s="0"/>
      <c r="AG1295" s="0"/>
      <c r="AH1295" s="0"/>
      <c r="AI1295" s="0"/>
      <c r="AJ1295" s="0"/>
      <c r="AK1295" s="0"/>
      <c r="AL1295" s="0"/>
      <c r="AM1295" s="0"/>
      <c r="AN1295" s="0"/>
      <c r="AO1295" s="0"/>
      <c r="AP1295" s="0"/>
      <c r="AQ1295" s="0"/>
      <c r="AR1295" s="0"/>
      <c r="AS1295" s="0"/>
      <c r="AT1295" s="0"/>
      <c r="AU1295" s="0"/>
      <c r="AV1295" s="0"/>
      <c r="AW1295" s="0"/>
      <c r="AX1295" s="0"/>
      <c r="AY1295" s="0"/>
      <c r="AZ1295" s="0"/>
      <c r="BA1295" s="0"/>
      <c r="BB1295" s="0"/>
      <c r="BC1295" s="0"/>
      <c r="BD1295" s="0"/>
      <c r="BE1295" s="0"/>
      <c r="BF1295" s="0"/>
      <c r="BG1295" s="0"/>
      <c r="BH1295" s="0"/>
      <c r="BI1295" s="0"/>
      <c r="BJ1295" s="0"/>
      <c r="BK1295" s="0"/>
      <c r="BL1295" s="0"/>
      <c r="BM1295" s="0"/>
      <c r="BN1295" s="0"/>
      <c r="BO1295" s="0"/>
      <c r="BP1295" s="0"/>
      <c r="BQ1295" s="0"/>
      <c r="BR1295" s="0"/>
      <c r="BS1295" s="0"/>
      <c r="BT1295" s="0"/>
      <c r="BU1295" s="0"/>
      <c r="BV1295" s="0"/>
      <c r="BW1295" s="0"/>
      <c r="BX1295" s="0"/>
      <c r="BY1295" s="0"/>
      <c r="BZ1295" s="0"/>
      <c r="CA1295" s="0"/>
      <c r="CB1295" s="0"/>
      <c r="CC1295" s="0"/>
      <c r="CD1295" s="0"/>
      <c r="CE1295" s="0"/>
      <c r="CF1295" s="0"/>
      <c r="CG1295" s="0"/>
      <c r="CH1295" s="0"/>
      <c r="CI1295" s="0"/>
      <c r="CJ1295" s="0"/>
      <c r="CK1295" s="0"/>
      <c r="CL1295" s="0"/>
      <c r="CM1295" s="0"/>
      <c r="CN1295" s="0"/>
      <c r="CO1295" s="0"/>
      <c r="CP1295" s="0"/>
      <c r="CQ1295" s="0"/>
      <c r="CR1295" s="0"/>
      <c r="CS1295" s="0"/>
      <c r="CT1295" s="0"/>
      <c r="CU1295" s="0"/>
      <c r="CV1295" s="0"/>
      <c r="CW1295" s="0"/>
      <c r="CX1295" s="0"/>
      <c r="CY1295" s="0"/>
      <c r="CZ1295" s="0"/>
      <c r="DA1295" s="0"/>
      <c r="DB1295" s="0"/>
      <c r="DC1295" s="0"/>
      <c r="DD1295" s="0"/>
      <c r="DE1295" s="0"/>
      <c r="DF1295" s="0"/>
      <c r="DG1295" s="0"/>
      <c r="DH1295" s="0"/>
      <c r="DI1295" s="0"/>
      <c r="DJ1295" s="0"/>
      <c r="DK1295" s="0"/>
      <c r="DL1295" s="0"/>
      <c r="DM1295" s="0"/>
      <c r="DN1295" s="0"/>
      <c r="DO1295" s="0"/>
      <c r="DP1295" s="0"/>
      <c r="DQ1295" s="0"/>
      <c r="DR1295" s="0"/>
      <c r="DS1295" s="0"/>
      <c r="DT1295" s="0"/>
      <c r="DU1295" s="0"/>
      <c r="DV1295" s="0"/>
      <c r="DW1295" s="0"/>
      <c r="DX1295" s="0"/>
      <c r="DY1295" s="0"/>
      <c r="DZ1295" s="0"/>
      <c r="EA1295" s="0"/>
      <c r="EB1295" s="0"/>
      <c r="EC1295" s="0"/>
      <c r="ED1295" s="0"/>
      <c r="EE1295" s="0"/>
      <c r="EF1295" s="0"/>
      <c r="EG1295" s="0"/>
      <c r="EH1295" s="0"/>
      <c r="EI1295" s="0"/>
      <c r="EJ1295" s="0"/>
      <c r="EK1295" s="0"/>
      <c r="EL1295" s="0"/>
      <c r="EM1295" s="0"/>
      <c r="EN1295" s="0"/>
      <c r="EO1295" s="0"/>
      <c r="EP1295" s="0"/>
      <c r="EQ1295" s="0"/>
      <c r="ER1295" s="0"/>
      <c r="ES1295" s="0"/>
      <c r="ET1295" s="0"/>
      <c r="EU1295" s="0"/>
      <c r="EV1295" s="0"/>
      <c r="EW1295" s="0"/>
      <c r="EX1295" s="0"/>
      <c r="EY1295" s="0"/>
      <c r="EZ1295" s="0"/>
      <c r="FA1295" s="0"/>
      <c r="FB1295" s="0"/>
      <c r="FC1295" s="0"/>
      <c r="FD1295" s="0"/>
      <c r="FE1295" s="0"/>
      <c r="FF1295" s="0"/>
      <c r="FG1295" s="0"/>
      <c r="FH1295" s="0"/>
      <c r="FI1295" s="0"/>
      <c r="FJ1295" s="0"/>
      <c r="FK1295" s="0"/>
      <c r="FL1295" s="0"/>
      <c r="FM1295" s="0"/>
      <c r="FN1295" s="0"/>
      <c r="FO1295" s="0"/>
      <c r="FP1295" s="0"/>
      <c r="FQ1295" s="0"/>
      <c r="FR1295" s="0"/>
      <c r="FS1295" s="0"/>
      <c r="FT1295" s="0"/>
      <c r="FU1295" s="0"/>
      <c r="FV1295" s="0"/>
      <c r="FW1295" s="0"/>
      <c r="FX1295" s="0"/>
      <c r="FY1295" s="0"/>
      <c r="FZ1295" s="0"/>
      <c r="GA1295" s="0"/>
      <c r="GB1295" s="0"/>
      <c r="GC1295" s="0"/>
      <c r="GD1295" s="0"/>
      <c r="GE1295" s="0"/>
      <c r="GF1295" s="0"/>
      <c r="GG1295" s="0"/>
      <c r="GH1295" s="0"/>
      <c r="GI1295" s="0"/>
      <c r="GJ1295" s="0"/>
      <c r="GK1295" s="0"/>
      <c r="GL1295" s="0"/>
      <c r="GM1295" s="0"/>
      <c r="GN1295" s="0"/>
      <c r="GO1295" s="0"/>
      <c r="GP1295" s="0"/>
      <c r="GQ1295" s="0"/>
      <c r="GR1295" s="0"/>
      <c r="GS1295" s="0"/>
      <c r="GT1295" s="0"/>
      <c r="GU1295" s="0"/>
      <c r="GV1295" s="0"/>
      <c r="GW1295" s="0"/>
      <c r="GX1295" s="0"/>
      <c r="GY1295" s="0"/>
      <c r="GZ1295" s="0"/>
      <c r="HA1295" s="0"/>
      <c r="HB1295" s="0"/>
      <c r="HC1295" s="0"/>
      <c r="HD1295" s="0"/>
      <c r="HE1295" s="0"/>
      <c r="HF1295" s="0"/>
      <c r="HG1295" s="0"/>
      <c r="HH1295" s="0"/>
      <c r="HI1295" s="0"/>
      <c r="HJ1295" s="0"/>
      <c r="HK1295" s="0"/>
      <c r="HL1295" s="0"/>
      <c r="HM1295" s="0"/>
      <c r="HN1295" s="0"/>
      <c r="HO1295" s="0"/>
      <c r="HP1295" s="0"/>
      <c r="HQ1295" s="0"/>
      <c r="HR1295" s="0"/>
      <c r="HS1295" s="0"/>
      <c r="HT1295" s="0"/>
      <c r="HU1295" s="0"/>
      <c r="HV1295" s="0"/>
      <c r="HW1295" s="0"/>
      <c r="HX1295" s="0"/>
      <c r="HY1295" s="0"/>
      <c r="HZ1295" s="0"/>
      <c r="IA1295" s="0"/>
      <c r="IB1295" s="0"/>
      <c r="IC1295" s="0"/>
      <c r="ID1295" s="0"/>
      <c r="IE1295" s="0"/>
      <c r="IF1295" s="0"/>
      <c r="IG1295" s="0"/>
      <c r="IH1295" s="0"/>
      <c r="II1295" s="0"/>
      <c r="IJ1295" s="0"/>
      <c r="IK1295" s="0"/>
      <c r="IL1295" s="0"/>
      <c r="IM1295" s="0"/>
      <c r="IN1295" s="0"/>
      <c r="IO1295" s="0"/>
      <c r="IP1295" s="0"/>
      <c r="IQ1295" s="0"/>
      <c r="IR1295" s="0"/>
      <c r="IS1295" s="0"/>
      <c r="IT1295" s="0"/>
      <c r="IU1295" s="0"/>
      <c r="IV1295" s="0"/>
    </row>
    <row r="1296" customFormat="false" ht="15" hidden="false" customHeight="true" outlineLevel="0" collapsed="false">
      <c r="A1296" s="1454" t="s">
        <v>928</v>
      </c>
      <c r="B1296" s="1455"/>
      <c r="C1296" s="1455"/>
      <c r="D1296" s="1455"/>
      <c r="E1296" s="1456" t="n">
        <v>144</v>
      </c>
      <c r="F1296" s="1457" t="n">
        <f aca="false">E1296/$E$1304</f>
        <v>0.4</v>
      </c>
      <c r="G1296" s="1467"/>
      <c r="H1296" s="19"/>
      <c r="I1296" s="1249"/>
      <c r="J1296" s="0"/>
      <c r="K1296" s="1453"/>
      <c r="L1296" s="1444"/>
      <c r="M1296" s="0"/>
      <c r="N1296" s="0"/>
      <c r="O1296" s="0"/>
      <c r="P1296" s="0"/>
      <c r="Q1296" s="0"/>
      <c r="R1296" s="0"/>
      <c r="S1296" s="0"/>
      <c r="T1296" s="0"/>
      <c r="U1296" s="0"/>
      <c r="V1296" s="0"/>
      <c r="W1296" s="0"/>
      <c r="X1296" s="0"/>
      <c r="Y1296" s="0"/>
      <c r="Z1296" s="0"/>
      <c r="AA1296" s="0"/>
      <c r="AB1296" s="0"/>
      <c r="AC1296" s="0"/>
      <c r="AD1296" s="0"/>
      <c r="AE1296" s="0"/>
      <c r="AF1296" s="0"/>
      <c r="AG1296" s="0"/>
      <c r="AH1296" s="0"/>
      <c r="AI1296" s="0"/>
      <c r="AJ1296" s="0"/>
      <c r="AK1296" s="0"/>
      <c r="AL1296" s="0"/>
      <c r="AM1296" s="0"/>
      <c r="AN1296" s="0"/>
      <c r="AO1296" s="0"/>
      <c r="AP1296" s="0"/>
      <c r="AQ1296" s="0"/>
      <c r="AR1296" s="0"/>
      <c r="AS1296" s="0"/>
      <c r="AT1296" s="0"/>
      <c r="AU1296" s="0"/>
      <c r="AV1296" s="0"/>
      <c r="AW1296" s="0"/>
      <c r="AX1296" s="0"/>
      <c r="AY1296" s="0"/>
      <c r="AZ1296" s="0"/>
      <c r="BA1296" s="0"/>
      <c r="BB1296" s="0"/>
      <c r="BC1296" s="0"/>
      <c r="BD1296" s="0"/>
      <c r="BE1296" s="0"/>
      <c r="BF1296" s="0"/>
      <c r="BG1296" s="0"/>
      <c r="BH1296" s="0"/>
      <c r="BI1296" s="0"/>
      <c r="BJ1296" s="0"/>
      <c r="BK1296" s="0"/>
      <c r="BL1296" s="0"/>
      <c r="BM1296" s="0"/>
      <c r="BN1296" s="0"/>
      <c r="BO1296" s="0"/>
      <c r="BP1296" s="0"/>
      <c r="BQ1296" s="0"/>
      <c r="BR1296" s="0"/>
      <c r="BS1296" s="0"/>
      <c r="BT1296" s="0"/>
      <c r="BU1296" s="0"/>
      <c r="BV1296" s="0"/>
      <c r="BW1296" s="0"/>
      <c r="BX1296" s="0"/>
      <c r="BY1296" s="0"/>
      <c r="BZ1296" s="0"/>
      <c r="CA1296" s="0"/>
      <c r="CB1296" s="0"/>
      <c r="CC1296" s="0"/>
      <c r="CD1296" s="0"/>
      <c r="CE1296" s="0"/>
      <c r="CF1296" s="0"/>
      <c r="CG1296" s="0"/>
      <c r="CH1296" s="0"/>
      <c r="CI1296" s="0"/>
      <c r="CJ1296" s="0"/>
      <c r="CK1296" s="0"/>
      <c r="CL1296" s="0"/>
      <c r="CM1296" s="0"/>
      <c r="CN1296" s="0"/>
      <c r="CO1296" s="0"/>
      <c r="CP1296" s="0"/>
      <c r="CQ1296" s="0"/>
      <c r="CR1296" s="0"/>
      <c r="CS1296" s="0"/>
      <c r="CT1296" s="0"/>
      <c r="CU1296" s="0"/>
      <c r="CV1296" s="0"/>
      <c r="CW1296" s="0"/>
      <c r="CX1296" s="0"/>
      <c r="CY1296" s="0"/>
      <c r="CZ1296" s="0"/>
      <c r="DA1296" s="0"/>
      <c r="DB1296" s="0"/>
      <c r="DC1296" s="0"/>
      <c r="DD1296" s="0"/>
      <c r="DE1296" s="0"/>
      <c r="DF1296" s="0"/>
      <c r="DG1296" s="0"/>
      <c r="DH1296" s="0"/>
      <c r="DI1296" s="0"/>
      <c r="DJ1296" s="0"/>
      <c r="DK1296" s="0"/>
      <c r="DL1296" s="0"/>
      <c r="DM1296" s="0"/>
      <c r="DN1296" s="0"/>
      <c r="DO1296" s="0"/>
      <c r="DP1296" s="0"/>
      <c r="DQ1296" s="0"/>
      <c r="DR1296" s="0"/>
      <c r="DS1296" s="0"/>
      <c r="DT1296" s="0"/>
      <c r="DU1296" s="0"/>
      <c r="DV1296" s="0"/>
      <c r="DW1296" s="0"/>
      <c r="DX1296" s="0"/>
      <c r="DY1296" s="0"/>
      <c r="DZ1296" s="0"/>
      <c r="EA1296" s="0"/>
      <c r="EB1296" s="0"/>
      <c r="EC1296" s="0"/>
      <c r="ED1296" s="0"/>
      <c r="EE1296" s="0"/>
      <c r="EF1296" s="0"/>
      <c r="EG1296" s="0"/>
      <c r="EH1296" s="0"/>
      <c r="EI1296" s="0"/>
      <c r="EJ1296" s="0"/>
      <c r="EK1296" s="0"/>
      <c r="EL1296" s="0"/>
      <c r="EM1296" s="0"/>
      <c r="EN1296" s="0"/>
      <c r="EO1296" s="0"/>
      <c r="EP1296" s="0"/>
      <c r="EQ1296" s="0"/>
      <c r="ER1296" s="0"/>
      <c r="ES1296" s="0"/>
      <c r="ET1296" s="0"/>
      <c r="EU1296" s="0"/>
      <c r="EV1296" s="0"/>
      <c r="EW1296" s="0"/>
      <c r="EX1296" s="0"/>
      <c r="EY1296" s="0"/>
      <c r="EZ1296" s="0"/>
      <c r="FA1296" s="0"/>
      <c r="FB1296" s="0"/>
      <c r="FC1296" s="0"/>
      <c r="FD1296" s="0"/>
      <c r="FE1296" s="0"/>
      <c r="FF1296" s="0"/>
      <c r="FG1296" s="0"/>
      <c r="FH1296" s="0"/>
      <c r="FI1296" s="0"/>
      <c r="FJ1296" s="0"/>
      <c r="FK1296" s="0"/>
      <c r="FL1296" s="0"/>
      <c r="FM1296" s="0"/>
      <c r="FN1296" s="0"/>
      <c r="FO1296" s="0"/>
      <c r="FP1296" s="0"/>
      <c r="FQ1296" s="0"/>
      <c r="FR1296" s="0"/>
      <c r="FS1296" s="0"/>
      <c r="FT1296" s="0"/>
      <c r="FU1296" s="0"/>
      <c r="FV1296" s="0"/>
      <c r="FW1296" s="0"/>
      <c r="FX1296" s="0"/>
      <c r="FY1296" s="0"/>
      <c r="FZ1296" s="0"/>
      <c r="GA1296" s="0"/>
      <c r="GB1296" s="0"/>
      <c r="GC1296" s="0"/>
      <c r="GD1296" s="0"/>
      <c r="GE1296" s="0"/>
      <c r="GF1296" s="0"/>
      <c r="GG1296" s="0"/>
      <c r="GH1296" s="0"/>
      <c r="GI1296" s="0"/>
      <c r="GJ1296" s="0"/>
      <c r="GK1296" s="0"/>
      <c r="GL1296" s="0"/>
      <c r="GM1296" s="0"/>
      <c r="GN1296" s="0"/>
      <c r="GO1296" s="0"/>
      <c r="GP1296" s="0"/>
      <c r="GQ1296" s="0"/>
      <c r="GR1296" s="0"/>
      <c r="GS1296" s="0"/>
      <c r="GT1296" s="0"/>
      <c r="GU1296" s="0"/>
      <c r="GV1296" s="0"/>
      <c r="GW1296" s="0"/>
      <c r="GX1296" s="0"/>
      <c r="GY1296" s="0"/>
      <c r="GZ1296" s="0"/>
      <c r="HA1296" s="0"/>
      <c r="HB1296" s="0"/>
      <c r="HC1296" s="0"/>
      <c r="HD1296" s="0"/>
      <c r="HE1296" s="0"/>
      <c r="HF1296" s="0"/>
      <c r="HG1296" s="0"/>
      <c r="HH1296" s="0"/>
      <c r="HI1296" s="0"/>
      <c r="HJ1296" s="0"/>
      <c r="HK1296" s="0"/>
      <c r="HL1296" s="0"/>
      <c r="HM1296" s="0"/>
      <c r="HN1296" s="0"/>
      <c r="HO1296" s="0"/>
      <c r="HP1296" s="0"/>
      <c r="HQ1296" s="0"/>
      <c r="HR1296" s="0"/>
      <c r="HS1296" s="0"/>
      <c r="HT1296" s="0"/>
      <c r="HU1296" s="0"/>
      <c r="HV1296" s="0"/>
      <c r="HW1296" s="0"/>
      <c r="HX1296" s="0"/>
      <c r="HY1296" s="0"/>
      <c r="HZ1296" s="0"/>
      <c r="IA1296" s="0"/>
      <c r="IB1296" s="0"/>
      <c r="IC1296" s="0"/>
      <c r="ID1296" s="0"/>
      <c r="IE1296" s="0"/>
      <c r="IF1296" s="0"/>
      <c r="IG1296" s="0"/>
      <c r="IH1296" s="0"/>
      <c r="II1296" s="0"/>
      <c r="IJ1296" s="0"/>
      <c r="IK1296" s="0"/>
      <c r="IL1296" s="0"/>
      <c r="IM1296" s="0"/>
      <c r="IN1296" s="0"/>
      <c r="IO1296" s="0"/>
      <c r="IP1296" s="0"/>
      <c r="IQ1296" s="0"/>
      <c r="IR1296" s="0"/>
      <c r="IS1296" s="0"/>
      <c r="IT1296" s="0"/>
      <c r="IU1296" s="0"/>
      <c r="IV1296" s="0"/>
    </row>
    <row r="1297" customFormat="false" ht="15" hidden="false" customHeight="true" outlineLevel="0" collapsed="false">
      <c r="A1297" s="1454" t="s">
        <v>938</v>
      </c>
      <c r="B1297" s="1455"/>
      <c r="C1297" s="1455"/>
      <c r="D1297" s="1455"/>
      <c r="E1297" s="1456"/>
      <c r="F1297" s="1457" t="n">
        <f aca="false">E1297/$E$1304</f>
        <v>0</v>
      </c>
      <c r="G1297" s="1467"/>
      <c r="H1297" s="55"/>
      <c r="I1297" s="459"/>
      <c r="J1297" s="1289"/>
      <c r="K1297" s="1310"/>
      <c r="L1297" s="1432"/>
      <c r="M1297" s="0"/>
      <c r="N1297" s="0"/>
      <c r="O1297" s="0"/>
      <c r="P1297" s="0"/>
      <c r="Q1297" s="0"/>
      <c r="R1297" s="0"/>
      <c r="S1297" s="0"/>
      <c r="T1297" s="0"/>
      <c r="U1297" s="0"/>
      <c r="V1297" s="0"/>
      <c r="W1297" s="0"/>
      <c r="X1297" s="0"/>
      <c r="Y1297" s="0"/>
      <c r="Z1297" s="0"/>
      <c r="AA1297" s="0"/>
      <c r="AB1297" s="0"/>
      <c r="AC1297" s="0"/>
      <c r="AD1297" s="0"/>
      <c r="AE1297" s="0"/>
      <c r="AF1297" s="0"/>
      <c r="AG1297" s="0"/>
      <c r="AH1297" s="0"/>
      <c r="AI1297" s="0"/>
      <c r="AJ1297" s="0"/>
      <c r="AK1297" s="0"/>
      <c r="AL1297" s="0"/>
      <c r="AM1297" s="0"/>
      <c r="AN1297" s="0"/>
      <c r="AO1297" s="0"/>
      <c r="AP1297" s="0"/>
      <c r="AQ1297" s="0"/>
      <c r="AR1297" s="0"/>
      <c r="AS1297" s="0"/>
      <c r="AT1297" s="0"/>
      <c r="AU1297" s="0"/>
      <c r="AV1297" s="0"/>
      <c r="AW1297" s="0"/>
      <c r="AX1297" s="0"/>
      <c r="AY1297" s="0"/>
      <c r="AZ1297" s="0"/>
      <c r="BA1297" s="0"/>
      <c r="BB1297" s="0"/>
      <c r="BC1297" s="0"/>
      <c r="BD1297" s="0"/>
      <c r="BE1297" s="0"/>
      <c r="BF1297" s="0"/>
      <c r="BG1297" s="0"/>
      <c r="BH1297" s="0"/>
      <c r="BI1297" s="0"/>
      <c r="BJ1297" s="0"/>
      <c r="BK1297" s="0"/>
      <c r="BL1297" s="0"/>
      <c r="BM1297" s="0"/>
      <c r="BN1297" s="0"/>
      <c r="BO1297" s="0"/>
      <c r="BP1297" s="0"/>
      <c r="BQ1297" s="0"/>
      <c r="BR1297" s="0"/>
      <c r="BS1297" s="0"/>
      <c r="BT1297" s="0"/>
      <c r="BU1297" s="0"/>
      <c r="BV1297" s="0"/>
      <c r="BW1297" s="0"/>
      <c r="BX1297" s="0"/>
      <c r="BY1297" s="0"/>
      <c r="BZ1297" s="0"/>
      <c r="CA1297" s="0"/>
      <c r="CB1297" s="0"/>
      <c r="CC1297" s="0"/>
      <c r="CD1297" s="0"/>
      <c r="CE1297" s="0"/>
      <c r="CF1297" s="0"/>
      <c r="CG1297" s="0"/>
      <c r="CH1297" s="0"/>
      <c r="CI1297" s="0"/>
      <c r="CJ1297" s="0"/>
      <c r="CK1297" s="0"/>
      <c r="CL1297" s="0"/>
      <c r="CM1297" s="0"/>
      <c r="CN1297" s="0"/>
      <c r="CO1297" s="0"/>
      <c r="CP1297" s="0"/>
      <c r="CQ1297" s="0"/>
      <c r="CR1297" s="0"/>
      <c r="CS1297" s="0"/>
      <c r="CT1297" s="0"/>
      <c r="CU1297" s="0"/>
      <c r="CV1297" s="0"/>
      <c r="CW1297" s="0"/>
      <c r="CX1297" s="0"/>
      <c r="CY1297" s="0"/>
      <c r="CZ1297" s="0"/>
      <c r="DA1297" s="0"/>
      <c r="DB1297" s="0"/>
      <c r="DC1297" s="0"/>
      <c r="DD1297" s="0"/>
      <c r="DE1297" s="0"/>
      <c r="DF1297" s="0"/>
      <c r="DG1297" s="0"/>
      <c r="DH1297" s="0"/>
      <c r="DI1297" s="0"/>
      <c r="DJ1297" s="0"/>
      <c r="DK1297" s="0"/>
      <c r="DL1297" s="0"/>
      <c r="DM1297" s="0"/>
      <c r="DN1297" s="0"/>
      <c r="DO1297" s="0"/>
      <c r="DP1297" s="0"/>
      <c r="DQ1297" s="0"/>
      <c r="DR1297" s="0"/>
      <c r="DS1297" s="0"/>
      <c r="DT1297" s="0"/>
      <c r="DU1297" s="0"/>
      <c r="DV1297" s="0"/>
      <c r="DW1297" s="0"/>
      <c r="DX1297" s="0"/>
      <c r="DY1297" s="0"/>
      <c r="DZ1297" s="0"/>
      <c r="EA1297" s="0"/>
      <c r="EB1297" s="0"/>
      <c r="EC1297" s="0"/>
      <c r="ED1297" s="0"/>
      <c r="EE1297" s="0"/>
      <c r="EF1297" s="0"/>
      <c r="EG1297" s="0"/>
      <c r="EH1297" s="0"/>
      <c r="EI1297" s="0"/>
      <c r="EJ1297" s="0"/>
      <c r="EK1297" s="0"/>
      <c r="EL1297" s="0"/>
      <c r="EM1297" s="0"/>
      <c r="EN1297" s="0"/>
      <c r="EO1297" s="0"/>
      <c r="EP1297" s="0"/>
      <c r="EQ1297" s="0"/>
      <c r="ER1297" s="0"/>
      <c r="ES1297" s="0"/>
      <c r="ET1297" s="0"/>
      <c r="EU1297" s="0"/>
      <c r="EV1297" s="0"/>
      <c r="EW1297" s="0"/>
      <c r="EX1297" s="0"/>
      <c r="EY1297" s="0"/>
      <c r="EZ1297" s="0"/>
      <c r="FA1297" s="0"/>
      <c r="FB1297" s="0"/>
      <c r="FC1297" s="0"/>
      <c r="FD1297" s="0"/>
      <c r="FE1297" s="0"/>
      <c r="FF1297" s="0"/>
      <c r="FG1297" s="0"/>
      <c r="FH1297" s="0"/>
      <c r="FI1297" s="0"/>
      <c r="FJ1297" s="0"/>
      <c r="FK1297" s="0"/>
      <c r="FL1297" s="0"/>
      <c r="FM1297" s="0"/>
      <c r="FN1297" s="0"/>
      <c r="FO1297" s="0"/>
      <c r="FP1297" s="0"/>
      <c r="FQ1297" s="0"/>
      <c r="FR1297" s="0"/>
      <c r="FS1297" s="0"/>
      <c r="FT1297" s="0"/>
      <c r="FU1297" s="0"/>
      <c r="FV1297" s="0"/>
      <c r="FW1297" s="0"/>
      <c r="FX1297" s="0"/>
      <c r="FY1297" s="0"/>
      <c r="FZ1297" s="0"/>
      <c r="GA1297" s="0"/>
      <c r="GB1297" s="0"/>
      <c r="GC1297" s="0"/>
      <c r="GD1297" s="0"/>
      <c r="GE1297" s="0"/>
      <c r="GF1297" s="0"/>
      <c r="GG1297" s="0"/>
      <c r="GH1297" s="0"/>
      <c r="GI1297" s="0"/>
      <c r="GJ1297" s="0"/>
      <c r="GK1297" s="0"/>
      <c r="GL1297" s="0"/>
      <c r="GM1297" s="0"/>
      <c r="GN1297" s="0"/>
      <c r="GO1297" s="0"/>
      <c r="GP1297" s="0"/>
      <c r="GQ1297" s="0"/>
      <c r="GR1297" s="0"/>
      <c r="GS1297" s="0"/>
      <c r="GT1297" s="0"/>
      <c r="GU1297" s="0"/>
      <c r="GV1297" s="0"/>
      <c r="GW1297" s="0"/>
      <c r="GX1297" s="0"/>
      <c r="GY1297" s="0"/>
      <c r="GZ1297" s="0"/>
      <c r="HA1297" s="0"/>
      <c r="HB1297" s="0"/>
      <c r="HC1297" s="0"/>
      <c r="HD1297" s="0"/>
      <c r="HE1297" s="0"/>
      <c r="HF1297" s="0"/>
      <c r="HG1297" s="0"/>
      <c r="HH1297" s="0"/>
      <c r="HI1297" s="0"/>
      <c r="HJ1297" s="0"/>
      <c r="HK1297" s="0"/>
      <c r="HL1297" s="0"/>
      <c r="HM1297" s="0"/>
      <c r="HN1297" s="0"/>
      <c r="HO1297" s="0"/>
      <c r="HP1297" s="0"/>
      <c r="HQ1297" s="0"/>
      <c r="HR1297" s="0"/>
      <c r="HS1297" s="0"/>
      <c r="HT1297" s="0"/>
      <c r="HU1297" s="0"/>
      <c r="HV1297" s="0"/>
      <c r="HW1297" s="0"/>
      <c r="HX1297" s="0"/>
      <c r="HY1297" s="0"/>
      <c r="HZ1297" s="0"/>
      <c r="IA1297" s="0"/>
      <c r="IB1297" s="0"/>
      <c r="IC1297" s="0"/>
      <c r="ID1297" s="0"/>
      <c r="IE1297" s="0"/>
      <c r="IF1297" s="0"/>
      <c r="IG1297" s="0"/>
      <c r="IH1297" s="0"/>
      <c r="II1297" s="0"/>
      <c r="IJ1297" s="0"/>
      <c r="IK1297" s="0"/>
      <c r="IL1297" s="0"/>
      <c r="IM1297" s="0"/>
      <c r="IN1297" s="0"/>
      <c r="IO1297" s="0"/>
      <c r="IP1297" s="0"/>
      <c r="IQ1297" s="0"/>
      <c r="IR1297" s="0"/>
      <c r="IS1297" s="0"/>
      <c r="IT1297" s="0"/>
      <c r="IU1297" s="0"/>
      <c r="IV1297" s="0"/>
    </row>
    <row r="1298" customFormat="false" ht="15.75" hidden="false" customHeight="true" outlineLevel="0" collapsed="false">
      <c r="A1298" s="1471" t="s">
        <v>932</v>
      </c>
      <c r="B1298" s="1468"/>
      <c r="C1298" s="1468"/>
      <c r="D1298" s="1468"/>
      <c r="E1298" s="1472"/>
      <c r="F1298" s="1470" t="n">
        <f aca="false">E1298/$E$1304</f>
        <v>0</v>
      </c>
      <c r="G1298" s="1467"/>
      <c r="H1298" s="456"/>
      <c r="I1298" s="55"/>
      <c r="J1298" s="459"/>
      <c r="K1298" s="1310"/>
      <c r="L1298" s="1432"/>
      <c r="M1298" s="0"/>
      <c r="N1298" s="0"/>
      <c r="O1298" s="0"/>
      <c r="P1298" s="0"/>
      <c r="Q1298" s="0"/>
      <c r="R1298" s="0"/>
      <c r="S1298" s="0"/>
      <c r="T1298" s="0"/>
      <c r="U1298" s="0"/>
      <c r="V1298" s="0"/>
      <c r="W1298" s="0"/>
      <c r="X1298" s="0"/>
      <c r="Y1298" s="0"/>
      <c r="Z1298" s="0"/>
      <c r="AA1298" s="0"/>
      <c r="AB1298" s="0"/>
      <c r="AC1298" s="0"/>
      <c r="AD1298" s="0"/>
      <c r="AE1298" s="0"/>
      <c r="AF1298" s="0"/>
      <c r="AG1298" s="0"/>
      <c r="AH1298" s="0"/>
      <c r="AI1298" s="0"/>
      <c r="AJ1298" s="0"/>
      <c r="AK1298" s="0"/>
      <c r="AL1298" s="0"/>
      <c r="AM1298" s="0"/>
      <c r="AN1298" s="0"/>
      <c r="AO1298" s="0"/>
      <c r="AP1298" s="0"/>
      <c r="AQ1298" s="0"/>
      <c r="AR1298" s="0"/>
      <c r="AS1298" s="0"/>
      <c r="AT1298" s="0"/>
      <c r="AU1298" s="0"/>
      <c r="AV1298" s="0"/>
      <c r="AW1298" s="0"/>
      <c r="AX1298" s="0"/>
      <c r="AY1298" s="0"/>
      <c r="AZ1298" s="0"/>
      <c r="BA1298" s="0"/>
      <c r="BB1298" s="0"/>
      <c r="BC1298" s="0"/>
      <c r="BD1298" s="0"/>
      <c r="BE1298" s="0"/>
      <c r="BF1298" s="0"/>
      <c r="BG1298" s="0"/>
      <c r="BH1298" s="0"/>
      <c r="BI1298" s="0"/>
      <c r="BJ1298" s="0"/>
      <c r="BK1298" s="0"/>
      <c r="BL1298" s="0"/>
      <c r="BM1298" s="0"/>
      <c r="BN1298" s="0"/>
      <c r="BO1298" s="0"/>
      <c r="BP1298" s="0"/>
      <c r="BQ1298" s="0"/>
      <c r="BR1298" s="0"/>
      <c r="BS1298" s="0"/>
      <c r="BT1298" s="0"/>
      <c r="BU1298" s="0"/>
      <c r="BV1298" s="0"/>
      <c r="BW1298" s="0"/>
      <c r="BX1298" s="0"/>
      <c r="BY1298" s="0"/>
      <c r="BZ1298" s="0"/>
      <c r="CA1298" s="0"/>
      <c r="CB1298" s="0"/>
      <c r="CC1298" s="0"/>
      <c r="CD1298" s="0"/>
      <c r="CE1298" s="0"/>
      <c r="CF1298" s="0"/>
      <c r="CG1298" s="0"/>
      <c r="CH1298" s="0"/>
      <c r="CI1298" s="0"/>
      <c r="CJ1298" s="0"/>
      <c r="CK1298" s="0"/>
      <c r="CL1298" s="0"/>
      <c r="CM1298" s="0"/>
      <c r="CN1298" s="0"/>
      <c r="CO1298" s="0"/>
      <c r="CP1298" s="0"/>
      <c r="CQ1298" s="0"/>
      <c r="CR1298" s="0"/>
      <c r="CS1298" s="0"/>
      <c r="CT1298" s="0"/>
      <c r="CU1298" s="0"/>
      <c r="CV1298" s="0"/>
      <c r="CW1298" s="0"/>
      <c r="CX1298" s="0"/>
      <c r="CY1298" s="0"/>
      <c r="CZ1298" s="0"/>
      <c r="DA1298" s="0"/>
      <c r="DB1298" s="0"/>
      <c r="DC1298" s="0"/>
      <c r="DD1298" s="0"/>
      <c r="DE1298" s="0"/>
      <c r="DF1298" s="0"/>
      <c r="DG1298" s="0"/>
      <c r="DH1298" s="0"/>
      <c r="DI1298" s="0"/>
      <c r="DJ1298" s="0"/>
      <c r="DK1298" s="0"/>
      <c r="DL1298" s="0"/>
      <c r="DM1298" s="0"/>
      <c r="DN1298" s="0"/>
      <c r="DO1298" s="0"/>
      <c r="DP1298" s="0"/>
      <c r="DQ1298" s="0"/>
      <c r="DR1298" s="0"/>
      <c r="DS1298" s="0"/>
      <c r="DT1298" s="0"/>
      <c r="DU1298" s="0"/>
      <c r="DV1298" s="0"/>
      <c r="DW1298" s="0"/>
      <c r="DX1298" s="0"/>
      <c r="DY1298" s="0"/>
      <c r="DZ1298" s="0"/>
      <c r="EA1298" s="0"/>
      <c r="EB1298" s="0"/>
      <c r="EC1298" s="0"/>
      <c r="ED1298" s="0"/>
      <c r="EE1298" s="0"/>
      <c r="EF1298" s="0"/>
      <c r="EG1298" s="0"/>
      <c r="EH1298" s="0"/>
      <c r="EI1298" s="0"/>
      <c r="EJ1298" s="0"/>
      <c r="EK1298" s="0"/>
      <c r="EL1298" s="0"/>
      <c r="EM1298" s="0"/>
      <c r="EN1298" s="0"/>
      <c r="EO1298" s="0"/>
      <c r="EP1298" s="0"/>
      <c r="EQ1298" s="0"/>
      <c r="ER1298" s="0"/>
      <c r="ES1298" s="0"/>
      <c r="ET1298" s="0"/>
      <c r="EU1298" s="0"/>
      <c r="EV1298" s="0"/>
      <c r="EW1298" s="0"/>
      <c r="EX1298" s="0"/>
      <c r="EY1298" s="0"/>
      <c r="EZ1298" s="0"/>
      <c r="FA1298" s="0"/>
      <c r="FB1298" s="0"/>
      <c r="FC1298" s="0"/>
      <c r="FD1298" s="0"/>
      <c r="FE1298" s="0"/>
      <c r="FF1298" s="0"/>
      <c r="FG1298" s="0"/>
      <c r="FH1298" s="0"/>
      <c r="FI1298" s="0"/>
      <c r="FJ1298" s="0"/>
      <c r="FK1298" s="0"/>
      <c r="FL1298" s="0"/>
      <c r="FM1298" s="0"/>
      <c r="FN1298" s="0"/>
      <c r="FO1298" s="0"/>
      <c r="FP1298" s="0"/>
      <c r="FQ1298" s="0"/>
      <c r="FR1298" s="0"/>
      <c r="FS1298" s="0"/>
      <c r="FT1298" s="0"/>
      <c r="FU1298" s="0"/>
      <c r="FV1298" s="0"/>
      <c r="FW1298" s="0"/>
      <c r="FX1298" s="0"/>
      <c r="FY1298" s="0"/>
      <c r="FZ1298" s="0"/>
      <c r="GA1298" s="0"/>
      <c r="GB1298" s="0"/>
      <c r="GC1298" s="0"/>
      <c r="GD1298" s="0"/>
      <c r="GE1298" s="0"/>
      <c r="GF1298" s="0"/>
      <c r="GG1298" s="0"/>
      <c r="GH1298" s="0"/>
      <c r="GI1298" s="0"/>
      <c r="GJ1298" s="0"/>
      <c r="GK1298" s="0"/>
      <c r="GL1298" s="0"/>
      <c r="GM1298" s="0"/>
      <c r="GN1298" s="0"/>
      <c r="GO1298" s="0"/>
      <c r="GP1298" s="0"/>
      <c r="GQ1298" s="0"/>
      <c r="GR1298" s="0"/>
      <c r="GS1298" s="0"/>
      <c r="GT1298" s="0"/>
      <c r="GU1298" s="0"/>
      <c r="GV1298" s="0"/>
      <c r="GW1298" s="0"/>
      <c r="GX1298" s="0"/>
      <c r="GY1298" s="0"/>
      <c r="GZ1298" s="0"/>
      <c r="HA1298" s="0"/>
      <c r="HB1298" s="0"/>
      <c r="HC1298" s="0"/>
      <c r="HD1298" s="0"/>
      <c r="HE1298" s="0"/>
      <c r="HF1298" s="0"/>
      <c r="HG1298" s="0"/>
      <c r="HH1298" s="0"/>
      <c r="HI1298" s="0"/>
      <c r="HJ1298" s="0"/>
      <c r="HK1298" s="0"/>
      <c r="HL1298" s="0"/>
      <c r="HM1298" s="0"/>
      <c r="HN1298" s="0"/>
      <c r="HO1298" s="0"/>
      <c r="HP1298" s="0"/>
      <c r="HQ1298" s="0"/>
      <c r="HR1298" s="0"/>
      <c r="HS1298" s="0"/>
      <c r="HT1298" s="0"/>
      <c r="HU1298" s="0"/>
      <c r="HV1298" s="0"/>
      <c r="HW1298" s="0"/>
      <c r="HX1298" s="0"/>
      <c r="HY1298" s="0"/>
      <c r="HZ1298" s="0"/>
      <c r="IA1298" s="0"/>
      <c r="IB1298" s="0"/>
      <c r="IC1298" s="0"/>
      <c r="ID1298" s="0"/>
      <c r="IE1298" s="0"/>
      <c r="IF1298" s="0"/>
      <c r="IG1298" s="0"/>
      <c r="IH1298" s="0"/>
      <c r="II1298" s="0"/>
      <c r="IJ1298" s="0"/>
      <c r="IK1298" s="0"/>
      <c r="IL1298" s="0"/>
      <c r="IM1298" s="0"/>
      <c r="IN1298" s="0"/>
      <c r="IO1298" s="0"/>
      <c r="IP1298" s="0"/>
      <c r="IQ1298" s="0"/>
      <c r="IR1298" s="0"/>
      <c r="IS1298" s="0"/>
      <c r="IT1298" s="0"/>
      <c r="IU1298" s="0"/>
      <c r="IV1298" s="0"/>
    </row>
    <row r="1299" customFormat="false" ht="15" hidden="false" customHeight="true" outlineLevel="0" collapsed="false">
      <c r="A1299" s="1448" t="s">
        <v>939</v>
      </c>
      <c r="B1299" s="1449"/>
      <c r="C1299" s="1449"/>
      <c r="D1299" s="1449"/>
      <c r="E1299" s="1450" t="n">
        <f aca="false">SUM(E1300:E1301)</f>
        <v>0</v>
      </c>
      <c r="F1299" s="1451"/>
      <c r="G1299" s="1452"/>
      <c r="H1299" s="1332"/>
      <c r="J1299" s="0"/>
      <c r="K1299" s="55"/>
      <c r="M1299" s="0"/>
      <c r="N1299" s="0"/>
      <c r="O1299" s="0"/>
      <c r="P1299" s="0"/>
      <c r="Q1299" s="0"/>
      <c r="R1299" s="0"/>
      <c r="S1299" s="0"/>
      <c r="T1299" s="0"/>
      <c r="U1299" s="0"/>
      <c r="V1299" s="0"/>
      <c r="W1299" s="0"/>
      <c r="X1299" s="0"/>
      <c r="Y1299" s="0"/>
      <c r="Z1299" s="0"/>
      <c r="AA1299" s="0"/>
      <c r="AB1299" s="0"/>
      <c r="AC1299" s="0"/>
      <c r="AD1299" s="0"/>
      <c r="AE1299" s="0"/>
      <c r="AF1299" s="0"/>
      <c r="AG1299" s="0"/>
      <c r="AH1299" s="0"/>
      <c r="AI1299" s="0"/>
      <c r="AJ1299" s="0"/>
      <c r="AK1299" s="0"/>
      <c r="AL1299" s="0"/>
      <c r="AM1299" s="0"/>
      <c r="AN1299" s="0"/>
      <c r="AO1299" s="0"/>
      <c r="AP1299" s="0"/>
      <c r="AQ1299" s="0"/>
      <c r="AR1299" s="0"/>
      <c r="AS1299" s="0"/>
      <c r="AT1299" s="0"/>
      <c r="AU1299" s="0"/>
      <c r="AV1299" s="0"/>
      <c r="AW1299" s="0"/>
      <c r="AX1299" s="0"/>
      <c r="AY1299" s="0"/>
      <c r="AZ1299" s="0"/>
      <c r="BA1299" s="0"/>
      <c r="BB1299" s="0"/>
      <c r="BC1299" s="0"/>
      <c r="BD1299" s="0"/>
      <c r="BE1299" s="0"/>
      <c r="BF1299" s="0"/>
      <c r="BG1299" s="0"/>
      <c r="BH1299" s="0"/>
      <c r="BI1299" s="0"/>
      <c r="BJ1299" s="0"/>
      <c r="BK1299" s="0"/>
      <c r="BL1299" s="0"/>
      <c r="BM1299" s="0"/>
      <c r="BN1299" s="0"/>
      <c r="BO1299" s="0"/>
      <c r="BP1299" s="0"/>
      <c r="BQ1299" s="0"/>
      <c r="BR1299" s="0"/>
      <c r="BS1299" s="0"/>
      <c r="BT1299" s="0"/>
      <c r="BU1299" s="0"/>
      <c r="BV1299" s="0"/>
      <c r="BW1299" s="0"/>
      <c r="BX1299" s="0"/>
      <c r="BY1299" s="0"/>
      <c r="BZ1299" s="0"/>
      <c r="CA1299" s="0"/>
      <c r="CB1299" s="0"/>
      <c r="CC1299" s="0"/>
      <c r="CD1299" s="0"/>
      <c r="CE1299" s="0"/>
      <c r="CF1299" s="0"/>
      <c r="CG1299" s="0"/>
      <c r="CH1299" s="0"/>
      <c r="CI1299" s="0"/>
      <c r="CJ1299" s="0"/>
      <c r="CK1299" s="0"/>
      <c r="CL1299" s="0"/>
      <c r="CM1299" s="0"/>
      <c r="CN1299" s="0"/>
      <c r="CO1299" s="0"/>
      <c r="CP1299" s="0"/>
      <c r="CQ1299" s="0"/>
      <c r="CR1299" s="0"/>
      <c r="CS1299" s="0"/>
      <c r="CT1299" s="0"/>
      <c r="CU1299" s="0"/>
      <c r="CV1299" s="0"/>
      <c r="CW1299" s="0"/>
      <c r="CX1299" s="0"/>
      <c r="CY1299" s="0"/>
      <c r="CZ1299" s="0"/>
      <c r="DA1299" s="0"/>
      <c r="DB1299" s="0"/>
      <c r="DC1299" s="0"/>
      <c r="DD1299" s="0"/>
      <c r="DE1299" s="0"/>
      <c r="DF1299" s="0"/>
      <c r="DG1299" s="0"/>
      <c r="DH1299" s="0"/>
      <c r="DI1299" s="0"/>
      <c r="DJ1299" s="0"/>
      <c r="DK1299" s="0"/>
      <c r="DL1299" s="0"/>
      <c r="DM1299" s="0"/>
      <c r="DN1299" s="0"/>
      <c r="DO1299" s="0"/>
      <c r="DP1299" s="0"/>
      <c r="DQ1299" s="0"/>
      <c r="DR1299" s="0"/>
      <c r="DS1299" s="0"/>
      <c r="DT1299" s="0"/>
      <c r="DU1299" s="0"/>
      <c r="DV1299" s="0"/>
      <c r="DW1299" s="0"/>
      <c r="DX1299" s="0"/>
      <c r="DY1299" s="0"/>
      <c r="DZ1299" s="0"/>
      <c r="EA1299" s="0"/>
      <c r="EB1299" s="0"/>
      <c r="EC1299" s="0"/>
      <c r="ED1299" s="0"/>
      <c r="EE1299" s="0"/>
      <c r="EF1299" s="0"/>
      <c r="EG1299" s="0"/>
      <c r="EH1299" s="0"/>
      <c r="EI1299" s="0"/>
      <c r="EJ1299" s="0"/>
      <c r="EK1299" s="0"/>
      <c r="EL1299" s="0"/>
      <c r="EM1299" s="0"/>
      <c r="EN1299" s="0"/>
      <c r="EO1299" s="0"/>
      <c r="EP1299" s="0"/>
      <c r="EQ1299" s="0"/>
      <c r="ER1299" s="0"/>
      <c r="ES1299" s="0"/>
      <c r="ET1299" s="0"/>
      <c r="EU1299" s="0"/>
      <c r="EV1299" s="0"/>
      <c r="EW1299" s="0"/>
      <c r="EX1299" s="0"/>
      <c r="EY1299" s="0"/>
      <c r="EZ1299" s="0"/>
      <c r="FA1299" s="0"/>
      <c r="FB1299" s="0"/>
      <c r="FC1299" s="0"/>
      <c r="FD1299" s="0"/>
      <c r="FE1299" s="0"/>
      <c r="FF1299" s="0"/>
      <c r="FG1299" s="0"/>
      <c r="FH1299" s="0"/>
      <c r="FI1299" s="0"/>
      <c r="FJ1299" s="0"/>
      <c r="FK1299" s="0"/>
      <c r="FL1299" s="0"/>
      <c r="FM1299" s="0"/>
      <c r="FN1299" s="0"/>
      <c r="FO1299" s="0"/>
      <c r="FP1299" s="0"/>
      <c r="FQ1299" s="0"/>
      <c r="FR1299" s="0"/>
      <c r="FS1299" s="0"/>
      <c r="FT1299" s="0"/>
      <c r="FU1299" s="0"/>
      <c r="FV1299" s="0"/>
      <c r="FW1299" s="0"/>
      <c r="FX1299" s="0"/>
      <c r="FY1299" s="0"/>
      <c r="FZ1299" s="0"/>
      <c r="GA1299" s="0"/>
      <c r="GB1299" s="0"/>
      <c r="GC1299" s="0"/>
      <c r="GD1299" s="0"/>
      <c r="GE1299" s="0"/>
      <c r="GF1299" s="0"/>
      <c r="GG1299" s="0"/>
      <c r="GH1299" s="0"/>
      <c r="GI1299" s="0"/>
      <c r="GJ1299" s="0"/>
      <c r="GK1299" s="0"/>
      <c r="GL1299" s="0"/>
      <c r="GM1299" s="0"/>
      <c r="GN1299" s="0"/>
      <c r="GO1299" s="0"/>
      <c r="GP1299" s="0"/>
      <c r="GQ1299" s="0"/>
      <c r="GR1299" s="0"/>
      <c r="GS1299" s="0"/>
      <c r="GT1299" s="0"/>
      <c r="GU1299" s="0"/>
      <c r="GV1299" s="0"/>
      <c r="GW1299" s="0"/>
      <c r="GX1299" s="0"/>
      <c r="GY1299" s="0"/>
      <c r="GZ1299" s="0"/>
      <c r="HA1299" s="0"/>
      <c r="HB1299" s="0"/>
      <c r="HC1299" s="0"/>
      <c r="HD1299" s="0"/>
      <c r="HE1299" s="0"/>
      <c r="HF1299" s="0"/>
      <c r="HG1299" s="0"/>
      <c r="HH1299" s="0"/>
      <c r="HI1299" s="0"/>
      <c r="HJ1299" s="0"/>
      <c r="HK1299" s="0"/>
      <c r="HL1299" s="0"/>
      <c r="HM1299" s="0"/>
      <c r="HN1299" s="0"/>
      <c r="HO1299" s="0"/>
      <c r="HP1299" s="0"/>
      <c r="HQ1299" s="0"/>
      <c r="HR1299" s="0"/>
      <c r="HS1299" s="0"/>
      <c r="HT1299" s="0"/>
      <c r="HU1299" s="0"/>
      <c r="HV1299" s="0"/>
      <c r="HW1299" s="0"/>
      <c r="HX1299" s="0"/>
      <c r="HY1299" s="0"/>
      <c r="HZ1299" s="0"/>
      <c r="IA1299" s="0"/>
      <c r="IB1299" s="0"/>
      <c r="IC1299" s="0"/>
      <c r="ID1299" s="0"/>
      <c r="IE1299" s="0"/>
      <c r="IF1299" s="0"/>
      <c r="IG1299" s="0"/>
      <c r="IH1299" s="0"/>
      <c r="II1299" s="0"/>
      <c r="IJ1299" s="0"/>
      <c r="IK1299" s="0"/>
      <c r="IL1299" s="0"/>
      <c r="IM1299" s="0"/>
      <c r="IN1299" s="0"/>
      <c r="IO1299" s="0"/>
      <c r="IP1299" s="0"/>
      <c r="IQ1299" s="0"/>
      <c r="IR1299" s="0"/>
      <c r="IS1299" s="0"/>
      <c r="IT1299" s="0"/>
      <c r="IU1299" s="0"/>
      <c r="IV1299" s="0"/>
    </row>
    <row r="1300" customFormat="false" ht="17.25" hidden="false" customHeight="true" outlineLevel="0" collapsed="false">
      <c r="A1300" s="1454" t="s">
        <v>940</v>
      </c>
      <c r="B1300" s="1455"/>
      <c r="C1300" s="1455"/>
      <c r="D1300" s="1455"/>
      <c r="E1300" s="1456"/>
      <c r="F1300" s="1457" t="n">
        <f aca="false">E1300/$E$1304</f>
        <v>0</v>
      </c>
      <c r="G1300" s="1458"/>
      <c r="J1300" s="11"/>
      <c r="S1300" s="0"/>
      <c r="T1300" s="0"/>
      <c r="U1300" s="0"/>
      <c r="V1300" s="0"/>
      <c r="W1300" s="0"/>
      <c r="X1300" s="0"/>
      <c r="Y1300" s="0"/>
      <c r="Z1300" s="0"/>
      <c r="AA1300" s="0"/>
      <c r="AB1300" s="0"/>
      <c r="AC1300" s="0"/>
      <c r="AD1300" s="0"/>
      <c r="AE1300" s="0"/>
      <c r="AF1300" s="0"/>
      <c r="AG1300" s="0"/>
      <c r="AH1300" s="0"/>
      <c r="AI1300" s="0"/>
      <c r="AJ1300" s="0"/>
      <c r="AK1300" s="0"/>
      <c r="AL1300" s="0"/>
      <c r="AM1300" s="0"/>
      <c r="AN1300" s="0"/>
      <c r="AO1300" s="0"/>
      <c r="AP1300" s="0"/>
      <c r="AQ1300" s="0"/>
      <c r="AR1300" s="0"/>
      <c r="AS1300" s="0"/>
      <c r="AT1300" s="0"/>
      <c r="AU1300" s="0"/>
      <c r="AV1300" s="0"/>
      <c r="AW1300" s="0"/>
      <c r="AX1300" s="0"/>
      <c r="AY1300" s="0"/>
      <c r="AZ1300" s="0"/>
      <c r="BA1300" s="0"/>
      <c r="BB1300" s="0"/>
      <c r="BC1300" s="0"/>
      <c r="BD1300" s="0"/>
      <c r="BE1300" s="0"/>
      <c r="BF1300" s="0"/>
      <c r="BG1300" s="0"/>
      <c r="BH1300" s="0"/>
      <c r="BI1300" s="0"/>
      <c r="BJ1300" s="0"/>
      <c r="BK1300" s="0"/>
      <c r="BL1300" s="0"/>
      <c r="BM1300" s="0"/>
      <c r="BN1300" s="0"/>
      <c r="BO1300" s="0"/>
      <c r="BP1300" s="0"/>
      <c r="BQ1300" s="0"/>
      <c r="BR1300" s="0"/>
      <c r="BS1300" s="0"/>
      <c r="BT1300" s="0"/>
      <c r="BU1300" s="0"/>
      <c r="BV1300" s="0"/>
      <c r="BW1300" s="0"/>
      <c r="BX1300" s="0"/>
      <c r="BY1300" s="0"/>
      <c r="BZ1300" s="0"/>
      <c r="CA1300" s="0"/>
      <c r="CB1300" s="0"/>
      <c r="CC1300" s="0"/>
      <c r="CD1300" s="0"/>
      <c r="CE1300" s="0"/>
      <c r="CF1300" s="0"/>
      <c r="CG1300" s="0"/>
      <c r="CH1300" s="0"/>
      <c r="CI1300" s="0"/>
      <c r="CJ1300" s="0"/>
      <c r="CK1300" s="0"/>
      <c r="CL1300" s="0"/>
      <c r="CM1300" s="0"/>
      <c r="CN1300" s="0"/>
      <c r="CO1300" s="0"/>
      <c r="CP1300" s="0"/>
      <c r="CQ1300" s="0"/>
      <c r="CR1300" s="0"/>
      <c r="CS1300" s="0"/>
      <c r="CT1300" s="0"/>
      <c r="CU1300" s="0"/>
      <c r="CV1300" s="0"/>
      <c r="CW1300" s="0"/>
      <c r="CX1300" s="0"/>
      <c r="CY1300" s="0"/>
      <c r="CZ1300" s="0"/>
      <c r="DA1300" s="0"/>
      <c r="DB1300" s="0"/>
      <c r="DC1300" s="0"/>
      <c r="DD1300" s="0"/>
      <c r="DE1300" s="0"/>
      <c r="DF1300" s="0"/>
      <c r="DG1300" s="0"/>
      <c r="DH1300" s="0"/>
      <c r="DI1300" s="0"/>
      <c r="DJ1300" s="0"/>
      <c r="DK1300" s="0"/>
      <c r="DL1300" s="0"/>
      <c r="DM1300" s="0"/>
      <c r="DN1300" s="0"/>
      <c r="DO1300" s="0"/>
      <c r="DP1300" s="0"/>
      <c r="DQ1300" s="0"/>
      <c r="DR1300" s="0"/>
      <c r="DS1300" s="0"/>
      <c r="DT1300" s="0"/>
      <c r="DU1300" s="0"/>
      <c r="DV1300" s="0"/>
      <c r="DW1300" s="0"/>
      <c r="DX1300" s="0"/>
      <c r="DY1300" s="0"/>
      <c r="DZ1300" s="0"/>
      <c r="EA1300" s="0"/>
      <c r="EB1300" s="0"/>
      <c r="EC1300" s="0"/>
      <c r="ED1300" s="0"/>
      <c r="EE1300" s="0"/>
      <c r="EF1300" s="0"/>
      <c r="EG1300" s="0"/>
      <c r="EH1300" s="0"/>
      <c r="EI1300" s="0"/>
      <c r="EJ1300" s="0"/>
      <c r="EK1300" s="0"/>
      <c r="EL1300" s="0"/>
      <c r="EM1300" s="0"/>
      <c r="EN1300" s="0"/>
      <c r="EO1300" s="0"/>
      <c r="EP1300" s="0"/>
      <c r="EQ1300" s="0"/>
      <c r="ER1300" s="0"/>
      <c r="ES1300" s="0"/>
      <c r="ET1300" s="0"/>
      <c r="EU1300" s="0"/>
      <c r="EV1300" s="0"/>
      <c r="EW1300" s="0"/>
      <c r="EX1300" s="0"/>
      <c r="EY1300" s="0"/>
      <c r="EZ1300" s="0"/>
      <c r="FA1300" s="0"/>
      <c r="FB1300" s="0"/>
      <c r="FC1300" s="0"/>
      <c r="FD1300" s="0"/>
      <c r="FE1300" s="0"/>
      <c r="FF1300" s="0"/>
      <c r="FG1300" s="0"/>
      <c r="FH1300" s="0"/>
      <c r="FI1300" s="0"/>
      <c r="FJ1300" s="0"/>
      <c r="FK1300" s="0"/>
      <c r="FL1300" s="0"/>
      <c r="FM1300" s="0"/>
      <c r="FN1300" s="0"/>
      <c r="FO1300" s="0"/>
      <c r="FP1300" s="0"/>
      <c r="FQ1300" s="0"/>
      <c r="FR1300" s="0"/>
      <c r="FS1300" s="0"/>
      <c r="FT1300" s="0"/>
      <c r="FU1300" s="0"/>
      <c r="FV1300" s="0"/>
      <c r="FW1300" s="0"/>
      <c r="FX1300" s="0"/>
      <c r="FY1300" s="0"/>
      <c r="FZ1300" s="0"/>
      <c r="GA1300" s="0"/>
      <c r="GB1300" s="0"/>
      <c r="GC1300" s="0"/>
      <c r="GD1300" s="0"/>
      <c r="GE1300" s="0"/>
      <c r="GF1300" s="0"/>
      <c r="GG1300" s="0"/>
      <c r="GH1300" s="0"/>
      <c r="GI1300" s="0"/>
      <c r="GJ1300" s="0"/>
      <c r="GK1300" s="0"/>
      <c r="GL1300" s="0"/>
      <c r="GM1300" s="0"/>
      <c r="GN1300" s="0"/>
      <c r="GO1300" s="0"/>
      <c r="GP1300" s="0"/>
      <c r="GQ1300" s="0"/>
      <c r="GR1300" s="0"/>
      <c r="GS1300" s="0"/>
      <c r="GT1300" s="0"/>
      <c r="GU1300" s="0"/>
      <c r="GV1300" s="0"/>
      <c r="GW1300" s="0"/>
      <c r="GX1300" s="0"/>
      <c r="GY1300" s="0"/>
      <c r="GZ1300" s="0"/>
      <c r="HA1300" s="0"/>
      <c r="HB1300" s="0"/>
      <c r="HC1300" s="0"/>
      <c r="HD1300" s="0"/>
      <c r="HE1300" s="0"/>
      <c r="HF1300" s="0"/>
      <c r="HG1300" s="0"/>
      <c r="HH1300" s="0"/>
      <c r="HI1300" s="0"/>
      <c r="HJ1300" s="0"/>
      <c r="HK1300" s="0"/>
      <c r="HL1300" s="0"/>
      <c r="HM1300" s="0"/>
      <c r="HN1300" s="0"/>
      <c r="HO1300" s="0"/>
      <c r="HP1300" s="0"/>
      <c r="HQ1300" s="0"/>
      <c r="HR1300" s="0"/>
      <c r="HS1300" s="0"/>
      <c r="HT1300" s="0"/>
      <c r="HU1300" s="0"/>
      <c r="HV1300" s="0"/>
      <c r="HW1300" s="0"/>
      <c r="HX1300" s="0"/>
      <c r="HY1300" s="0"/>
      <c r="HZ1300" s="0"/>
      <c r="IA1300" s="0"/>
      <c r="IB1300" s="0"/>
      <c r="IC1300" s="0"/>
      <c r="ID1300" s="0"/>
      <c r="IE1300" s="0"/>
      <c r="IF1300" s="0"/>
      <c r="IG1300" s="0"/>
      <c r="IH1300" s="0"/>
      <c r="II1300" s="0"/>
      <c r="IJ1300" s="0"/>
      <c r="IK1300" s="0"/>
      <c r="IL1300" s="0"/>
      <c r="IM1300" s="0"/>
      <c r="IN1300" s="0"/>
      <c r="IO1300" s="0"/>
      <c r="IP1300" s="0"/>
      <c r="IQ1300" s="0"/>
      <c r="IR1300" s="0"/>
      <c r="IS1300" s="0"/>
      <c r="IT1300" s="0"/>
      <c r="IU1300" s="0"/>
      <c r="IV1300" s="0"/>
    </row>
    <row r="1301" customFormat="false" ht="17.25" hidden="false" customHeight="true" outlineLevel="0" collapsed="false">
      <c r="A1301" s="1471" t="s">
        <v>941</v>
      </c>
      <c r="B1301" s="1468"/>
      <c r="C1301" s="1468"/>
      <c r="D1301" s="1468"/>
      <c r="E1301" s="1472"/>
      <c r="F1301" s="1470" t="n">
        <f aca="false">E1301/$E$1304</f>
        <v>0</v>
      </c>
      <c r="G1301" s="1475"/>
      <c r="J1301" s="11"/>
      <c r="S1301" s="0"/>
      <c r="T1301" s="0"/>
      <c r="U1301" s="0"/>
      <c r="V1301" s="0"/>
      <c r="W1301" s="0"/>
      <c r="X1301" s="0"/>
      <c r="Y1301" s="0"/>
      <c r="Z1301" s="0"/>
      <c r="AA1301" s="0"/>
      <c r="AB1301" s="0"/>
      <c r="AC1301" s="0"/>
      <c r="AD1301" s="0"/>
      <c r="AE1301" s="0"/>
      <c r="AF1301" s="0"/>
      <c r="AG1301" s="0"/>
      <c r="AH1301" s="0"/>
      <c r="AI1301" s="0"/>
      <c r="AJ1301" s="0"/>
      <c r="AK1301" s="0"/>
      <c r="AL1301" s="0"/>
      <c r="AM1301" s="0"/>
      <c r="AN1301" s="0"/>
      <c r="AO1301" s="0"/>
      <c r="AP1301" s="0"/>
      <c r="AQ1301" s="0"/>
      <c r="AR1301" s="0"/>
      <c r="AS1301" s="0"/>
      <c r="AT1301" s="0"/>
      <c r="AU1301" s="0"/>
      <c r="AV1301" s="0"/>
      <c r="AW1301" s="0"/>
      <c r="AX1301" s="0"/>
      <c r="AY1301" s="0"/>
      <c r="AZ1301" s="0"/>
      <c r="BA1301" s="0"/>
      <c r="BB1301" s="0"/>
      <c r="BC1301" s="0"/>
      <c r="BD1301" s="0"/>
      <c r="BE1301" s="0"/>
      <c r="BF1301" s="0"/>
      <c r="BG1301" s="0"/>
      <c r="BH1301" s="0"/>
      <c r="BI1301" s="0"/>
      <c r="BJ1301" s="0"/>
      <c r="BK1301" s="0"/>
      <c r="BL1301" s="0"/>
      <c r="BM1301" s="0"/>
      <c r="BN1301" s="0"/>
      <c r="BO1301" s="0"/>
      <c r="BP1301" s="0"/>
      <c r="BQ1301" s="0"/>
      <c r="BR1301" s="0"/>
      <c r="BS1301" s="0"/>
      <c r="BT1301" s="0"/>
      <c r="BU1301" s="0"/>
      <c r="BV1301" s="0"/>
      <c r="BW1301" s="0"/>
      <c r="BX1301" s="0"/>
      <c r="BY1301" s="0"/>
      <c r="BZ1301" s="0"/>
      <c r="CA1301" s="0"/>
      <c r="CB1301" s="0"/>
      <c r="CC1301" s="0"/>
      <c r="CD1301" s="0"/>
      <c r="CE1301" s="0"/>
      <c r="CF1301" s="0"/>
      <c r="CG1301" s="0"/>
      <c r="CH1301" s="0"/>
      <c r="CI1301" s="0"/>
      <c r="CJ1301" s="0"/>
      <c r="CK1301" s="0"/>
      <c r="CL1301" s="0"/>
      <c r="CM1301" s="0"/>
      <c r="CN1301" s="0"/>
      <c r="CO1301" s="0"/>
      <c r="CP1301" s="0"/>
      <c r="CQ1301" s="0"/>
      <c r="CR1301" s="0"/>
      <c r="CS1301" s="0"/>
      <c r="CT1301" s="0"/>
      <c r="CU1301" s="0"/>
      <c r="CV1301" s="0"/>
      <c r="CW1301" s="0"/>
      <c r="CX1301" s="0"/>
      <c r="CY1301" s="0"/>
      <c r="CZ1301" s="0"/>
      <c r="DA1301" s="0"/>
      <c r="DB1301" s="0"/>
      <c r="DC1301" s="0"/>
      <c r="DD1301" s="0"/>
      <c r="DE1301" s="0"/>
      <c r="DF1301" s="0"/>
      <c r="DG1301" s="0"/>
      <c r="DH1301" s="0"/>
      <c r="DI1301" s="0"/>
      <c r="DJ1301" s="0"/>
      <c r="DK1301" s="0"/>
      <c r="DL1301" s="0"/>
      <c r="DM1301" s="0"/>
      <c r="DN1301" s="0"/>
      <c r="DO1301" s="0"/>
      <c r="DP1301" s="0"/>
      <c r="DQ1301" s="0"/>
      <c r="DR1301" s="0"/>
      <c r="DS1301" s="0"/>
      <c r="DT1301" s="0"/>
      <c r="DU1301" s="0"/>
      <c r="DV1301" s="0"/>
      <c r="DW1301" s="0"/>
      <c r="DX1301" s="0"/>
      <c r="DY1301" s="0"/>
      <c r="DZ1301" s="0"/>
      <c r="EA1301" s="0"/>
      <c r="EB1301" s="0"/>
      <c r="EC1301" s="0"/>
      <c r="ED1301" s="0"/>
      <c r="EE1301" s="0"/>
      <c r="EF1301" s="0"/>
      <c r="EG1301" s="0"/>
      <c r="EH1301" s="0"/>
      <c r="EI1301" s="0"/>
      <c r="EJ1301" s="0"/>
      <c r="EK1301" s="0"/>
      <c r="EL1301" s="0"/>
      <c r="EM1301" s="0"/>
      <c r="EN1301" s="0"/>
      <c r="EO1301" s="0"/>
      <c r="EP1301" s="0"/>
      <c r="EQ1301" s="0"/>
      <c r="ER1301" s="0"/>
      <c r="ES1301" s="0"/>
      <c r="ET1301" s="0"/>
      <c r="EU1301" s="0"/>
      <c r="EV1301" s="0"/>
      <c r="EW1301" s="0"/>
      <c r="EX1301" s="0"/>
      <c r="EY1301" s="0"/>
      <c r="EZ1301" s="0"/>
      <c r="FA1301" s="0"/>
      <c r="FB1301" s="0"/>
      <c r="FC1301" s="0"/>
      <c r="FD1301" s="0"/>
      <c r="FE1301" s="0"/>
      <c r="FF1301" s="0"/>
      <c r="FG1301" s="0"/>
      <c r="FH1301" s="0"/>
      <c r="FI1301" s="0"/>
      <c r="FJ1301" s="0"/>
      <c r="FK1301" s="0"/>
      <c r="FL1301" s="0"/>
      <c r="FM1301" s="0"/>
      <c r="FN1301" s="0"/>
      <c r="FO1301" s="0"/>
      <c r="FP1301" s="0"/>
      <c r="FQ1301" s="0"/>
      <c r="FR1301" s="0"/>
      <c r="FS1301" s="0"/>
      <c r="FT1301" s="0"/>
      <c r="FU1301" s="0"/>
      <c r="FV1301" s="0"/>
      <c r="FW1301" s="0"/>
      <c r="FX1301" s="0"/>
      <c r="FY1301" s="0"/>
      <c r="FZ1301" s="0"/>
      <c r="GA1301" s="0"/>
      <c r="GB1301" s="0"/>
      <c r="GC1301" s="0"/>
      <c r="GD1301" s="0"/>
      <c r="GE1301" s="0"/>
      <c r="GF1301" s="0"/>
      <c r="GG1301" s="0"/>
      <c r="GH1301" s="0"/>
      <c r="GI1301" s="0"/>
      <c r="GJ1301" s="0"/>
      <c r="GK1301" s="0"/>
      <c r="GL1301" s="0"/>
      <c r="GM1301" s="0"/>
      <c r="GN1301" s="0"/>
      <c r="GO1301" s="0"/>
      <c r="GP1301" s="0"/>
      <c r="GQ1301" s="0"/>
      <c r="GR1301" s="0"/>
      <c r="GS1301" s="0"/>
      <c r="GT1301" s="0"/>
      <c r="GU1301" s="0"/>
      <c r="GV1301" s="0"/>
      <c r="GW1301" s="0"/>
      <c r="GX1301" s="0"/>
      <c r="GY1301" s="0"/>
      <c r="GZ1301" s="0"/>
      <c r="HA1301" s="0"/>
      <c r="HB1301" s="0"/>
      <c r="HC1301" s="0"/>
      <c r="HD1301" s="0"/>
      <c r="HE1301" s="0"/>
      <c r="HF1301" s="0"/>
      <c r="HG1301" s="0"/>
      <c r="HH1301" s="0"/>
      <c r="HI1301" s="0"/>
      <c r="HJ1301" s="0"/>
      <c r="HK1301" s="0"/>
      <c r="HL1301" s="0"/>
      <c r="HM1301" s="0"/>
      <c r="HN1301" s="0"/>
      <c r="HO1301" s="0"/>
      <c r="HP1301" s="0"/>
      <c r="HQ1301" s="0"/>
      <c r="HR1301" s="0"/>
      <c r="HS1301" s="0"/>
      <c r="HT1301" s="0"/>
      <c r="HU1301" s="0"/>
      <c r="HV1301" s="0"/>
      <c r="HW1301" s="0"/>
      <c r="HX1301" s="0"/>
      <c r="HY1301" s="0"/>
      <c r="HZ1301" s="0"/>
      <c r="IA1301" s="0"/>
      <c r="IB1301" s="0"/>
      <c r="IC1301" s="0"/>
      <c r="ID1301" s="0"/>
      <c r="IE1301" s="0"/>
      <c r="IF1301" s="0"/>
      <c r="IG1301" s="0"/>
      <c r="IH1301" s="0"/>
      <c r="II1301" s="0"/>
      <c r="IJ1301" s="0"/>
      <c r="IK1301" s="0"/>
      <c r="IL1301" s="0"/>
      <c r="IM1301" s="0"/>
      <c r="IN1301" s="0"/>
      <c r="IO1301" s="0"/>
      <c r="IP1301" s="0"/>
      <c r="IQ1301" s="0"/>
      <c r="IR1301" s="0"/>
      <c r="IS1301" s="0"/>
      <c r="IT1301" s="0"/>
      <c r="IU1301" s="0"/>
      <c r="IV1301" s="0"/>
    </row>
    <row r="1302" customFormat="false" ht="17.25" hidden="false" customHeight="true" outlineLevel="0" collapsed="false">
      <c r="A1302" s="1448" t="s">
        <v>1785</v>
      </c>
      <c r="B1302" s="1449"/>
      <c r="C1302" s="1449"/>
      <c r="D1302" s="1449"/>
      <c r="E1302" s="1450" t="n">
        <f aca="false">SUM(E1303)</f>
        <v>0</v>
      </c>
      <c r="F1302" s="1451"/>
      <c r="G1302" s="1452"/>
      <c r="J1302" s="11"/>
      <c r="S1302" s="0"/>
      <c r="T1302" s="0"/>
      <c r="U1302" s="0"/>
      <c r="V1302" s="0"/>
      <c r="W1302" s="0"/>
      <c r="X1302" s="0"/>
      <c r="Y1302" s="0"/>
      <c r="Z1302" s="0"/>
      <c r="AA1302" s="0"/>
      <c r="AB1302" s="0"/>
      <c r="AC1302" s="0"/>
      <c r="AD1302" s="0"/>
      <c r="AE1302" s="0"/>
      <c r="AF1302" s="0"/>
      <c r="AG1302" s="0"/>
      <c r="AH1302" s="0"/>
      <c r="AI1302" s="0"/>
      <c r="AJ1302" s="0"/>
      <c r="AK1302" s="0"/>
      <c r="AL1302" s="0"/>
      <c r="AM1302" s="0"/>
      <c r="AN1302" s="0"/>
      <c r="AO1302" s="0"/>
      <c r="AP1302" s="0"/>
      <c r="AQ1302" s="0"/>
      <c r="AR1302" s="0"/>
      <c r="AS1302" s="0"/>
      <c r="AT1302" s="0"/>
      <c r="AU1302" s="0"/>
      <c r="AV1302" s="0"/>
      <c r="AW1302" s="0"/>
      <c r="AX1302" s="0"/>
      <c r="AY1302" s="0"/>
      <c r="AZ1302" s="0"/>
      <c r="BA1302" s="0"/>
      <c r="BB1302" s="0"/>
      <c r="BC1302" s="0"/>
      <c r="BD1302" s="0"/>
      <c r="BE1302" s="0"/>
      <c r="BF1302" s="0"/>
      <c r="BG1302" s="0"/>
      <c r="BH1302" s="0"/>
      <c r="BI1302" s="0"/>
      <c r="BJ1302" s="0"/>
      <c r="BK1302" s="0"/>
      <c r="BL1302" s="0"/>
      <c r="BM1302" s="0"/>
      <c r="BN1302" s="0"/>
      <c r="BO1302" s="0"/>
      <c r="BP1302" s="0"/>
      <c r="BQ1302" s="0"/>
      <c r="BR1302" s="0"/>
      <c r="BS1302" s="0"/>
      <c r="BT1302" s="0"/>
      <c r="BU1302" s="0"/>
      <c r="BV1302" s="0"/>
      <c r="BW1302" s="0"/>
      <c r="BX1302" s="0"/>
      <c r="BY1302" s="0"/>
      <c r="BZ1302" s="0"/>
      <c r="CA1302" s="0"/>
      <c r="CB1302" s="0"/>
      <c r="CC1302" s="0"/>
      <c r="CD1302" s="0"/>
      <c r="CE1302" s="0"/>
      <c r="CF1302" s="0"/>
      <c r="CG1302" s="0"/>
      <c r="CH1302" s="0"/>
      <c r="CI1302" s="0"/>
      <c r="CJ1302" s="0"/>
      <c r="CK1302" s="0"/>
      <c r="CL1302" s="0"/>
      <c r="CM1302" s="0"/>
      <c r="CN1302" s="0"/>
      <c r="CO1302" s="0"/>
      <c r="CP1302" s="0"/>
      <c r="CQ1302" s="0"/>
      <c r="CR1302" s="0"/>
      <c r="CS1302" s="0"/>
      <c r="CT1302" s="0"/>
      <c r="CU1302" s="0"/>
      <c r="CV1302" s="0"/>
      <c r="CW1302" s="0"/>
      <c r="CX1302" s="0"/>
      <c r="CY1302" s="0"/>
      <c r="CZ1302" s="0"/>
      <c r="DA1302" s="0"/>
      <c r="DB1302" s="0"/>
      <c r="DC1302" s="0"/>
      <c r="DD1302" s="0"/>
      <c r="DE1302" s="0"/>
      <c r="DF1302" s="0"/>
      <c r="DG1302" s="0"/>
      <c r="DH1302" s="0"/>
      <c r="DI1302" s="0"/>
      <c r="DJ1302" s="0"/>
      <c r="DK1302" s="0"/>
      <c r="DL1302" s="0"/>
      <c r="DM1302" s="0"/>
      <c r="DN1302" s="0"/>
      <c r="DO1302" s="0"/>
      <c r="DP1302" s="0"/>
      <c r="DQ1302" s="0"/>
      <c r="DR1302" s="0"/>
      <c r="DS1302" s="0"/>
      <c r="DT1302" s="0"/>
      <c r="DU1302" s="0"/>
      <c r="DV1302" s="0"/>
      <c r="DW1302" s="0"/>
      <c r="DX1302" s="0"/>
      <c r="DY1302" s="0"/>
      <c r="DZ1302" s="0"/>
      <c r="EA1302" s="0"/>
      <c r="EB1302" s="0"/>
      <c r="EC1302" s="0"/>
      <c r="ED1302" s="0"/>
      <c r="EE1302" s="0"/>
      <c r="EF1302" s="0"/>
      <c r="EG1302" s="0"/>
      <c r="EH1302" s="0"/>
      <c r="EI1302" s="0"/>
      <c r="EJ1302" s="0"/>
      <c r="EK1302" s="0"/>
      <c r="EL1302" s="0"/>
      <c r="EM1302" s="0"/>
      <c r="EN1302" s="0"/>
      <c r="EO1302" s="0"/>
      <c r="EP1302" s="0"/>
      <c r="EQ1302" s="0"/>
      <c r="ER1302" s="0"/>
      <c r="ES1302" s="0"/>
      <c r="ET1302" s="0"/>
      <c r="EU1302" s="0"/>
      <c r="EV1302" s="0"/>
      <c r="EW1302" s="0"/>
      <c r="EX1302" s="0"/>
      <c r="EY1302" s="0"/>
      <c r="EZ1302" s="0"/>
      <c r="FA1302" s="0"/>
      <c r="FB1302" s="0"/>
      <c r="FC1302" s="0"/>
      <c r="FD1302" s="0"/>
      <c r="FE1302" s="0"/>
      <c r="FF1302" s="0"/>
      <c r="FG1302" s="0"/>
      <c r="FH1302" s="0"/>
      <c r="FI1302" s="0"/>
      <c r="FJ1302" s="0"/>
      <c r="FK1302" s="0"/>
      <c r="FL1302" s="0"/>
      <c r="FM1302" s="0"/>
      <c r="FN1302" s="0"/>
      <c r="FO1302" s="0"/>
      <c r="FP1302" s="0"/>
      <c r="FQ1302" s="0"/>
      <c r="FR1302" s="0"/>
      <c r="FS1302" s="0"/>
      <c r="FT1302" s="0"/>
      <c r="FU1302" s="0"/>
      <c r="FV1302" s="0"/>
      <c r="FW1302" s="0"/>
      <c r="FX1302" s="0"/>
      <c r="FY1302" s="0"/>
      <c r="FZ1302" s="0"/>
      <c r="GA1302" s="0"/>
      <c r="GB1302" s="0"/>
      <c r="GC1302" s="0"/>
      <c r="GD1302" s="0"/>
      <c r="GE1302" s="0"/>
      <c r="GF1302" s="0"/>
      <c r="GG1302" s="0"/>
      <c r="GH1302" s="0"/>
      <c r="GI1302" s="0"/>
      <c r="GJ1302" s="0"/>
      <c r="GK1302" s="0"/>
      <c r="GL1302" s="0"/>
      <c r="GM1302" s="0"/>
      <c r="GN1302" s="0"/>
      <c r="GO1302" s="0"/>
      <c r="GP1302" s="0"/>
      <c r="GQ1302" s="0"/>
      <c r="GR1302" s="0"/>
      <c r="GS1302" s="0"/>
      <c r="GT1302" s="0"/>
      <c r="GU1302" s="0"/>
      <c r="GV1302" s="0"/>
      <c r="GW1302" s="0"/>
      <c r="GX1302" s="0"/>
      <c r="GY1302" s="0"/>
      <c r="GZ1302" s="0"/>
      <c r="HA1302" s="0"/>
      <c r="HB1302" s="0"/>
      <c r="HC1302" s="0"/>
      <c r="HD1302" s="0"/>
      <c r="HE1302" s="0"/>
      <c r="HF1302" s="0"/>
      <c r="HG1302" s="0"/>
      <c r="HH1302" s="0"/>
      <c r="HI1302" s="0"/>
      <c r="HJ1302" s="0"/>
      <c r="HK1302" s="0"/>
      <c r="HL1302" s="0"/>
      <c r="HM1302" s="0"/>
      <c r="HN1302" s="0"/>
      <c r="HO1302" s="0"/>
      <c r="HP1302" s="0"/>
      <c r="HQ1302" s="0"/>
      <c r="HR1302" s="0"/>
      <c r="HS1302" s="0"/>
      <c r="HT1302" s="0"/>
      <c r="HU1302" s="0"/>
      <c r="HV1302" s="0"/>
      <c r="HW1302" s="0"/>
      <c r="HX1302" s="0"/>
      <c r="HY1302" s="0"/>
      <c r="HZ1302" s="0"/>
      <c r="IA1302" s="0"/>
      <c r="IB1302" s="0"/>
      <c r="IC1302" s="0"/>
      <c r="ID1302" s="0"/>
      <c r="IE1302" s="0"/>
      <c r="IF1302" s="0"/>
      <c r="IG1302" s="0"/>
      <c r="IH1302" s="0"/>
      <c r="II1302" s="0"/>
      <c r="IJ1302" s="0"/>
      <c r="IK1302" s="0"/>
      <c r="IL1302" s="0"/>
      <c r="IM1302" s="0"/>
      <c r="IN1302" s="0"/>
      <c r="IO1302" s="0"/>
      <c r="IP1302" s="0"/>
      <c r="IQ1302" s="0"/>
      <c r="IR1302" s="0"/>
      <c r="IS1302" s="0"/>
      <c r="IT1302" s="0"/>
      <c r="IU1302" s="0"/>
      <c r="IV1302" s="0"/>
    </row>
    <row r="1303" s="11" customFormat="true" ht="17.25" hidden="false" customHeight="true" outlineLevel="0" collapsed="false">
      <c r="A1303" s="1471" t="s">
        <v>943</v>
      </c>
      <c r="B1303" s="1468"/>
      <c r="C1303" s="1468"/>
      <c r="D1303" s="1468"/>
      <c r="E1303" s="1472"/>
      <c r="F1303" s="1470" t="n">
        <f aca="false">E1303/$E$1304</f>
        <v>0</v>
      </c>
      <c r="G1303" s="1475"/>
      <c r="S1303" s="0"/>
      <c r="T1303" s="0"/>
      <c r="U1303" s="0"/>
      <c r="V1303" s="0"/>
      <c r="W1303" s="0"/>
      <c r="X1303" s="0"/>
      <c r="Y1303" s="0"/>
      <c r="Z1303" s="0"/>
      <c r="AA1303" s="0"/>
      <c r="AB1303" s="0"/>
      <c r="AC1303" s="0"/>
      <c r="AD1303" s="0"/>
      <c r="AE1303" s="0"/>
      <c r="AF1303" s="0"/>
      <c r="AG1303" s="0"/>
      <c r="AH1303" s="0"/>
      <c r="AI1303" s="0"/>
      <c r="AJ1303" s="0"/>
      <c r="AK1303" s="0"/>
      <c r="AL1303" s="0"/>
      <c r="AM1303" s="0"/>
      <c r="AN1303" s="0"/>
      <c r="AO1303" s="0"/>
      <c r="AP1303" s="0"/>
      <c r="AQ1303" s="0"/>
      <c r="AR1303" s="0"/>
      <c r="AS1303" s="0"/>
      <c r="AT1303" s="0"/>
      <c r="AU1303" s="0"/>
      <c r="AV1303" s="0"/>
      <c r="AW1303" s="0"/>
      <c r="AX1303" s="0"/>
      <c r="AY1303" s="0"/>
      <c r="AZ1303" s="0"/>
      <c r="BA1303" s="0"/>
      <c r="BB1303" s="0"/>
      <c r="BC1303" s="0"/>
      <c r="BD1303" s="0"/>
      <c r="BE1303" s="0"/>
      <c r="BF1303" s="0"/>
      <c r="BG1303" s="0"/>
      <c r="BH1303" s="0"/>
      <c r="BI1303" s="0"/>
      <c r="BJ1303" s="0"/>
      <c r="BK1303" s="0"/>
      <c r="BL1303" s="0"/>
      <c r="BM1303" s="0"/>
      <c r="BN1303" s="0"/>
      <c r="BO1303" s="0"/>
      <c r="BP1303" s="0"/>
      <c r="BQ1303" s="0"/>
      <c r="BR1303" s="0"/>
      <c r="BS1303" s="0"/>
      <c r="BT1303" s="0"/>
      <c r="BU1303" s="0"/>
      <c r="BV1303" s="0"/>
      <c r="BW1303" s="0"/>
      <c r="BX1303" s="0"/>
      <c r="BY1303" s="0"/>
      <c r="BZ1303" s="0"/>
      <c r="CA1303" s="0"/>
      <c r="CB1303" s="0"/>
      <c r="CC1303" s="0"/>
      <c r="CD1303" s="0"/>
      <c r="CE1303" s="0"/>
      <c r="CF1303" s="0"/>
      <c r="CG1303" s="0"/>
      <c r="CH1303" s="0"/>
      <c r="CI1303" s="0"/>
      <c r="CJ1303" s="0"/>
      <c r="CK1303" s="0"/>
      <c r="CL1303" s="0"/>
      <c r="CM1303" s="0"/>
      <c r="CN1303" s="0"/>
      <c r="CO1303" s="0"/>
      <c r="CP1303" s="0"/>
      <c r="CQ1303" s="0"/>
      <c r="CR1303" s="0"/>
      <c r="CS1303" s="0"/>
      <c r="CT1303" s="0"/>
      <c r="CU1303" s="0"/>
      <c r="CV1303" s="0"/>
      <c r="CW1303" s="0"/>
      <c r="CX1303" s="0"/>
      <c r="CY1303" s="0"/>
      <c r="CZ1303" s="0"/>
      <c r="DA1303" s="0"/>
      <c r="DB1303" s="0"/>
      <c r="DC1303" s="0"/>
      <c r="DD1303" s="0"/>
      <c r="DE1303" s="0"/>
      <c r="DF1303" s="0"/>
      <c r="DG1303" s="0"/>
      <c r="DH1303" s="0"/>
      <c r="DI1303" s="0"/>
      <c r="DJ1303" s="0"/>
      <c r="DK1303" s="0"/>
      <c r="DL1303" s="0"/>
      <c r="DM1303" s="0"/>
      <c r="DN1303" s="0"/>
      <c r="DO1303" s="0"/>
      <c r="DP1303" s="0"/>
      <c r="DQ1303" s="0"/>
      <c r="DR1303" s="0"/>
      <c r="DS1303" s="0"/>
      <c r="DT1303" s="0"/>
      <c r="DU1303" s="0"/>
      <c r="DV1303" s="0"/>
      <c r="DW1303" s="0"/>
      <c r="DX1303" s="0"/>
      <c r="DY1303" s="0"/>
      <c r="DZ1303" s="0"/>
      <c r="EA1303" s="0"/>
      <c r="EB1303" s="0"/>
      <c r="EC1303" s="0"/>
      <c r="ED1303" s="0"/>
      <c r="EE1303" s="0"/>
      <c r="EF1303" s="0"/>
      <c r="EG1303" s="0"/>
      <c r="EH1303" s="0"/>
      <c r="EI1303" s="0"/>
      <c r="EJ1303" s="0"/>
      <c r="EK1303" s="0"/>
      <c r="EL1303" s="0"/>
      <c r="EM1303" s="0"/>
      <c r="EN1303" s="0"/>
      <c r="EO1303" s="0"/>
      <c r="EP1303" s="0"/>
      <c r="EQ1303" s="0"/>
      <c r="ER1303" s="0"/>
      <c r="ES1303" s="0"/>
      <c r="ET1303" s="0"/>
      <c r="EU1303" s="0"/>
      <c r="EV1303" s="0"/>
      <c r="EW1303" s="0"/>
      <c r="EX1303" s="0"/>
      <c r="EY1303" s="0"/>
      <c r="EZ1303" s="0"/>
      <c r="FA1303" s="0"/>
      <c r="FB1303" s="0"/>
      <c r="FC1303" s="0"/>
      <c r="FD1303" s="0"/>
      <c r="FE1303" s="0"/>
      <c r="FF1303" s="0"/>
      <c r="FG1303" s="0"/>
      <c r="FH1303" s="0"/>
      <c r="FI1303" s="0"/>
      <c r="FJ1303" s="0"/>
      <c r="FK1303" s="0"/>
      <c r="FL1303" s="0"/>
      <c r="FM1303" s="0"/>
      <c r="FN1303" s="0"/>
      <c r="FO1303" s="0"/>
      <c r="FP1303" s="0"/>
      <c r="FQ1303" s="0"/>
      <c r="FR1303" s="0"/>
      <c r="FS1303" s="0"/>
      <c r="FT1303" s="0"/>
      <c r="FU1303" s="0"/>
      <c r="FV1303" s="0"/>
      <c r="FW1303" s="0"/>
      <c r="FX1303" s="0"/>
      <c r="FY1303" s="0"/>
      <c r="FZ1303" s="0"/>
      <c r="GA1303" s="0"/>
      <c r="GB1303" s="0"/>
      <c r="GC1303" s="0"/>
      <c r="GD1303" s="0"/>
      <c r="GE1303" s="0"/>
      <c r="GF1303" s="0"/>
      <c r="GG1303" s="0"/>
      <c r="GH1303" s="0"/>
      <c r="GI1303" s="0"/>
      <c r="GJ1303" s="0"/>
      <c r="GK1303" s="0"/>
      <c r="GL1303" s="0"/>
      <c r="GM1303" s="0"/>
      <c r="GN1303" s="0"/>
      <c r="GO1303" s="0"/>
      <c r="GP1303" s="0"/>
      <c r="GQ1303" s="0"/>
      <c r="GR1303" s="0"/>
      <c r="GS1303" s="0"/>
      <c r="GT1303" s="0"/>
      <c r="GU1303" s="0"/>
      <c r="GV1303" s="0"/>
      <c r="GW1303" s="0"/>
      <c r="GX1303" s="0"/>
      <c r="GY1303" s="0"/>
      <c r="GZ1303" s="0"/>
      <c r="HA1303" s="0"/>
      <c r="HB1303" s="0"/>
      <c r="HC1303" s="0"/>
      <c r="HD1303" s="0"/>
      <c r="HE1303" s="0"/>
      <c r="HF1303" s="0"/>
      <c r="HG1303" s="0"/>
      <c r="HH1303" s="0"/>
      <c r="HI1303" s="0"/>
      <c r="HJ1303" s="0"/>
      <c r="HK1303" s="0"/>
      <c r="HL1303" s="0"/>
      <c r="HM1303" s="0"/>
      <c r="HN1303" s="0"/>
      <c r="HO1303" s="0"/>
      <c r="HP1303" s="0"/>
      <c r="HQ1303" s="0"/>
      <c r="HR1303" s="0"/>
      <c r="HS1303" s="0"/>
      <c r="HT1303" s="0"/>
      <c r="HU1303" s="0"/>
      <c r="HV1303" s="0"/>
      <c r="HW1303" s="0"/>
      <c r="HX1303" s="0"/>
      <c r="HY1303" s="0"/>
      <c r="HZ1303" s="0"/>
      <c r="IA1303" s="0"/>
      <c r="IB1303" s="0"/>
      <c r="IC1303" s="0"/>
      <c r="ID1303" s="0"/>
      <c r="IE1303" s="0"/>
      <c r="IF1303" s="0"/>
      <c r="IG1303" s="0"/>
      <c r="IH1303" s="0"/>
      <c r="II1303" s="0"/>
      <c r="IJ1303" s="0"/>
      <c r="IK1303" s="0"/>
      <c r="IL1303" s="0"/>
      <c r="IM1303" s="0"/>
      <c r="IN1303" s="0"/>
      <c r="IO1303" s="0"/>
      <c r="IP1303" s="0"/>
      <c r="IQ1303" s="0"/>
      <c r="IR1303" s="0"/>
      <c r="IS1303" s="0"/>
      <c r="IT1303" s="0"/>
      <c r="IU1303" s="0"/>
      <c r="IV1303" s="0"/>
    </row>
    <row r="1304" customFormat="false" ht="15.75" hidden="false" customHeight="true" outlineLevel="0" collapsed="false">
      <c r="B1304" s="415"/>
      <c r="C1304" s="54"/>
      <c r="D1304" s="951" t="s">
        <v>1786</v>
      </c>
      <c r="E1304" s="1478" t="n">
        <f aca="false">SUM(E1245,E1250,E1256,E1261,E1266,E1275,E1279,E1282,E1287,E1292,E1295,E1299,E1302,)</f>
        <v>360</v>
      </c>
      <c r="F1304" s="977" t="s">
        <v>1787</v>
      </c>
      <c r="G1304" s="1478" t="n">
        <f aca="false">SUM(G1245,G1250,G1256,G1261,G1266,G1275,G1279,G1282,G1287,G1292,G1295,G1299,G1302)</f>
        <v>360</v>
      </c>
      <c r="J1304" s="11"/>
      <c r="M1304" s="0"/>
      <c r="N1304" s="0"/>
      <c r="O1304" s="0"/>
      <c r="P1304" s="0"/>
      <c r="Q1304" s="0"/>
      <c r="R1304" s="0"/>
      <c r="S1304" s="0"/>
      <c r="T1304" s="0"/>
      <c r="U1304" s="0"/>
      <c r="V1304" s="0"/>
      <c r="W1304" s="0"/>
      <c r="X1304" s="0"/>
      <c r="Y1304" s="0"/>
      <c r="Z1304" s="0"/>
      <c r="AA1304" s="0"/>
      <c r="AB1304" s="0"/>
      <c r="AC1304" s="0"/>
      <c r="AD1304" s="0"/>
      <c r="AE1304" s="0"/>
      <c r="AF1304" s="0"/>
      <c r="AG1304" s="0"/>
      <c r="AH1304" s="0"/>
      <c r="AI1304" s="0"/>
      <c r="AJ1304" s="0"/>
      <c r="AK1304" s="0"/>
      <c r="AL1304" s="0"/>
      <c r="AM1304" s="0"/>
      <c r="AN1304" s="0"/>
      <c r="AO1304" s="0"/>
      <c r="AP1304" s="0"/>
      <c r="AQ1304" s="0"/>
      <c r="AR1304" s="0"/>
      <c r="AS1304" s="0"/>
      <c r="AT1304" s="0"/>
      <c r="AU1304" s="0"/>
      <c r="AV1304" s="0"/>
      <c r="AW1304" s="0"/>
      <c r="AX1304" s="0"/>
      <c r="AY1304" s="0"/>
      <c r="AZ1304" s="0"/>
      <c r="BA1304" s="0"/>
      <c r="BB1304" s="0"/>
      <c r="BC1304" s="0"/>
      <c r="BD1304" s="0"/>
      <c r="BE1304" s="0"/>
      <c r="BF1304" s="0"/>
      <c r="BG1304" s="0"/>
      <c r="BH1304" s="0"/>
      <c r="BI1304" s="0"/>
      <c r="BJ1304" s="0"/>
      <c r="BK1304" s="0"/>
      <c r="BL1304" s="0"/>
      <c r="BM1304" s="0"/>
      <c r="BN1304" s="0"/>
      <c r="BO1304" s="0"/>
      <c r="BP1304" s="0"/>
      <c r="BQ1304" s="0"/>
      <c r="BR1304" s="0"/>
      <c r="BS1304" s="0"/>
      <c r="BT1304" s="0"/>
      <c r="BU1304" s="0"/>
      <c r="BV1304" s="0"/>
      <c r="BW1304" s="0"/>
      <c r="BX1304" s="0"/>
      <c r="BY1304" s="0"/>
      <c r="BZ1304" s="0"/>
      <c r="CA1304" s="0"/>
      <c r="CB1304" s="0"/>
      <c r="CC1304" s="0"/>
      <c r="CD1304" s="0"/>
      <c r="CE1304" s="0"/>
      <c r="CF1304" s="0"/>
      <c r="CG1304" s="0"/>
      <c r="CH1304" s="0"/>
      <c r="CI1304" s="0"/>
      <c r="CJ1304" s="0"/>
      <c r="CK1304" s="0"/>
      <c r="CL1304" s="0"/>
      <c r="CM1304" s="0"/>
      <c r="CN1304" s="0"/>
      <c r="CO1304" s="0"/>
      <c r="CP1304" s="0"/>
      <c r="CQ1304" s="0"/>
      <c r="CR1304" s="0"/>
      <c r="CS1304" s="0"/>
      <c r="CT1304" s="0"/>
      <c r="CU1304" s="0"/>
      <c r="CV1304" s="0"/>
      <c r="CW1304" s="0"/>
      <c r="CX1304" s="0"/>
      <c r="CY1304" s="0"/>
      <c r="CZ1304" s="0"/>
      <c r="DA1304" s="0"/>
      <c r="DB1304" s="0"/>
      <c r="DC1304" s="0"/>
      <c r="DD1304" s="0"/>
      <c r="DE1304" s="0"/>
      <c r="DF1304" s="0"/>
      <c r="DG1304" s="0"/>
      <c r="DH1304" s="0"/>
      <c r="DI1304" s="0"/>
      <c r="DJ1304" s="0"/>
      <c r="DK1304" s="0"/>
      <c r="DL1304" s="0"/>
      <c r="DM1304" s="0"/>
      <c r="DN1304" s="0"/>
      <c r="DO1304" s="0"/>
      <c r="DP1304" s="0"/>
      <c r="DQ1304" s="0"/>
      <c r="DR1304" s="0"/>
      <c r="DS1304" s="0"/>
      <c r="DT1304" s="0"/>
      <c r="DU1304" s="0"/>
      <c r="DV1304" s="0"/>
      <c r="DW1304" s="0"/>
      <c r="DX1304" s="0"/>
      <c r="DY1304" s="0"/>
      <c r="DZ1304" s="0"/>
      <c r="EA1304" s="0"/>
      <c r="EB1304" s="0"/>
      <c r="EC1304" s="0"/>
      <c r="ED1304" s="0"/>
      <c r="EE1304" s="0"/>
      <c r="EF1304" s="0"/>
      <c r="EG1304" s="0"/>
      <c r="EH1304" s="0"/>
      <c r="EI1304" s="0"/>
      <c r="EJ1304" s="0"/>
      <c r="EK1304" s="0"/>
      <c r="EL1304" s="0"/>
      <c r="EM1304" s="0"/>
      <c r="EN1304" s="0"/>
      <c r="EO1304" s="0"/>
      <c r="EP1304" s="0"/>
      <c r="EQ1304" s="0"/>
      <c r="ER1304" s="0"/>
      <c r="ES1304" s="0"/>
      <c r="ET1304" s="0"/>
      <c r="EU1304" s="0"/>
      <c r="EV1304" s="0"/>
      <c r="EW1304" s="0"/>
      <c r="EX1304" s="0"/>
      <c r="EY1304" s="0"/>
      <c r="EZ1304" s="0"/>
      <c r="FA1304" s="0"/>
      <c r="FB1304" s="0"/>
      <c r="FC1304" s="0"/>
      <c r="FD1304" s="0"/>
      <c r="FE1304" s="0"/>
      <c r="FF1304" s="0"/>
      <c r="FG1304" s="0"/>
      <c r="FH1304" s="0"/>
      <c r="FI1304" s="0"/>
      <c r="FJ1304" s="0"/>
      <c r="FK1304" s="0"/>
      <c r="FL1304" s="0"/>
      <c r="FM1304" s="0"/>
      <c r="FN1304" s="0"/>
      <c r="FO1304" s="0"/>
      <c r="FP1304" s="0"/>
      <c r="FQ1304" s="0"/>
      <c r="FR1304" s="0"/>
      <c r="FS1304" s="0"/>
      <c r="FT1304" s="0"/>
      <c r="FU1304" s="0"/>
      <c r="FV1304" s="0"/>
      <c r="FW1304" s="0"/>
      <c r="FX1304" s="0"/>
      <c r="FY1304" s="0"/>
      <c r="FZ1304" s="0"/>
      <c r="GA1304" s="0"/>
      <c r="GB1304" s="0"/>
      <c r="GC1304" s="0"/>
      <c r="GD1304" s="0"/>
      <c r="GE1304" s="0"/>
      <c r="GF1304" s="0"/>
      <c r="GG1304" s="0"/>
      <c r="GH1304" s="0"/>
      <c r="GI1304" s="0"/>
      <c r="GJ1304" s="0"/>
      <c r="GK1304" s="0"/>
      <c r="GL1304" s="0"/>
      <c r="GM1304" s="0"/>
      <c r="GN1304" s="0"/>
      <c r="GO1304" s="0"/>
      <c r="GP1304" s="0"/>
      <c r="GQ1304" s="0"/>
      <c r="GR1304" s="0"/>
      <c r="GS1304" s="0"/>
      <c r="GT1304" s="0"/>
      <c r="GU1304" s="0"/>
      <c r="GV1304" s="0"/>
      <c r="GW1304" s="0"/>
      <c r="GX1304" s="0"/>
      <c r="GY1304" s="0"/>
      <c r="GZ1304" s="0"/>
      <c r="HA1304" s="0"/>
      <c r="HB1304" s="0"/>
      <c r="HC1304" s="0"/>
      <c r="HD1304" s="0"/>
      <c r="HE1304" s="0"/>
      <c r="HF1304" s="0"/>
      <c r="HG1304" s="0"/>
      <c r="HH1304" s="0"/>
      <c r="HI1304" s="0"/>
      <c r="HJ1304" s="0"/>
      <c r="HK1304" s="0"/>
      <c r="HL1304" s="0"/>
      <c r="HM1304" s="0"/>
      <c r="HN1304" s="0"/>
      <c r="HO1304" s="0"/>
      <c r="HP1304" s="0"/>
      <c r="HQ1304" s="0"/>
      <c r="HR1304" s="0"/>
      <c r="HS1304" s="0"/>
      <c r="HT1304" s="0"/>
      <c r="HU1304" s="0"/>
      <c r="HV1304" s="0"/>
      <c r="HW1304" s="0"/>
      <c r="HX1304" s="0"/>
      <c r="HY1304" s="0"/>
      <c r="HZ1304" s="0"/>
      <c r="IA1304" s="0"/>
      <c r="IB1304" s="0"/>
      <c r="IC1304" s="0"/>
      <c r="ID1304" s="0"/>
      <c r="IE1304" s="0"/>
      <c r="IF1304" s="0"/>
      <c r="IG1304" s="0"/>
      <c r="IH1304" s="0"/>
      <c r="II1304" s="0"/>
      <c r="IJ1304" s="0"/>
      <c r="IK1304" s="0"/>
      <c r="IL1304" s="0"/>
      <c r="IM1304" s="0"/>
      <c r="IN1304" s="0"/>
      <c r="IO1304" s="0"/>
      <c r="IP1304" s="0"/>
      <c r="IQ1304" s="0"/>
      <c r="IR1304" s="0"/>
      <c r="IS1304" s="0"/>
      <c r="IT1304" s="0"/>
      <c r="IU1304" s="0"/>
      <c r="IV1304" s="0"/>
    </row>
    <row r="1305" customFormat="false" ht="15" hidden="false" customHeight="true" outlineLevel="0" collapsed="false">
      <c r="B1305" s="415"/>
      <c r="C1305" s="456"/>
      <c r="D1305" s="456"/>
      <c r="E1305" s="951"/>
      <c r="F1305" s="411"/>
      <c r="G1305" s="456"/>
      <c r="J1305" s="11"/>
      <c r="M1305" s="0"/>
      <c r="N1305" s="0"/>
      <c r="O1305" s="0"/>
      <c r="P1305" s="0"/>
      <c r="Q1305" s="0"/>
      <c r="R1305" s="0"/>
      <c r="S1305" s="0"/>
      <c r="T1305" s="0"/>
      <c r="U1305" s="0"/>
      <c r="V1305" s="0"/>
      <c r="W1305" s="0"/>
      <c r="X1305" s="0"/>
      <c r="Y1305" s="0"/>
      <c r="Z1305" s="0"/>
      <c r="AA1305" s="0"/>
      <c r="AB1305" s="0"/>
      <c r="AC1305" s="0"/>
      <c r="AD1305" s="0"/>
      <c r="AE1305" s="0"/>
      <c r="AF1305" s="0"/>
      <c r="AG1305" s="0"/>
      <c r="AH1305" s="0"/>
      <c r="AI1305" s="0"/>
      <c r="AJ1305" s="0"/>
      <c r="AK1305" s="0"/>
      <c r="AL1305" s="0"/>
      <c r="AM1305" s="0"/>
      <c r="AN1305" s="0"/>
      <c r="AO1305" s="0"/>
      <c r="AP1305" s="0"/>
      <c r="AQ1305" s="0"/>
      <c r="AR1305" s="0"/>
      <c r="AS1305" s="0"/>
      <c r="AT1305" s="0"/>
      <c r="AU1305" s="0"/>
      <c r="AV1305" s="0"/>
      <c r="AW1305" s="0"/>
      <c r="AX1305" s="0"/>
      <c r="AY1305" s="0"/>
      <c r="AZ1305" s="0"/>
      <c r="BA1305" s="0"/>
      <c r="BB1305" s="0"/>
      <c r="BC1305" s="0"/>
      <c r="BD1305" s="0"/>
      <c r="BE1305" s="0"/>
      <c r="BF1305" s="0"/>
      <c r="BG1305" s="0"/>
      <c r="BH1305" s="0"/>
      <c r="BI1305" s="0"/>
      <c r="BJ1305" s="0"/>
      <c r="BK1305" s="0"/>
      <c r="BL1305" s="0"/>
      <c r="BM1305" s="0"/>
      <c r="BN1305" s="0"/>
      <c r="BO1305" s="0"/>
      <c r="BP1305" s="0"/>
      <c r="BQ1305" s="0"/>
      <c r="BR1305" s="0"/>
      <c r="BS1305" s="0"/>
      <c r="BT1305" s="0"/>
      <c r="BU1305" s="0"/>
      <c r="BV1305" s="0"/>
      <c r="BW1305" s="0"/>
      <c r="BX1305" s="0"/>
      <c r="BY1305" s="0"/>
      <c r="BZ1305" s="0"/>
      <c r="CA1305" s="0"/>
      <c r="CB1305" s="0"/>
      <c r="CC1305" s="0"/>
      <c r="CD1305" s="0"/>
      <c r="CE1305" s="0"/>
      <c r="CF1305" s="0"/>
      <c r="CG1305" s="0"/>
      <c r="CH1305" s="0"/>
      <c r="CI1305" s="0"/>
      <c r="CJ1305" s="0"/>
      <c r="CK1305" s="0"/>
      <c r="CL1305" s="0"/>
      <c r="CM1305" s="0"/>
      <c r="CN1305" s="0"/>
      <c r="CO1305" s="0"/>
      <c r="CP1305" s="0"/>
      <c r="CQ1305" s="0"/>
      <c r="CR1305" s="0"/>
      <c r="CS1305" s="0"/>
      <c r="CT1305" s="0"/>
      <c r="CU1305" s="0"/>
      <c r="CV1305" s="0"/>
      <c r="CW1305" s="0"/>
      <c r="CX1305" s="0"/>
      <c r="CY1305" s="0"/>
      <c r="CZ1305" s="0"/>
      <c r="DA1305" s="0"/>
      <c r="DB1305" s="0"/>
      <c r="DC1305" s="0"/>
      <c r="DD1305" s="0"/>
      <c r="DE1305" s="0"/>
      <c r="DF1305" s="0"/>
      <c r="DG1305" s="0"/>
      <c r="DH1305" s="0"/>
      <c r="DI1305" s="0"/>
      <c r="DJ1305" s="0"/>
      <c r="DK1305" s="0"/>
      <c r="DL1305" s="0"/>
      <c r="DM1305" s="0"/>
      <c r="DN1305" s="0"/>
      <c r="DO1305" s="0"/>
      <c r="DP1305" s="0"/>
      <c r="DQ1305" s="0"/>
      <c r="DR1305" s="0"/>
      <c r="DS1305" s="0"/>
      <c r="DT1305" s="0"/>
      <c r="DU1305" s="0"/>
      <c r="DV1305" s="0"/>
      <c r="DW1305" s="0"/>
      <c r="DX1305" s="0"/>
      <c r="DY1305" s="0"/>
      <c r="DZ1305" s="0"/>
      <c r="EA1305" s="0"/>
      <c r="EB1305" s="0"/>
      <c r="EC1305" s="0"/>
      <c r="ED1305" s="0"/>
      <c r="EE1305" s="0"/>
      <c r="EF1305" s="0"/>
      <c r="EG1305" s="0"/>
      <c r="EH1305" s="0"/>
      <c r="EI1305" s="0"/>
      <c r="EJ1305" s="0"/>
      <c r="EK1305" s="0"/>
      <c r="EL1305" s="0"/>
      <c r="EM1305" s="0"/>
      <c r="EN1305" s="0"/>
      <c r="EO1305" s="0"/>
      <c r="EP1305" s="0"/>
      <c r="EQ1305" s="0"/>
      <c r="ER1305" s="0"/>
      <c r="ES1305" s="0"/>
      <c r="ET1305" s="0"/>
      <c r="EU1305" s="0"/>
      <c r="EV1305" s="0"/>
      <c r="EW1305" s="0"/>
      <c r="EX1305" s="0"/>
      <c r="EY1305" s="0"/>
      <c r="EZ1305" s="0"/>
      <c r="FA1305" s="0"/>
      <c r="FB1305" s="0"/>
      <c r="FC1305" s="0"/>
      <c r="FD1305" s="0"/>
      <c r="FE1305" s="0"/>
      <c r="FF1305" s="0"/>
      <c r="FG1305" s="0"/>
      <c r="FH1305" s="0"/>
      <c r="FI1305" s="0"/>
      <c r="FJ1305" s="0"/>
      <c r="FK1305" s="0"/>
      <c r="FL1305" s="0"/>
      <c r="FM1305" s="0"/>
      <c r="FN1305" s="0"/>
      <c r="FO1305" s="0"/>
      <c r="FP1305" s="0"/>
      <c r="FQ1305" s="0"/>
      <c r="FR1305" s="0"/>
      <c r="FS1305" s="0"/>
      <c r="FT1305" s="0"/>
      <c r="FU1305" s="0"/>
      <c r="FV1305" s="0"/>
      <c r="FW1305" s="0"/>
      <c r="FX1305" s="0"/>
      <c r="FY1305" s="0"/>
      <c r="FZ1305" s="0"/>
      <c r="GA1305" s="0"/>
      <c r="GB1305" s="0"/>
      <c r="GC1305" s="0"/>
      <c r="GD1305" s="0"/>
      <c r="GE1305" s="0"/>
      <c r="GF1305" s="0"/>
      <c r="GG1305" s="0"/>
      <c r="GH1305" s="0"/>
      <c r="GI1305" s="0"/>
      <c r="GJ1305" s="0"/>
      <c r="GK1305" s="0"/>
      <c r="GL1305" s="0"/>
      <c r="GM1305" s="0"/>
      <c r="GN1305" s="0"/>
      <c r="GO1305" s="0"/>
      <c r="GP1305" s="0"/>
      <c r="GQ1305" s="0"/>
      <c r="GR1305" s="0"/>
      <c r="GS1305" s="0"/>
      <c r="GT1305" s="0"/>
      <c r="GU1305" s="0"/>
      <c r="GV1305" s="0"/>
      <c r="GW1305" s="0"/>
      <c r="GX1305" s="0"/>
      <c r="GY1305" s="0"/>
      <c r="GZ1305" s="0"/>
      <c r="HA1305" s="0"/>
      <c r="HB1305" s="0"/>
      <c r="HC1305" s="0"/>
      <c r="HD1305" s="0"/>
      <c r="HE1305" s="0"/>
      <c r="HF1305" s="0"/>
      <c r="HG1305" s="0"/>
      <c r="HH1305" s="0"/>
      <c r="HI1305" s="0"/>
      <c r="HJ1305" s="0"/>
      <c r="HK1305" s="0"/>
      <c r="HL1305" s="0"/>
      <c r="HM1305" s="0"/>
      <c r="HN1305" s="0"/>
      <c r="HO1305" s="0"/>
      <c r="HP1305" s="0"/>
      <c r="HQ1305" s="0"/>
      <c r="HR1305" s="0"/>
      <c r="HS1305" s="0"/>
      <c r="HT1305" s="0"/>
      <c r="HU1305" s="0"/>
      <c r="HV1305" s="0"/>
      <c r="HW1305" s="0"/>
      <c r="HX1305" s="0"/>
      <c r="HY1305" s="0"/>
      <c r="HZ1305" s="0"/>
      <c r="IA1305" s="0"/>
      <c r="IB1305" s="0"/>
      <c r="IC1305" s="0"/>
      <c r="ID1305" s="0"/>
      <c r="IE1305" s="0"/>
      <c r="IF1305" s="0"/>
      <c r="IG1305" s="0"/>
      <c r="IH1305" s="0"/>
      <c r="II1305" s="0"/>
      <c r="IJ1305" s="0"/>
      <c r="IK1305" s="0"/>
      <c r="IL1305" s="0"/>
      <c r="IM1305" s="0"/>
      <c r="IN1305" s="0"/>
      <c r="IO1305" s="0"/>
      <c r="IP1305" s="0"/>
      <c r="IQ1305" s="0"/>
      <c r="IR1305" s="0"/>
      <c r="IS1305" s="0"/>
      <c r="IT1305" s="0"/>
      <c r="IU1305" s="0"/>
      <c r="IV1305" s="0"/>
    </row>
    <row r="1306" customFormat="false" ht="15" hidden="false" customHeight="true" outlineLevel="0" collapsed="false">
      <c r="A1306" s="456"/>
      <c r="B1306" s="456"/>
      <c r="C1306" s="456"/>
      <c r="D1306" s="456"/>
      <c r="E1306" s="456"/>
      <c r="F1306" s="456"/>
      <c r="G1306" s="456"/>
      <c r="J1306" s="11"/>
      <c r="S1306" s="0"/>
      <c r="T1306" s="0"/>
      <c r="U1306" s="0"/>
      <c r="V1306" s="0"/>
      <c r="W1306" s="0"/>
      <c r="X1306" s="0"/>
      <c r="Y1306" s="0"/>
      <c r="Z1306" s="0"/>
      <c r="AA1306" s="0"/>
      <c r="AB1306" s="0"/>
      <c r="AC1306" s="0"/>
      <c r="AD1306" s="0"/>
      <c r="AE1306" s="0"/>
      <c r="AF1306" s="0"/>
      <c r="AG1306" s="0"/>
      <c r="AH1306" s="0"/>
      <c r="AI1306" s="0"/>
      <c r="AJ1306" s="0"/>
      <c r="AK1306" s="0"/>
      <c r="AL1306" s="0"/>
      <c r="AM1306" s="0"/>
      <c r="AN1306" s="0"/>
      <c r="AO1306" s="0"/>
      <c r="AP1306" s="0"/>
      <c r="AQ1306" s="0"/>
      <c r="AR1306" s="0"/>
      <c r="AS1306" s="0"/>
      <c r="AT1306" s="0"/>
      <c r="AU1306" s="0"/>
      <c r="AV1306" s="0"/>
      <c r="AW1306" s="0"/>
      <c r="AX1306" s="0"/>
      <c r="AY1306" s="0"/>
      <c r="AZ1306" s="0"/>
      <c r="BA1306" s="0"/>
      <c r="BB1306" s="0"/>
      <c r="BC1306" s="0"/>
      <c r="BD1306" s="0"/>
      <c r="BE1306" s="0"/>
      <c r="BF1306" s="0"/>
      <c r="BG1306" s="0"/>
      <c r="BH1306" s="0"/>
      <c r="BI1306" s="0"/>
      <c r="BJ1306" s="0"/>
      <c r="BK1306" s="0"/>
      <c r="BL1306" s="0"/>
      <c r="BM1306" s="0"/>
      <c r="BN1306" s="0"/>
      <c r="BO1306" s="0"/>
      <c r="BP1306" s="0"/>
      <c r="BQ1306" s="0"/>
      <c r="BR1306" s="0"/>
      <c r="BS1306" s="0"/>
      <c r="BT1306" s="0"/>
      <c r="BU1306" s="0"/>
      <c r="BV1306" s="0"/>
      <c r="BW1306" s="0"/>
      <c r="BX1306" s="0"/>
      <c r="BY1306" s="0"/>
      <c r="BZ1306" s="0"/>
      <c r="CA1306" s="0"/>
      <c r="CB1306" s="0"/>
      <c r="CC1306" s="0"/>
      <c r="CD1306" s="0"/>
      <c r="CE1306" s="0"/>
      <c r="CF1306" s="0"/>
      <c r="CG1306" s="0"/>
      <c r="CH1306" s="0"/>
      <c r="CI1306" s="0"/>
      <c r="CJ1306" s="0"/>
      <c r="CK1306" s="0"/>
      <c r="CL1306" s="0"/>
      <c r="CM1306" s="0"/>
      <c r="CN1306" s="0"/>
      <c r="CO1306" s="0"/>
      <c r="CP1306" s="0"/>
      <c r="CQ1306" s="0"/>
      <c r="CR1306" s="0"/>
      <c r="CS1306" s="0"/>
      <c r="CT1306" s="0"/>
      <c r="CU1306" s="0"/>
      <c r="CV1306" s="0"/>
      <c r="CW1306" s="0"/>
      <c r="CX1306" s="0"/>
      <c r="CY1306" s="0"/>
      <c r="CZ1306" s="0"/>
      <c r="DA1306" s="0"/>
      <c r="DB1306" s="0"/>
      <c r="DC1306" s="0"/>
      <c r="DD1306" s="0"/>
      <c r="DE1306" s="0"/>
      <c r="DF1306" s="0"/>
      <c r="DG1306" s="0"/>
      <c r="DH1306" s="0"/>
      <c r="DI1306" s="0"/>
      <c r="DJ1306" s="0"/>
      <c r="DK1306" s="0"/>
      <c r="DL1306" s="0"/>
      <c r="DM1306" s="0"/>
      <c r="DN1306" s="0"/>
      <c r="DO1306" s="0"/>
      <c r="DP1306" s="0"/>
      <c r="DQ1306" s="0"/>
      <c r="DR1306" s="0"/>
      <c r="DS1306" s="0"/>
      <c r="DT1306" s="0"/>
      <c r="DU1306" s="0"/>
      <c r="DV1306" s="0"/>
      <c r="DW1306" s="0"/>
      <c r="DX1306" s="0"/>
      <c r="DY1306" s="0"/>
      <c r="DZ1306" s="0"/>
      <c r="EA1306" s="0"/>
      <c r="EB1306" s="0"/>
      <c r="EC1306" s="0"/>
      <c r="ED1306" s="0"/>
      <c r="EE1306" s="0"/>
      <c r="EF1306" s="0"/>
      <c r="EG1306" s="0"/>
      <c r="EH1306" s="0"/>
      <c r="EI1306" s="0"/>
      <c r="EJ1306" s="0"/>
      <c r="EK1306" s="0"/>
      <c r="EL1306" s="0"/>
      <c r="EM1306" s="0"/>
      <c r="EN1306" s="0"/>
      <c r="EO1306" s="0"/>
      <c r="EP1306" s="0"/>
      <c r="EQ1306" s="0"/>
      <c r="ER1306" s="0"/>
      <c r="ES1306" s="0"/>
      <c r="ET1306" s="0"/>
      <c r="EU1306" s="0"/>
      <c r="EV1306" s="0"/>
      <c r="EW1306" s="0"/>
      <c r="EX1306" s="0"/>
      <c r="EY1306" s="0"/>
      <c r="EZ1306" s="0"/>
      <c r="FA1306" s="0"/>
      <c r="FB1306" s="0"/>
      <c r="FC1306" s="0"/>
      <c r="FD1306" s="0"/>
      <c r="FE1306" s="0"/>
      <c r="FF1306" s="0"/>
      <c r="FG1306" s="0"/>
      <c r="FH1306" s="0"/>
      <c r="FI1306" s="0"/>
      <c r="FJ1306" s="0"/>
      <c r="FK1306" s="0"/>
      <c r="FL1306" s="0"/>
      <c r="FM1306" s="0"/>
      <c r="FN1306" s="0"/>
      <c r="FO1306" s="0"/>
      <c r="FP1306" s="0"/>
      <c r="FQ1306" s="0"/>
      <c r="FR1306" s="0"/>
      <c r="FS1306" s="0"/>
      <c r="FT1306" s="0"/>
      <c r="FU1306" s="0"/>
      <c r="FV1306" s="0"/>
      <c r="FW1306" s="0"/>
      <c r="FX1306" s="0"/>
      <c r="FY1306" s="0"/>
      <c r="FZ1306" s="0"/>
      <c r="GA1306" s="0"/>
      <c r="GB1306" s="0"/>
      <c r="GC1306" s="0"/>
      <c r="GD1306" s="0"/>
      <c r="GE1306" s="0"/>
      <c r="GF1306" s="0"/>
      <c r="GG1306" s="0"/>
      <c r="GH1306" s="0"/>
      <c r="GI1306" s="0"/>
      <c r="GJ1306" s="0"/>
      <c r="GK1306" s="0"/>
      <c r="GL1306" s="0"/>
      <c r="GM1306" s="0"/>
      <c r="GN1306" s="0"/>
      <c r="GO1306" s="0"/>
      <c r="GP1306" s="0"/>
      <c r="GQ1306" s="0"/>
      <c r="GR1306" s="0"/>
      <c r="GS1306" s="0"/>
      <c r="GT1306" s="0"/>
      <c r="GU1306" s="0"/>
      <c r="GV1306" s="0"/>
      <c r="GW1306" s="0"/>
      <c r="GX1306" s="0"/>
      <c r="GY1306" s="0"/>
      <c r="GZ1306" s="0"/>
      <c r="HA1306" s="0"/>
      <c r="HB1306" s="0"/>
      <c r="HC1306" s="0"/>
      <c r="HD1306" s="0"/>
      <c r="HE1306" s="0"/>
      <c r="HF1306" s="0"/>
      <c r="HG1306" s="0"/>
      <c r="HH1306" s="0"/>
      <c r="HI1306" s="0"/>
      <c r="HJ1306" s="0"/>
      <c r="HK1306" s="0"/>
      <c r="HL1306" s="0"/>
      <c r="HM1306" s="0"/>
      <c r="HN1306" s="0"/>
      <c r="HO1306" s="0"/>
      <c r="HP1306" s="0"/>
      <c r="HQ1306" s="0"/>
      <c r="HR1306" s="0"/>
      <c r="HS1306" s="0"/>
      <c r="HT1306" s="0"/>
      <c r="HU1306" s="0"/>
      <c r="HV1306" s="0"/>
      <c r="HW1306" s="0"/>
      <c r="HX1306" s="0"/>
      <c r="HY1306" s="0"/>
      <c r="HZ1306" s="0"/>
      <c r="IA1306" s="0"/>
      <c r="IB1306" s="0"/>
      <c r="IC1306" s="0"/>
      <c r="ID1306" s="0"/>
      <c r="IE1306" s="0"/>
      <c r="IF1306" s="0"/>
      <c r="IG1306" s="0"/>
      <c r="IH1306" s="0"/>
      <c r="II1306" s="0"/>
      <c r="IJ1306" s="0"/>
      <c r="IK1306" s="0"/>
      <c r="IL1306" s="0"/>
      <c r="IM1306" s="0"/>
      <c r="IN1306" s="0"/>
      <c r="IO1306" s="0"/>
      <c r="IP1306" s="0"/>
      <c r="IQ1306" s="0"/>
      <c r="IR1306" s="0"/>
      <c r="IS1306" s="0"/>
      <c r="IT1306" s="0"/>
      <c r="IU1306" s="0"/>
      <c r="IV1306" s="0"/>
    </row>
    <row r="1307" customFormat="false" ht="15.75" hidden="false" customHeight="true" outlineLevel="0" collapsed="false">
      <c r="A1307" s="869" t="s">
        <v>1788</v>
      </c>
      <c r="B1307" s="869"/>
      <c r="C1307" s="869"/>
      <c r="D1307" s="869"/>
      <c r="E1307" s="869"/>
      <c r="F1307" s="869"/>
      <c r="G1307" s="869"/>
      <c r="H1307" s="53"/>
      <c r="I1307" s="53"/>
      <c r="J1307" s="53"/>
      <c r="K1307" s="870"/>
      <c r="L1307" s="871" t="s">
        <v>1636</v>
      </c>
      <c r="S1307" s="0"/>
      <c r="T1307" s="0"/>
      <c r="U1307" s="0"/>
      <c r="V1307" s="0"/>
      <c r="W1307" s="0"/>
      <c r="X1307" s="0"/>
      <c r="Y1307" s="0"/>
      <c r="Z1307" s="0"/>
      <c r="AA1307" s="0"/>
      <c r="AB1307" s="0"/>
      <c r="AC1307" s="0"/>
      <c r="AD1307" s="0"/>
      <c r="AE1307" s="0"/>
      <c r="AF1307" s="0"/>
      <c r="AG1307" s="0"/>
      <c r="AH1307" s="0"/>
      <c r="AI1307" s="0"/>
      <c r="AJ1307" s="0"/>
      <c r="AK1307" s="0"/>
      <c r="AL1307" s="0"/>
      <c r="AM1307" s="0"/>
      <c r="AN1307" s="0"/>
      <c r="AO1307" s="0"/>
      <c r="AP1307" s="0"/>
      <c r="AQ1307" s="0"/>
      <c r="AR1307" s="0"/>
      <c r="AS1307" s="0"/>
      <c r="AT1307" s="0"/>
      <c r="AU1307" s="0"/>
      <c r="AV1307" s="0"/>
      <c r="AW1307" s="0"/>
      <c r="AX1307" s="0"/>
      <c r="AY1307" s="0"/>
      <c r="AZ1307" s="0"/>
      <c r="BA1307" s="0"/>
      <c r="BB1307" s="0"/>
      <c r="BC1307" s="0"/>
      <c r="BD1307" s="0"/>
      <c r="BE1307" s="0"/>
      <c r="BF1307" s="0"/>
      <c r="BG1307" s="0"/>
      <c r="BH1307" s="0"/>
      <c r="BI1307" s="0"/>
      <c r="BJ1307" s="0"/>
      <c r="BK1307" s="0"/>
      <c r="BL1307" s="0"/>
      <c r="BM1307" s="0"/>
      <c r="BN1307" s="0"/>
      <c r="BO1307" s="0"/>
      <c r="BP1307" s="0"/>
      <c r="BQ1307" s="0"/>
      <c r="BR1307" s="0"/>
      <c r="BS1307" s="0"/>
      <c r="BT1307" s="0"/>
      <c r="BU1307" s="0"/>
      <c r="BV1307" s="0"/>
      <c r="BW1307" s="0"/>
      <c r="BX1307" s="0"/>
      <c r="BY1307" s="0"/>
      <c r="BZ1307" s="0"/>
      <c r="CA1307" s="0"/>
      <c r="CB1307" s="0"/>
      <c r="CC1307" s="0"/>
      <c r="CD1307" s="0"/>
      <c r="CE1307" s="0"/>
      <c r="CF1307" s="0"/>
      <c r="CG1307" s="0"/>
      <c r="CH1307" s="0"/>
      <c r="CI1307" s="0"/>
      <c r="CJ1307" s="0"/>
      <c r="CK1307" s="0"/>
      <c r="CL1307" s="0"/>
      <c r="CM1307" s="0"/>
      <c r="CN1307" s="0"/>
      <c r="CO1307" s="0"/>
      <c r="CP1307" s="0"/>
      <c r="CQ1307" s="0"/>
      <c r="CR1307" s="0"/>
      <c r="CS1307" s="0"/>
      <c r="CT1307" s="0"/>
      <c r="CU1307" s="0"/>
      <c r="CV1307" s="0"/>
      <c r="CW1307" s="0"/>
      <c r="CX1307" s="0"/>
      <c r="CY1307" s="0"/>
      <c r="CZ1307" s="0"/>
      <c r="DA1307" s="0"/>
      <c r="DB1307" s="0"/>
      <c r="DC1307" s="0"/>
      <c r="DD1307" s="0"/>
      <c r="DE1307" s="0"/>
      <c r="DF1307" s="0"/>
      <c r="DG1307" s="0"/>
      <c r="DH1307" s="0"/>
      <c r="DI1307" s="0"/>
      <c r="DJ1307" s="0"/>
      <c r="DK1307" s="0"/>
      <c r="DL1307" s="0"/>
      <c r="DM1307" s="0"/>
      <c r="DN1307" s="0"/>
      <c r="DO1307" s="0"/>
      <c r="DP1307" s="0"/>
      <c r="DQ1307" s="0"/>
      <c r="DR1307" s="0"/>
      <c r="DS1307" s="0"/>
      <c r="DT1307" s="0"/>
      <c r="DU1307" s="0"/>
      <c r="DV1307" s="0"/>
      <c r="DW1307" s="0"/>
      <c r="DX1307" s="0"/>
      <c r="DY1307" s="0"/>
      <c r="DZ1307" s="0"/>
      <c r="EA1307" s="0"/>
      <c r="EB1307" s="0"/>
      <c r="EC1307" s="0"/>
      <c r="ED1307" s="0"/>
      <c r="EE1307" s="0"/>
      <c r="EF1307" s="0"/>
      <c r="EG1307" s="0"/>
      <c r="EH1307" s="0"/>
      <c r="EI1307" s="0"/>
      <c r="EJ1307" s="0"/>
      <c r="EK1307" s="0"/>
      <c r="EL1307" s="0"/>
      <c r="EM1307" s="0"/>
      <c r="EN1307" s="0"/>
      <c r="EO1307" s="0"/>
      <c r="EP1307" s="0"/>
      <c r="EQ1307" s="0"/>
      <c r="ER1307" s="0"/>
      <c r="ES1307" s="0"/>
      <c r="ET1307" s="0"/>
      <c r="EU1307" s="0"/>
      <c r="EV1307" s="0"/>
      <c r="EW1307" s="0"/>
      <c r="EX1307" s="0"/>
      <c r="EY1307" s="0"/>
      <c r="EZ1307" s="0"/>
      <c r="FA1307" s="0"/>
      <c r="FB1307" s="0"/>
      <c r="FC1307" s="0"/>
      <c r="FD1307" s="0"/>
      <c r="FE1307" s="0"/>
      <c r="FF1307" s="0"/>
      <c r="FG1307" s="0"/>
      <c r="FH1307" s="0"/>
      <c r="FI1307" s="0"/>
      <c r="FJ1307" s="0"/>
      <c r="FK1307" s="0"/>
      <c r="FL1307" s="0"/>
      <c r="FM1307" s="0"/>
      <c r="FN1307" s="0"/>
      <c r="FO1307" s="0"/>
      <c r="FP1307" s="0"/>
      <c r="FQ1307" s="0"/>
      <c r="FR1307" s="0"/>
      <c r="FS1307" s="0"/>
      <c r="FT1307" s="0"/>
      <c r="FU1307" s="0"/>
      <c r="FV1307" s="0"/>
      <c r="FW1307" s="0"/>
      <c r="FX1307" s="0"/>
      <c r="FY1307" s="0"/>
      <c r="FZ1307" s="0"/>
      <c r="GA1307" s="0"/>
      <c r="GB1307" s="0"/>
      <c r="GC1307" s="0"/>
      <c r="GD1307" s="0"/>
      <c r="GE1307" s="0"/>
      <c r="GF1307" s="0"/>
      <c r="GG1307" s="0"/>
      <c r="GH1307" s="0"/>
      <c r="GI1307" s="0"/>
      <c r="GJ1307" s="0"/>
      <c r="GK1307" s="0"/>
      <c r="GL1307" s="0"/>
      <c r="GM1307" s="0"/>
      <c r="GN1307" s="0"/>
      <c r="GO1307" s="0"/>
      <c r="GP1307" s="0"/>
      <c r="GQ1307" s="0"/>
      <c r="GR1307" s="0"/>
      <c r="GS1307" s="0"/>
      <c r="GT1307" s="0"/>
      <c r="GU1307" s="0"/>
      <c r="GV1307" s="0"/>
      <c r="GW1307" s="0"/>
      <c r="GX1307" s="0"/>
      <c r="GY1307" s="0"/>
      <c r="GZ1307" s="0"/>
      <c r="HA1307" s="0"/>
      <c r="HB1307" s="0"/>
      <c r="HC1307" s="0"/>
      <c r="HD1307" s="0"/>
      <c r="HE1307" s="0"/>
      <c r="HF1307" s="0"/>
      <c r="HG1307" s="0"/>
      <c r="HH1307" s="0"/>
      <c r="HI1307" s="0"/>
      <c r="HJ1307" s="0"/>
      <c r="HK1307" s="0"/>
      <c r="HL1307" s="0"/>
      <c r="HM1307" s="0"/>
      <c r="HN1307" s="0"/>
      <c r="HO1307" s="0"/>
      <c r="HP1307" s="0"/>
      <c r="HQ1307" s="0"/>
      <c r="HR1307" s="0"/>
      <c r="HS1307" s="0"/>
      <c r="HT1307" s="0"/>
      <c r="HU1307" s="0"/>
      <c r="HV1307" s="0"/>
      <c r="HW1307" s="0"/>
      <c r="HX1307" s="0"/>
      <c r="HY1307" s="0"/>
      <c r="HZ1307" s="0"/>
      <c r="IA1307" s="0"/>
      <c r="IB1307" s="0"/>
      <c r="IC1307" s="0"/>
      <c r="ID1307" s="0"/>
      <c r="IE1307" s="0"/>
      <c r="IF1307" s="0"/>
      <c r="IG1307" s="0"/>
      <c r="IH1307" s="0"/>
      <c r="II1307" s="0"/>
      <c r="IJ1307" s="0"/>
      <c r="IK1307" s="0"/>
      <c r="IL1307" s="0"/>
      <c r="IM1307" s="0"/>
      <c r="IN1307" s="0"/>
      <c r="IO1307" s="0"/>
      <c r="IP1307" s="0"/>
      <c r="IQ1307" s="0"/>
      <c r="IR1307" s="0"/>
      <c r="IS1307" s="0"/>
      <c r="IT1307" s="0"/>
      <c r="IU1307" s="0"/>
      <c r="IV1307" s="0"/>
    </row>
    <row r="1308" customFormat="false" ht="13.9" hidden="false" customHeight="true" outlineLevel="0" collapsed="false">
      <c r="A1308" s="1005"/>
      <c r="B1308" s="1005"/>
      <c r="C1308" s="1005"/>
      <c r="D1308" s="1005"/>
      <c r="E1308" s="1005"/>
      <c r="F1308" s="1005"/>
      <c r="G1308" s="1005"/>
      <c r="H1308" s="0"/>
      <c r="I1308" s="0"/>
      <c r="J1308" s="0"/>
      <c r="K1308" s="903"/>
      <c r="L1308" s="877"/>
      <c r="M1308" s="0"/>
      <c r="N1308" s="0"/>
      <c r="O1308" s="0"/>
      <c r="P1308" s="0"/>
      <c r="Q1308" s="0"/>
      <c r="R1308" s="0"/>
      <c r="S1308" s="0"/>
      <c r="T1308" s="0"/>
      <c r="U1308" s="0"/>
      <c r="V1308" s="0"/>
      <c r="W1308" s="0"/>
      <c r="X1308" s="0"/>
      <c r="Y1308" s="0"/>
      <c r="Z1308" s="0"/>
      <c r="AA1308" s="0"/>
      <c r="AB1308" s="0"/>
      <c r="AC1308" s="0"/>
      <c r="AD1308" s="0"/>
      <c r="AE1308" s="0"/>
      <c r="AF1308" s="0"/>
      <c r="AG1308" s="0"/>
      <c r="AH1308" s="0"/>
      <c r="AI1308" s="0"/>
      <c r="AJ1308" s="0"/>
      <c r="AK1308" s="0"/>
      <c r="AL1308" s="0"/>
      <c r="AM1308" s="0"/>
      <c r="AN1308" s="0"/>
      <c r="AO1308" s="0"/>
      <c r="AP1308" s="0"/>
      <c r="AQ1308" s="0"/>
      <c r="AR1308" s="0"/>
      <c r="AS1308" s="0"/>
      <c r="AT1308" s="0"/>
      <c r="AU1308" s="0"/>
      <c r="AV1308" s="0"/>
      <c r="AW1308" s="0"/>
      <c r="AX1308" s="0"/>
      <c r="AY1308" s="0"/>
      <c r="AZ1308" s="0"/>
      <c r="BA1308" s="0"/>
      <c r="BB1308" s="0"/>
      <c r="BC1308" s="0"/>
      <c r="BD1308" s="0"/>
      <c r="BE1308" s="0"/>
      <c r="BF1308" s="0"/>
      <c r="BG1308" s="0"/>
      <c r="BH1308" s="0"/>
      <c r="BI1308" s="0"/>
      <c r="BJ1308" s="0"/>
      <c r="BK1308" s="0"/>
      <c r="BL1308" s="0"/>
      <c r="BM1308" s="0"/>
      <c r="BN1308" s="0"/>
      <c r="BO1308" s="0"/>
      <c r="BP1308" s="0"/>
      <c r="BQ1308" s="0"/>
      <c r="BR1308" s="0"/>
      <c r="BS1308" s="0"/>
      <c r="BT1308" s="0"/>
      <c r="BU1308" s="0"/>
      <c r="BV1308" s="0"/>
      <c r="BW1308" s="0"/>
      <c r="BX1308" s="0"/>
      <c r="BY1308" s="0"/>
      <c r="BZ1308" s="0"/>
      <c r="CA1308" s="0"/>
      <c r="CB1308" s="0"/>
      <c r="CC1308" s="0"/>
      <c r="CD1308" s="0"/>
      <c r="CE1308" s="0"/>
      <c r="CF1308" s="0"/>
      <c r="CG1308" s="0"/>
      <c r="CH1308" s="0"/>
      <c r="CI1308" s="0"/>
      <c r="CJ1308" s="0"/>
      <c r="CK1308" s="0"/>
      <c r="CL1308" s="0"/>
      <c r="CM1308" s="0"/>
      <c r="CN1308" s="0"/>
      <c r="CO1308" s="0"/>
      <c r="CP1308" s="0"/>
      <c r="CQ1308" s="0"/>
      <c r="CR1308" s="0"/>
      <c r="CS1308" s="0"/>
      <c r="CT1308" s="0"/>
      <c r="CU1308" s="0"/>
      <c r="CV1308" s="0"/>
      <c r="CW1308" s="0"/>
      <c r="CX1308" s="0"/>
      <c r="CY1308" s="0"/>
      <c r="CZ1308" s="0"/>
      <c r="DA1308" s="0"/>
      <c r="DB1308" s="0"/>
      <c r="DC1308" s="0"/>
      <c r="DD1308" s="0"/>
      <c r="DE1308" s="0"/>
      <c r="DF1308" s="0"/>
      <c r="DG1308" s="0"/>
      <c r="DH1308" s="0"/>
      <c r="DI1308" s="0"/>
      <c r="DJ1308" s="0"/>
      <c r="DK1308" s="0"/>
      <c r="DL1308" s="0"/>
      <c r="DM1308" s="0"/>
      <c r="DN1308" s="0"/>
      <c r="DO1308" s="0"/>
      <c r="DP1308" s="0"/>
      <c r="DQ1308" s="0"/>
      <c r="DR1308" s="0"/>
      <c r="DS1308" s="0"/>
      <c r="DT1308" s="0"/>
      <c r="DU1308" s="0"/>
      <c r="DV1308" s="0"/>
      <c r="DW1308" s="0"/>
      <c r="DX1308" s="0"/>
      <c r="DY1308" s="0"/>
      <c r="DZ1308" s="0"/>
      <c r="EA1308" s="0"/>
      <c r="EB1308" s="0"/>
      <c r="EC1308" s="0"/>
      <c r="ED1308" s="0"/>
      <c r="EE1308" s="0"/>
      <c r="EF1308" s="0"/>
      <c r="EG1308" s="0"/>
      <c r="EH1308" s="0"/>
      <c r="EI1308" s="0"/>
      <c r="EJ1308" s="0"/>
      <c r="EK1308" s="0"/>
      <c r="EL1308" s="0"/>
      <c r="EM1308" s="0"/>
      <c r="EN1308" s="0"/>
      <c r="EO1308" s="0"/>
      <c r="EP1308" s="0"/>
      <c r="EQ1308" s="0"/>
      <c r="ER1308" s="0"/>
      <c r="ES1308" s="0"/>
      <c r="ET1308" s="0"/>
      <c r="EU1308" s="0"/>
      <c r="EV1308" s="0"/>
      <c r="EW1308" s="0"/>
      <c r="EX1308" s="0"/>
      <c r="EY1308" s="0"/>
      <c r="EZ1308" s="0"/>
      <c r="FA1308" s="0"/>
      <c r="FB1308" s="0"/>
      <c r="FC1308" s="0"/>
      <c r="FD1308" s="0"/>
      <c r="FE1308" s="0"/>
      <c r="FF1308" s="0"/>
      <c r="FG1308" s="0"/>
      <c r="FH1308" s="0"/>
      <c r="FI1308" s="0"/>
      <c r="FJ1308" s="0"/>
      <c r="FK1308" s="0"/>
      <c r="FL1308" s="0"/>
      <c r="FM1308" s="0"/>
      <c r="FN1308" s="0"/>
      <c r="FO1308" s="0"/>
      <c r="FP1308" s="0"/>
      <c r="FQ1308" s="0"/>
      <c r="FR1308" s="0"/>
      <c r="FS1308" s="0"/>
      <c r="FT1308" s="0"/>
      <c r="FU1308" s="0"/>
      <c r="FV1308" s="0"/>
      <c r="FW1308" s="0"/>
      <c r="FX1308" s="0"/>
      <c r="FY1308" s="0"/>
      <c r="FZ1308" s="0"/>
      <c r="GA1308" s="0"/>
      <c r="GB1308" s="0"/>
      <c r="GC1308" s="0"/>
      <c r="GD1308" s="0"/>
      <c r="GE1308" s="0"/>
      <c r="GF1308" s="0"/>
      <c r="GG1308" s="0"/>
      <c r="GH1308" s="0"/>
      <c r="GI1308" s="0"/>
      <c r="GJ1308" s="0"/>
      <c r="GK1308" s="0"/>
      <c r="GL1308" s="0"/>
      <c r="GM1308" s="0"/>
      <c r="GN1308" s="0"/>
      <c r="GO1308" s="0"/>
      <c r="GP1308" s="0"/>
      <c r="GQ1308" s="0"/>
      <c r="GR1308" s="0"/>
      <c r="GS1308" s="0"/>
      <c r="GT1308" s="0"/>
      <c r="GU1308" s="0"/>
      <c r="GV1308" s="0"/>
      <c r="GW1308" s="0"/>
      <c r="GX1308" s="0"/>
      <c r="GY1308" s="0"/>
      <c r="GZ1308" s="0"/>
      <c r="HA1308" s="0"/>
      <c r="HB1308" s="0"/>
      <c r="HC1308" s="0"/>
      <c r="HD1308" s="0"/>
      <c r="HE1308" s="0"/>
      <c r="HF1308" s="0"/>
      <c r="HG1308" s="0"/>
      <c r="HH1308" s="0"/>
      <c r="HI1308" s="0"/>
      <c r="HJ1308" s="0"/>
      <c r="HK1308" s="0"/>
      <c r="HL1308" s="0"/>
      <c r="HM1308" s="0"/>
      <c r="HN1308" s="0"/>
      <c r="HO1308" s="0"/>
      <c r="HP1308" s="0"/>
      <c r="HQ1308" s="0"/>
      <c r="HR1308" s="0"/>
      <c r="HS1308" s="0"/>
      <c r="HT1308" s="0"/>
      <c r="HU1308" s="0"/>
      <c r="HV1308" s="0"/>
      <c r="HW1308" s="0"/>
      <c r="HX1308" s="0"/>
      <c r="HY1308" s="0"/>
      <c r="HZ1308" s="0"/>
      <c r="IA1308" s="0"/>
      <c r="IB1308" s="0"/>
      <c r="IC1308" s="0"/>
      <c r="ID1308" s="0"/>
      <c r="IE1308" s="0"/>
      <c r="IF1308" s="0"/>
      <c r="IG1308" s="0"/>
      <c r="IH1308" s="0"/>
      <c r="II1308" s="0"/>
      <c r="IJ1308" s="0"/>
      <c r="IK1308" s="0"/>
      <c r="IL1308" s="0"/>
      <c r="IM1308" s="0"/>
      <c r="IN1308" s="0"/>
      <c r="IO1308" s="0"/>
      <c r="IP1308" s="0"/>
      <c r="IQ1308" s="0"/>
      <c r="IR1308" s="0"/>
      <c r="IS1308" s="0"/>
      <c r="IT1308" s="0"/>
      <c r="IU1308" s="0"/>
      <c r="IV1308" s="0"/>
    </row>
    <row r="1309" customFormat="false" ht="15.75" hidden="false" customHeight="true" outlineLevel="0" collapsed="false">
      <c r="A1309" s="18" t="s">
        <v>946</v>
      </c>
      <c r="B1309" s="812"/>
      <c r="C1309" s="812"/>
      <c r="D1309" s="1479" t="n">
        <v>0.6</v>
      </c>
      <c r="E1309" s="812"/>
      <c r="K1309" s="1460"/>
      <c r="L1309" s="1480"/>
      <c r="M1309" s="0"/>
      <c r="N1309" s="0"/>
      <c r="O1309" s="0"/>
      <c r="P1309" s="0"/>
      <c r="Q1309" s="0"/>
      <c r="R1309" s="0"/>
      <c r="S1309" s="0"/>
      <c r="T1309" s="0"/>
      <c r="U1309" s="0"/>
      <c r="V1309" s="0"/>
      <c r="W1309" s="0"/>
      <c r="X1309" s="0"/>
      <c r="Y1309" s="0"/>
      <c r="Z1309" s="0"/>
      <c r="AA1309" s="0"/>
      <c r="AB1309" s="0"/>
      <c r="AC1309" s="0"/>
      <c r="AD1309" s="0"/>
      <c r="AE1309" s="0"/>
      <c r="AF1309" s="0"/>
      <c r="AG1309" s="0"/>
      <c r="AH1309" s="0"/>
      <c r="AI1309" s="0"/>
      <c r="AJ1309" s="0"/>
      <c r="AK1309" s="0"/>
      <c r="AL1309" s="0"/>
      <c r="AM1309" s="0"/>
      <c r="AN1309" s="0"/>
      <c r="AO1309" s="0"/>
      <c r="AP1309" s="0"/>
      <c r="AQ1309" s="0"/>
      <c r="AR1309" s="0"/>
      <c r="AS1309" s="0"/>
      <c r="AT1309" s="0"/>
      <c r="AU1309" s="0"/>
      <c r="AV1309" s="0"/>
      <c r="AW1309" s="0"/>
      <c r="AX1309" s="0"/>
      <c r="AY1309" s="0"/>
      <c r="AZ1309" s="0"/>
      <c r="BA1309" s="0"/>
      <c r="BB1309" s="0"/>
      <c r="BC1309" s="0"/>
      <c r="BD1309" s="0"/>
      <c r="BE1309" s="0"/>
      <c r="BF1309" s="0"/>
      <c r="BG1309" s="0"/>
      <c r="BH1309" s="0"/>
      <c r="BI1309" s="0"/>
      <c r="BJ1309" s="0"/>
      <c r="BK1309" s="0"/>
      <c r="BL1309" s="0"/>
      <c r="BM1309" s="0"/>
      <c r="BN1309" s="0"/>
      <c r="BO1309" s="0"/>
      <c r="BP1309" s="0"/>
      <c r="BQ1309" s="0"/>
      <c r="BR1309" s="0"/>
      <c r="BS1309" s="0"/>
      <c r="BT1309" s="0"/>
      <c r="BU1309" s="0"/>
      <c r="BV1309" s="0"/>
      <c r="BW1309" s="0"/>
      <c r="BX1309" s="0"/>
      <c r="BY1309" s="0"/>
      <c r="BZ1309" s="0"/>
      <c r="CA1309" s="0"/>
      <c r="CB1309" s="0"/>
      <c r="CC1309" s="0"/>
      <c r="CD1309" s="0"/>
      <c r="CE1309" s="0"/>
      <c r="CF1309" s="0"/>
      <c r="CG1309" s="0"/>
      <c r="CH1309" s="0"/>
      <c r="CI1309" s="0"/>
      <c r="CJ1309" s="0"/>
      <c r="CK1309" s="0"/>
      <c r="CL1309" s="0"/>
      <c r="CM1309" s="0"/>
      <c r="CN1309" s="0"/>
      <c r="CO1309" s="0"/>
      <c r="CP1309" s="0"/>
      <c r="CQ1309" s="0"/>
      <c r="CR1309" s="0"/>
      <c r="CS1309" s="0"/>
      <c r="CT1309" s="0"/>
      <c r="CU1309" s="0"/>
      <c r="CV1309" s="0"/>
      <c r="CW1309" s="0"/>
      <c r="CX1309" s="0"/>
      <c r="CY1309" s="0"/>
      <c r="CZ1309" s="0"/>
      <c r="DA1309" s="0"/>
      <c r="DB1309" s="0"/>
      <c r="DC1309" s="0"/>
      <c r="DD1309" s="0"/>
      <c r="DE1309" s="0"/>
      <c r="DF1309" s="0"/>
      <c r="DG1309" s="0"/>
      <c r="DH1309" s="0"/>
      <c r="DI1309" s="0"/>
      <c r="DJ1309" s="0"/>
      <c r="DK1309" s="0"/>
      <c r="DL1309" s="0"/>
      <c r="DM1309" s="0"/>
      <c r="DN1309" s="0"/>
      <c r="DO1309" s="0"/>
      <c r="DP1309" s="0"/>
      <c r="DQ1309" s="0"/>
      <c r="DR1309" s="0"/>
      <c r="DS1309" s="0"/>
      <c r="DT1309" s="0"/>
      <c r="DU1309" s="0"/>
      <c r="DV1309" s="0"/>
      <c r="DW1309" s="0"/>
      <c r="DX1309" s="0"/>
      <c r="DY1309" s="0"/>
      <c r="DZ1309" s="0"/>
      <c r="EA1309" s="0"/>
      <c r="EB1309" s="0"/>
      <c r="EC1309" s="0"/>
      <c r="ED1309" s="0"/>
      <c r="EE1309" s="0"/>
      <c r="EF1309" s="0"/>
      <c r="EG1309" s="0"/>
      <c r="EH1309" s="0"/>
      <c r="EI1309" s="0"/>
      <c r="EJ1309" s="0"/>
      <c r="EK1309" s="0"/>
      <c r="EL1309" s="0"/>
      <c r="EM1309" s="0"/>
      <c r="EN1309" s="0"/>
      <c r="EO1309" s="0"/>
      <c r="EP1309" s="0"/>
      <c r="EQ1309" s="0"/>
      <c r="ER1309" s="0"/>
      <c r="ES1309" s="0"/>
      <c r="ET1309" s="0"/>
      <c r="EU1309" s="0"/>
      <c r="EV1309" s="0"/>
      <c r="EW1309" s="0"/>
      <c r="EX1309" s="0"/>
      <c r="EY1309" s="0"/>
      <c r="EZ1309" s="0"/>
      <c r="FA1309" s="0"/>
      <c r="FB1309" s="0"/>
      <c r="FC1309" s="0"/>
      <c r="FD1309" s="0"/>
      <c r="FE1309" s="0"/>
      <c r="FF1309" s="0"/>
      <c r="FG1309" s="0"/>
      <c r="FH1309" s="0"/>
      <c r="FI1309" s="0"/>
      <c r="FJ1309" s="0"/>
      <c r="FK1309" s="0"/>
      <c r="FL1309" s="0"/>
      <c r="FM1309" s="0"/>
      <c r="FN1309" s="0"/>
      <c r="FO1309" s="0"/>
      <c r="FP1309" s="0"/>
      <c r="FQ1309" s="0"/>
      <c r="FR1309" s="0"/>
      <c r="FS1309" s="0"/>
      <c r="FT1309" s="0"/>
      <c r="FU1309" s="0"/>
      <c r="FV1309" s="0"/>
      <c r="FW1309" s="0"/>
      <c r="FX1309" s="0"/>
      <c r="FY1309" s="0"/>
      <c r="FZ1309" s="0"/>
      <c r="GA1309" s="0"/>
      <c r="GB1309" s="0"/>
      <c r="GC1309" s="0"/>
      <c r="GD1309" s="0"/>
      <c r="GE1309" s="0"/>
      <c r="GF1309" s="0"/>
      <c r="GG1309" s="0"/>
      <c r="GH1309" s="0"/>
      <c r="GI1309" s="0"/>
      <c r="GJ1309" s="0"/>
      <c r="GK1309" s="0"/>
      <c r="GL1309" s="0"/>
      <c r="GM1309" s="0"/>
      <c r="GN1309" s="0"/>
      <c r="GO1309" s="0"/>
      <c r="GP1309" s="0"/>
      <c r="GQ1309" s="0"/>
      <c r="GR1309" s="0"/>
      <c r="GS1309" s="0"/>
      <c r="GT1309" s="0"/>
      <c r="GU1309" s="0"/>
      <c r="GV1309" s="0"/>
      <c r="GW1309" s="0"/>
      <c r="GX1309" s="0"/>
      <c r="GY1309" s="0"/>
      <c r="GZ1309" s="0"/>
      <c r="HA1309" s="0"/>
      <c r="HB1309" s="0"/>
      <c r="HC1309" s="0"/>
      <c r="HD1309" s="0"/>
      <c r="HE1309" s="0"/>
      <c r="HF1309" s="0"/>
      <c r="HG1309" s="0"/>
      <c r="HH1309" s="0"/>
      <c r="HI1309" s="0"/>
      <c r="HJ1309" s="0"/>
      <c r="HK1309" s="0"/>
      <c r="HL1309" s="0"/>
      <c r="HM1309" s="0"/>
      <c r="HN1309" s="0"/>
      <c r="HO1309" s="0"/>
      <c r="HP1309" s="0"/>
      <c r="HQ1309" s="0"/>
      <c r="HR1309" s="0"/>
      <c r="HS1309" s="0"/>
      <c r="HT1309" s="0"/>
      <c r="HU1309" s="0"/>
      <c r="HV1309" s="0"/>
      <c r="HW1309" s="0"/>
      <c r="HX1309" s="0"/>
      <c r="HY1309" s="0"/>
      <c r="HZ1309" s="0"/>
      <c r="IA1309" s="0"/>
      <c r="IB1309" s="0"/>
      <c r="IC1309" s="0"/>
      <c r="ID1309" s="0"/>
      <c r="IE1309" s="0"/>
      <c r="IF1309" s="0"/>
      <c r="IG1309" s="0"/>
      <c r="IH1309" s="0"/>
      <c r="II1309" s="0"/>
      <c r="IJ1309" s="0"/>
      <c r="IK1309" s="0"/>
      <c r="IL1309" s="0"/>
      <c r="IM1309" s="0"/>
      <c r="IN1309" s="0"/>
      <c r="IO1309" s="0"/>
      <c r="IP1309" s="0"/>
      <c r="IQ1309" s="0"/>
      <c r="IR1309" s="0"/>
      <c r="IS1309" s="0"/>
      <c r="IT1309" s="0"/>
      <c r="IU1309" s="0"/>
      <c r="IV1309" s="0"/>
    </row>
    <row r="1310" customFormat="false" ht="15.75" hidden="false" customHeight="true" outlineLevel="0" collapsed="false">
      <c r="A1310" s="989" t="s">
        <v>947</v>
      </c>
      <c r="B1310" s="1258"/>
      <c r="C1310" s="1258"/>
      <c r="D1310" s="1258"/>
      <c r="E1310" s="1258"/>
      <c r="F1310" s="1481"/>
      <c r="H1310" s="55"/>
      <c r="I1310" s="1482"/>
      <c r="J1310" s="1483"/>
      <c r="K1310" s="0"/>
      <c r="L1310" s="0"/>
      <c r="M1310" s="1444"/>
    </row>
    <row r="1311" customFormat="false" ht="15" hidden="false" customHeight="true" outlineLevel="0" collapsed="false">
      <c r="B1311" s="812"/>
      <c r="C1311" s="1481"/>
      <c r="D1311" s="1481"/>
      <c r="E1311" s="1481"/>
      <c r="G1311" s="1481"/>
      <c r="H1311" s="55"/>
      <c r="I1311" s="1482"/>
      <c r="J1311" s="1483"/>
      <c r="K1311" s="1460"/>
      <c r="L1311" s="1480"/>
      <c r="M1311" s="1444"/>
      <c r="T1311" s="0"/>
      <c r="U1311" s="0"/>
      <c r="V1311" s="0"/>
      <c r="W1311" s="0"/>
      <c r="X1311" s="0"/>
      <c r="Y1311" s="0"/>
      <c r="Z1311" s="0"/>
      <c r="AA1311" s="0"/>
      <c r="AB1311" s="0"/>
      <c r="AC1311" s="0"/>
      <c r="AD1311" s="0"/>
      <c r="AE1311" s="0"/>
      <c r="AF1311" s="0"/>
      <c r="AG1311" s="0"/>
      <c r="AH1311" s="0"/>
      <c r="AI1311" s="0"/>
      <c r="AJ1311" s="0"/>
      <c r="AK1311" s="0"/>
      <c r="AL1311" s="0"/>
      <c r="AM1311" s="0"/>
      <c r="AN1311" s="0"/>
      <c r="AO1311" s="0"/>
      <c r="AP1311" s="0"/>
      <c r="AQ1311" s="0"/>
      <c r="AR1311" s="0"/>
      <c r="AS1311" s="0"/>
      <c r="AT1311" s="0"/>
      <c r="AU1311" s="0"/>
      <c r="AV1311" s="0"/>
      <c r="AW1311" s="0"/>
      <c r="AX1311" s="0"/>
      <c r="AY1311" s="0"/>
      <c r="AZ1311" s="0"/>
      <c r="BA1311" s="0"/>
      <c r="BB1311" s="0"/>
      <c r="BC1311" s="0"/>
      <c r="BD1311" s="0"/>
      <c r="BE1311" s="0"/>
      <c r="BF1311" s="0"/>
      <c r="BG1311" s="0"/>
      <c r="BH1311" s="0"/>
      <c r="BI1311" s="0"/>
      <c r="BJ1311" s="0"/>
      <c r="BK1311" s="0"/>
      <c r="BL1311" s="0"/>
      <c r="BM1311" s="0"/>
      <c r="BN1311" s="0"/>
      <c r="BO1311" s="0"/>
      <c r="BP1311" s="0"/>
      <c r="BQ1311" s="0"/>
      <c r="BR1311" s="0"/>
      <c r="BS1311" s="0"/>
      <c r="BT1311" s="0"/>
      <c r="BU1311" s="0"/>
      <c r="BV1311" s="0"/>
      <c r="BW1311" s="0"/>
      <c r="BX1311" s="0"/>
      <c r="BY1311" s="0"/>
      <c r="BZ1311" s="0"/>
      <c r="CA1311" s="0"/>
      <c r="CB1311" s="0"/>
      <c r="CC1311" s="0"/>
      <c r="CD1311" s="0"/>
      <c r="CE1311" s="0"/>
      <c r="CF1311" s="0"/>
      <c r="CG1311" s="0"/>
      <c r="CH1311" s="0"/>
      <c r="CI1311" s="0"/>
      <c r="CJ1311" s="0"/>
      <c r="CK1311" s="0"/>
      <c r="CL1311" s="0"/>
      <c r="CM1311" s="0"/>
      <c r="CN1311" s="0"/>
      <c r="CO1311" s="0"/>
      <c r="CP1311" s="0"/>
      <c r="CQ1311" s="0"/>
      <c r="CR1311" s="0"/>
      <c r="CS1311" s="0"/>
      <c r="CT1311" s="0"/>
      <c r="CU1311" s="0"/>
      <c r="CV1311" s="0"/>
      <c r="CW1311" s="0"/>
      <c r="CX1311" s="0"/>
      <c r="CY1311" s="0"/>
      <c r="CZ1311" s="0"/>
      <c r="DA1311" s="0"/>
      <c r="DB1311" s="0"/>
      <c r="DC1311" s="0"/>
      <c r="DD1311" s="0"/>
      <c r="DE1311" s="0"/>
      <c r="DF1311" s="0"/>
      <c r="DG1311" s="0"/>
      <c r="DH1311" s="0"/>
      <c r="DI1311" s="0"/>
      <c r="DJ1311" s="0"/>
      <c r="DK1311" s="0"/>
      <c r="DL1311" s="0"/>
      <c r="DM1311" s="0"/>
      <c r="DN1311" s="0"/>
      <c r="DO1311" s="0"/>
      <c r="DP1311" s="0"/>
      <c r="DQ1311" s="0"/>
      <c r="DR1311" s="0"/>
      <c r="DS1311" s="0"/>
      <c r="DT1311" s="0"/>
      <c r="DU1311" s="0"/>
      <c r="DV1311" s="0"/>
      <c r="DW1311" s="0"/>
      <c r="DX1311" s="0"/>
      <c r="DY1311" s="0"/>
      <c r="DZ1311" s="0"/>
      <c r="EA1311" s="0"/>
      <c r="EB1311" s="0"/>
      <c r="EC1311" s="0"/>
      <c r="ED1311" s="0"/>
      <c r="EE1311" s="0"/>
      <c r="EF1311" s="0"/>
      <c r="EG1311" s="0"/>
      <c r="EH1311" s="0"/>
      <c r="EI1311" s="0"/>
      <c r="EJ1311" s="0"/>
      <c r="EK1311" s="0"/>
      <c r="EL1311" s="0"/>
      <c r="EM1311" s="0"/>
      <c r="EN1311" s="0"/>
      <c r="EO1311" s="0"/>
      <c r="EP1311" s="0"/>
      <c r="EQ1311" s="0"/>
      <c r="ER1311" s="0"/>
      <c r="ES1311" s="0"/>
      <c r="ET1311" s="0"/>
      <c r="EU1311" s="0"/>
      <c r="EV1311" s="0"/>
      <c r="EW1311" s="0"/>
      <c r="EX1311" s="0"/>
      <c r="EY1311" s="0"/>
      <c r="EZ1311" s="0"/>
      <c r="FA1311" s="0"/>
      <c r="FB1311" s="0"/>
      <c r="FC1311" s="0"/>
      <c r="FD1311" s="0"/>
      <c r="FE1311" s="0"/>
      <c r="FF1311" s="0"/>
      <c r="FG1311" s="0"/>
      <c r="FH1311" s="0"/>
      <c r="FI1311" s="0"/>
      <c r="FJ1311" s="0"/>
      <c r="FK1311" s="0"/>
      <c r="FL1311" s="0"/>
      <c r="FM1311" s="0"/>
      <c r="FN1311" s="0"/>
      <c r="FO1311" s="0"/>
      <c r="FP1311" s="0"/>
      <c r="FQ1311" s="0"/>
      <c r="FR1311" s="0"/>
      <c r="FS1311" s="0"/>
      <c r="FT1311" s="0"/>
      <c r="FU1311" s="0"/>
      <c r="FV1311" s="0"/>
      <c r="FW1311" s="0"/>
      <c r="FX1311" s="0"/>
      <c r="FY1311" s="0"/>
      <c r="FZ1311" s="0"/>
      <c r="GA1311" s="0"/>
      <c r="GB1311" s="0"/>
      <c r="GC1311" s="0"/>
      <c r="GD1311" s="0"/>
      <c r="GE1311" s="0"/>
      <c r="GF1311" s="0"/>
      <c r="GG1311" s="0"/>
      <c r="GH1311" s="0"/>
      <c r="GI1311" s="0"/>
      <c r="GJ1311" s="0"/>
      <c r="GK1311" s="0"/>
      <c r="GL1311" s="0"/>
      <c r="GM1311" s="0"/>
      <c r="GN1311" s="0"/>
      <c r="GO1311" s="0"/>
      <c r="GP1311" s="0"/>
      <c r="GQ1311" s="0"/>
      <c r="GR1311" s="0"/>
      <c r="GS1311" s="0"/>
      <c r="GT1311" s="0"/>
      <c r="GU1311" s="0"/>
      <c r="GV1311" s="0"/>
      <c r="GW1311" s="0"/>
      <c r="GX1311" s="0"/>
      <c r="GY1311" s="0"/>
      <c r="GZ1311" s="0"/>
      <c r="HA1311" s="0"/>
      <c r="HB1311" s="0"/>
      <c r="HC1311" s="0"/>
      <c r="HD1311" s="0"/>
      <c r="HE1311" s="0"/>
      <c r="HF1311" s="0"/>
      <c r="HG1311" s="0"/>
      <c r="HH1311" s="0"/>
      <c r="HI1311" s="0"/>
      <c r="HJ1311" s="0"/>
      <c r="HK1311" s="0"/>
      <c r="HL1311" s="0"/>
      <c r="HM1311" s="0"/>
      <c r="HN1311" s="0"/>
      <c r="HO1311" s="0"/>
      <c r="HP1311" s="0"/>
      <c r="HQ1311" s="0"/>
      <c r="HR1311" s="0"/>
      <c r="HS1311" s="0"/>
      <c r="HT1311" s="0"/>
      <c r="HU1311" s="0"/>
      <c r="HV1311" s="0"/>
      <c r="HW1311" s="0"/>
      <c r="HX1311" s="0"/>
      <c r="HY1311" s="0"/>
      <c r="HZ1311" s="0"/>
      <c r="IA1311" s="0"/>
      <c r="IB1311" s="0"/>
      <c r="IC1311" s="0"/>
      <c r="ID1311" s="0"/>
      <c r="IE1311" s="0"/>
      <c r="IF1311" s="0"/>
      <c r="IG1311" s="0"/>
      <c r="IH1311" s="0"/>
      <c r="II1311" s="0"/>
      <c r="IJ1311" s="0"/>
      <c r="IK1311" s="0"/>
      <c r="IL1311" s="0"/>
      <c r="IM1311" s="0"/>
      <c r="IN1311" s="0"/>
      <c r="IO1311" s="0"/>
      <c r="IP1311" s="0"/>
      <c r="IQ1311" s="0"/>
      <c r="IR1311" s="0"/>
      <c r="IS1311" s="0"/>
      <c r="IT1311" s="0"/>
      <c r="IU1311" s="0"/>
      <c r="IV1311" s="0"/>
    </row>
    <row r="1312" customFormat="false" ht="15" hidden="false" customHeight="true" outlineLevel="0" collapsed="false">
      <c r="A1312" s="18" t="s">
        <v>948</v>
      </c>
      <c r="B1312" s="18"/>
      <c r="C1312" s="18"/>
      <c r="D1312" s="1479" t="s">
        <v>950</v>
      </c>
      <c r="E1312" s="423"/>
      <c r="G1312" s="423"/>
      <c r="H1312" s="19"/>
      <c r="I1312" s="1146"/>
      <c r="J1312" s="667"/>
      <c r="K1312" s="1460"/>
      <c r="L1312" s="1480"/>
      <c r="M1312" s="1444"/>
      <c r="N1312" s="0"/>
      <c r="O1312" s="0"/>
      <c r="P1312" s="0"/>
      <c r="Q1312" s="0"/>
      <c r="R1312" s="0"/>
      <c r="S1312" s="0"/>
      <c r="T1312" s="0"/>
      <c r="U1312" s="0"/>
      <c r="V1312" s="0"/>
      <c r="W1312" s="0"/>
      <c r="X1312" s="0"/>
      <c r="Y1312" s="0"/>
      <c r="Z1312" s="0"/>
      <c r="AA1312" s="0"/>
      <c r="AB1312" s="0"/>
      <c r="AC1312" s="0"/>
      <c r="AD1312" s="0"/>
      <c r="AE1312" s="0"/>
      <c r="AF1312" s="0"/>
      <c r="AG1312" s="0"/>
      <c r="AH1312" s="0"/>
      <c r="AI1312" s="0"/>
      <c r="AJ1312" s="0"/>
      <c r="AK1312" s="0"/>
      <c r="AL1312" s="0"/>
      <c r="AM1312" s="0"/>
      <c r="AN1312" s="0"/>
      <c r="AO1312" s="0"/>
      <c r="AP1312" s="0"/>
      <c r="AQ1312" s="0"/>
      <c r="AR1312" s="0"/>
      <c r="AS1312" s="0"/>
      <c r="AT1312" s="0"/>
      <c r="AU1312" s="0"/>
      <c r="AV1312" s="0"/>
      <c r="AW1312" s="0"/>
      <c r="AX1312" s="0"/>
      <c r="AY1312" s="0"/>
      <c r="AZ1312" s="0"/>
      <c r="BA1312" s="0"/>
      <c r="BB1312" s="0"/>
      <c r="BC1312" s="0"/>
      <c r="BD1312" s="0"/>
      <c r="BE1312" s="0"/>
      <c r="BF1312" s="0"/>
      <c r="BG1312" s="0"/>
      <c r="BH1312" s="0"/>
      <c r="BI1312" s="0"/>
      <c r="BJ1312" s="0"/>
      <c r="BK1312" s="0"/>
      <c r="BL1312" s="0"/>
      <c r="BM1312" s="0"/>
      <c r="BN1312" s="0"/>
      <c r="BO1312" s="0"/>
      <c r="BP1312" s="0"/>
      <c r="BQ1312" s="0"/>
      <c r="BR1312" s="0"/>
      <c r="BS1312" s="0"/>
      <c r="BT1312" s="0"/>
      <c r="BU1312" s="0"/>
      <c r="BV1312" s="0"/>
      <c r="BW1312" s="0"/>
      <c r="BX1312" s="0"/>
      <c r="BY1312" s="0"/>
      <c r="BZ1312" s="0"/>
      <c r="CA1312" s="0"/>
      <c r="CB1312" s="0"/>
      <c r="CC1312" s="0"/>
      <c r="CD1312" s="0"/>
      <c r="CE1312" s="0"/>
      <c r="CF1312" s="0"/>
      <c r="CG1312" s="0"/>
      <c r="CH1312" s="0"/>
      <c r="CI1312" s="0"/>
      <c r="CJ1312" s="0"/>
      <c r="CK1312" s="0"/>
      <c r="CL1312" s="0"/>
      <c r="CM1312" s="0"/>
      <c r="CN1312" s="0"/>
      <c r="CO1312" s="0"/>
      <c r="CP1312" s="0"/>
      <c r="CQ1312" s="0"/>
      <c r="CR1312" s="0"/>
      <c r="CS1312" s="0"/>
      <c r="CT1312" s="0"/>
      <c r="CU1312" s="0"/>
      <c r="CV1312" s="0"/>
      <c r="CW1312" s="0"/>
      <c r="CX1312" s="0"/>
      <c r="CY1312" s="0"/>
      <c r="CZ1312" s="0"/>
      <c r="DA1312" s="0"/>
      <c r="DB1312" s="0"/>
      <c r="DC1312" s="0"/>
      <c r="DD1312" s="0"/>
      <c r="DE1312" s="0"/>
      <c r="DF1312" s="0"/>
      <c r="DG1312" s="0"/>
      <c r="DH1312" s="0"/>
      <c r="DI1312" s="0"/>
      <c r="DJ1312" s="0"/>
      <c r="DK1312" s="0"/>
      <c r="DL1312" s="0"/>
      <c r="DM1312" s="0"/>
      <c r="DN1312" s="0"/>
      <c r="DO1312" s="0"/>
      <c r="DP1312" s="0"/>
      <c r="DQ1312" s="0"/>
      <c r="DR1312" s="0"/>
      <c r="DS1312" s="0"/>
      <c r="DT1312" s="0"/>
      <c r="DU1312" s="0"/>
      <c r="DV1312" s="0"/>
      <c r="DW1312" s="0"/>
      <c r="DX1312" s="0"/>
      <c r="DY1312" s="0"/>
      <c r="DZ1312" s="0"/>
      <c r="EA1312" s="0"/>
      <c r="EB1312" s="0"/>
      <c r="EC1312" s="0"/>
      <c r="ED1312" s="0"/>
      <c r="EE1312" s="0"/>
      <c r="EF1312" s="0"/>
      <c r="EG1312" s="0"/>
      <c r="EH1312" s="0"/>
      <c r="EI1312" s="0"/>
      <c r="EJ1312" s="0"/>
      <c r="EK1312" s="0"/>
      <c r="EL1312" s="0"/>
      <c r="EM1312" s="0"/>
      <c r="EN1312" s="0"/>
      <c r="EO1312" s="0"/>
      <c r="EP1312" s="0"/>
      <c r="EQ1312" s="0"/>
      <c r="ER1312" s="0"/>
      <c r="ES1312" s="0"/>
      <c r="ET1312" s="0"/>
      <c r="EU1312" s="0"/>
      <c r="EV1312" s="0"/>
      <c r="EW1312" s="0"/>
      <c r="EX1312" s="0"/>
      <c r="EY1312" s="0"/>
      <c r="EZ1312" s="0"/>
      <c r="FA1312" s="0"/>
      <c r="FB1312" s="0"/>
      <c r="FC1312" s="0"/>
      <c r="FD1312" s="0"/>
      <c r="FE1312" s="0"/>
      <c r="FF1312" s="0"/>
      <c r="FG1312" s="0"/>
      <c r="FH1312" s="0"/>
      <c r="FI1312" s="0"/>
      <c r="FJ1312" s="0"/>
      <c r="FK1312" s="0"/>
      <c r="FL1312" s="0"/>
      <c r="FM1312" s="0"/>
      <c r="FN1312" s="0"/>
      <c r="FO1312" s="0"/>
      <c r="FP1312" s="0"/>
      <c r="FQ1312" s="0"/>
      <c r="FR1312" s="0"/>
      <c r="FS1312" s="0"/>
      <c r="FT1312" s="0"/>
      <c r="FU1312" s="0"/>
      <c r="FV1312" s="0"/>
      <c r="FW1312" s="0"/>
      <c r="FX1312" s="0"/>
      <c r="FY1312" s="0"/>
      <c r="FZ1312" s="0"/>
      <c r="GA1312" s="0"/>
      <c r="GB1312" s="0"/>
      <c r="GC1312" s="0"/>
      <c r="GD1312" s="0"/>
      <c r="GE1312" s="0"/>
      <c r="GF1312" s="0"/>
      <c r="GG1312" s="0"/>
      <c r="GH1312" s="0"/>
      <c r="GI1312" s="0"/>
      <c r="GJ1312" s="0"/>
      <c r="GK1312" s="0"/>
      <c r="GL1312" s="0"/>
      <c r="GM1312" s="0"/>
      <c r="GN1312" s="0"/>
      <c r="GO1312" s="0"/>
      <c r="GP1312" s="0"/>
      <c r="GQ1312" s="0"/>
      <c r="GR1312" s="0"/>
      <c r="GS1312" s="0"/>
      <c r="GT1312" s="0"/>
      <c r="GU1312" s="0"/>
      <c r="GV1312" s="0"/>
      <c r="GW1312" s="0"/>
      <c r="GX1312" s="0"/>
      <c r="GY1312" s="0"/>
      <c r="GZ1312" s="0"/>
      <c r="HA1312" s="0"/>
      <c r="HB1312" s="0"/>
      <c r="HC1312" s="0"/>
      <c r="HD1312" s="0"/>
      <c r="HE1312" s="0"/>
      <c r="HF1312" s="0"/>
      <c r="HG1312" s="0"/>
      <c r="HH1312" s="0"/>
      <c r="HI1312" s="0"/>
      <c r="HJ1312" s="0"/>
      <c r="HK1312" s="0"/>
      <c r="HL1312" s="0"/>
      <c r="HM1312" s="0"/>
      <c r="HN1312" s="0"/>
      <c r="HO1312" s="0"/>
      <c r="HP1312" s="0"/>
      <c r="HQ1312" s="0"/>
      <c r="HR1312" s="0"/>
      <c r="HS1312" s="0"/>
      <c r="HT1312" s="0"/>
      <c r="HU1312" s="0"/>
      <c r="HV1312" s="0"/>
      <c r="HW1312" s="0"/>
      <c r="HX1312" s="0"/>
      <c r="HY1312" s="0"/>
      <c r="HZ1312" s="0"/>
      <c r="IA1312" s="0"/>
      <c r="IB1312" s="0"/>
      <c r="IC1312" s="0"/>
      <c r="ID1312" s="0"/>
      <c r="IE1312" s="0"/>
      <c r="IF1312" s="0"/>
      <c r="IG1312" s="0"/>
      <c r="IH1312" s="0"/>
      <c r="II1312" s="0"/>
      <c r="IJ1312" s="0"/>
      <c r="IK1312" s="0"/>
      <c r="IL1312" s="0"/>
      <c r="IM1312" s="0"/>
      <c r="IN1312" s="0"/>
      <c r="IO1312" s="0"/>
      <c r="IP1312" s="0"/>
      <c r="IQ1312" s="0"/>
      <c r="IR1312" s="0"/>
      <c r="IS1312" s="0"/>
      <c r="IT1312" s="0"/>
      <c r="IU1312" s="0"/>
      <c r="IV1312" s="0"/>
    </row>
    <row r="1313" customFormat="false" ht="15.75" hidden="false" customHeight="true" outlineLevel="0" collapsed="false">
      <c r="A1313" s="15" t="s">
        <v>951</v>
      </c>
      <c r="B1313" s="1258"/>
      <c r="C1313" s="1258"/>
      <c r="D1313" s="1258"/>
      <c r="E1313" s="1258"/>
      <c r="G1313" s="1484"/>
      <c r="K1313" s="1460"/>
      <c r="L1313" s="1432"/>
      <c r="M1313" s="1444"/>
      <c r="N1313" s="0"/>
      <c r="O1313" s="0"/>
      <c r="P1313" s="0"/>
      <c r="Q1313" s="0"/>
      <c r="R1313" s="0"/>
      <c r="S1313" s="0"/>
      <c r="T1313" s="0"/>
      <c r="U1313" s="0"/>
      <c r="V1313" s="0"/>
      <c r="W1313" s="0"/>
      <c r="X1313" s="0"/>
      <c r="Y1313" s="0"/>
      <c r="Z1313" s="0"/>
      <c r="AA1313" s="0"/>
      <c r="AB1313" s="0"/>
      <c r="AC1313" s="0"/>
      <c r="AD1313" s="0"/>
      <c r="AE1313" s="0"/>
      <c r="AF1313" s="0"/>
      <c r="AG1313" s="0"/>
      <c r="AH1313" s="0"/>
      <c r="AI1313" s="0"/>
      <c r="AJ1313" s="0"/>
      <c r="AK1313" s="0"/>
      <c r="AL1313" s="0"/>
      <c r="AM1313" s="0"/>
      <c r="AN1313" s="0"/>
      <c r="AO1313" s="0"/>
      <c r="AP1313" s="0"/>
      <c r="AQ1313" s="0"/>
      <c r="AR1313" s="0"/>
      <c r="AS1313" s="0"/>
      <c r="AT1313" s="0"/>
      <c r="AU1313" s="0"/>
      <c r="AV1313" s="0"/>
      <c r="AW1313" s="0"/>
      <c r="AX1313" s="0"/>
      <c r="AY1313" s="0"/>
      <c r="AZ1313" s="0"/>
      <c r="BA1313" s="0"/>
      <c r="BB1313" s="0"/>
      <c r="BC1313" s="0"/>
      <c r="BD1313" s="0"/>
      <c r="BE1313" s="0"/>
      <c r="BF1313" s="0"/>
      <c r="BG1313" s="0"/>
      <c r="BH1313" s="0"/>
      <c r="BI1313" s="0"/>
      <c r="BJ1313" s="0"/>
      <c r="BK1313" s="0"/>
      <c r="BL1313" s="0"/>
      <c r="BM1313" s="0"/>
      <c r="BN1313" s="0"/>
      <c r="BO1313" s="0"/>
      <c r="BP1313" s="0"/>
      <c r="BQ1313" s="0"/>
      <c r="BR1313" s="0"/>
      <c r="BS1313" s="0"/>
      <c r="BT1313" s="0"/>
      <c r="BU1313" s="0"/>
      <c r="BV1313" s="0"/>
      <c r="BW1313" s="0"/>
      <c r="BX1313" s="0"/>
      <c r="BY1313" s="0"/>
      <c r="BZ1313" s="0"/>
      <c r="CA1313" s="0"/>
      <c r="CB1313" s="0"/>
      <c r="CC1313" s="0"/>
      <c r="CD1313" s="0"/>
      <c r="CE1313" s="0"/>
      <c r="CF1313" s="0"/>
      <c r="CG1313" s="0"/>
      <c r="CH1313" s="0"/>
      <c r="CI1313" s="0"/>
      <c r="CJ1313" s="0"/>
      <c r="CK1313" s="0"/>
      <c r="CL1313" s="0"/>
      <c r="CM1313" s="0"/>
      <c r="CN1313" s="0"/>
      <c r="CO1313" s="0"/>
      <c r="CP1313" s="0"/>
      <c r="CQ1313" s="0"/>
      <c r="CR1313" s="0"/>
      <c r="CS1313" s="0"/>
      <c r="CT1313" s="0"/>
      <c r="CU1313" s="0"/>
      <c r="CV1313" s="0"/>
      <c r="CW1313" s="0"/>
      <c r="CX1313" s="0"/>
      <c r="CY1313" s="0"/>
      <c r="CZ1313" s="0"/>
      <c r="DA1313" s="0"/>
      <c r="DB1313" s="0"/>
      <c r="DC1313" s="0"/>
      <c r="DD1313" s="0"/>
      <c r="DE1313" s="0"/>
      <c r="DF1313" s="0"/>
      <c r="DG1313" s="0"/>
      <c r="DH1313" s="0"/>
      <c r="DI1313" s="0"/>
      <c r="DJ1313" s="0"/>
      <c r="DK1313" s="0"/>
      <c r="DL1313" s="0"/>
      <c r="DM1313" s="0"/>
      <c r="DN1313" s="0"/>
      <c r="DO1313" s="0"/>
      <c r="DP1313" s="0"/>
      <c r="DQ1313" s="0"/>
      <c r="DR1313" s="0"/>
      <c r="DS1313" s="0"/>
      <c r="DT1313" s="0"/>
      <c r="DU1313" s="0"/>
      <c r="DV1313" s="0"/>
      <c r="DW1313" s="0"/>
      <c r="DX1313" s="0"/>
      <c r="DY1313" s="0"/>
      <c r="DZ1313" s="0"/>
      <c r="EA1313" s="0"/>
      <c r="EB1313" s="0"/>
      <c r="EC1313" s="0"/>
      <c r="ED1313" s="0"/>
      <c r="EE1313" s="0"/>
      <c r="EF1313" s="0"/>
      <c r="EG1313" s="0"/>
      <c r="EH1313" s="0"/>
      <c r="EI1313" s="0"/>
      <c r="EJ1313" s="0"/>
      <c r="EK1313" s="0"/>
      <c r="EL1313" s="0"/>
      <c r="EM1313" s="0"/>
      <c r="EN1313" s="0"/>
      <c r="EO1313" s="0"/>
      <c r="EP1313" s="0"/>
      <c r="EQ1313" s="0"/>
      <c r="ER1313" s="0"/>
      <c r="ES1313" s="0"/>
      <c r="ET1313" s="0"/>
      <c r="EU1313" s="0"/>
      <c r="EV1313" s="0"/>
      <c r="EW1313" s="0"/>
      <c r="EX1313" s="0"/>
      <c r="EY1313" s="0"/>
      <c r="EZ1313" s="0"/>
      <c r="FA1313" s="0"/>
      <c r="FB1313" s="0"/>
      <c r="FC1313" s="0"/>
      <c r="FD1313" s="0"/>
      <c r="FE1313" s="0"/>
      <c r="FF1313" s="0"/>
      <c r="FG1313" s="0"/>
      <c r="FH1313" s="0"/>
      <c r="FI1313" s="0"/>
      <c r="FJ1313" s="0"/>
      <c r="FK1313" s="0"/>
      <c r="FL1313" s="0"/>
      <c r="FM1313" s="0"/>
      <c r="FN1313" s="0"/>
      <c r="FO1313" s="0"/>
      <c r="FP1313" s="0"/>
      <c r="FQ1313" s="0"/>
      <c r="FR1313" s="0"/>
      <c r="FS1313" s="0"/>
      <c r="FT1313" s="0"/>
      <c r="FU1313" s="0"/>
      <c r="FV1313" s="0"/>
      <c r="FW1313" s="0"/>
      <c r="FX1313" s="0"/>
      <c r="FY1313" s="0"/>
      <c r="FZ1313" s="0"/>
      <c r="GA1313" s="0"/>
      <c r="GB1313" s="0"/>
      <c r="GC1313" s="0"/>
      <c r="GD1313" s="0"/>
      <c r="GE1313" s="0"/>
      <c r="GF1313" s="0"/>
      <c r="GG1313" s="0"/>
      <c r="GH1313" s="0"/>
      <c r="GI1313" s="0"/>
      <c r="GJ1313" s="0"/>
      <c r="GK1313" s="0"/>
      <c r="GL1313" s="0"/>
      <c r="GM1313" s="0"/>
      <c r="GN1313" s="0"/>
      <c r="GO1313" s="0"/>
      <c r="GP1313" s="0"/>
      <c r="GQ1313" s="0"/>
      <c r="GR1313" s="0"/>
      <c r="GS1313" s="0"/>
      <c r="GT1313" s="0"/>
      <c r="GU1313" s="0"/>
      <c r="GV1313" s="0"/>
      <c r="GW1313" s="0"/>
      <c r="GX1313" s="0"/>
      <c r="GY1313" s="0"/>
      <c r="GZ1313" s="0"/>
      <c r="HA1313" s="0"/>
      <c r="HB1313" s="0"/>
      <c r="HC1313" s="0"/>
      <c r="HD1313" s="0"/>
      <c r="HE1313" s="0"/>
      <c r="HF1313" s="0"/>
      <c r="HG1313" s="0"/>
      <c r="HH1313" s="0"/>
      <c r="HI1313" s="0"/>
      <c r="HJ1313" s="0"/>
      <c r="HK1313" s="0"/>
      <c r="HL1313" s="0"/>
      <c r="HM1313" s="0"/>
      <c r="HN1313" s="0"/>
      <c r="HO1313" s="0"/>
      <c r="HP1313" s="0"/>
      <c r="HQ1313" s="0"/>
      <c r="HR1313" s="0"/>
      <c r="HS1313" s="0"/>
      <c r="HT1313" s="0"/>
      <c r="HU1313" s="0"/>
      <c r="HV1313" s="0"/>
      <c r="HW1313" s="0"/>
      <c r="HX1313" s="0"/>
      <c r="HY1313" s="0"/>
      <c r="HZ1313" s="0"/>
      <c r="IA1313" s="0"/>
      <c r="IB1313" s="0"/>
      <c r="IC1313" s="0"/>
      <c r="ID1313" s="0"/>
      <c r="IE1313" s="0"/>
      <c r="IF1313" s="0"/>
      <c r="IG1313" s="0"/>
      <c r="IH1313" s="0"/>
      <c r="II1313" s="0"/>
      <c r="IJ1313" s="0"/>
      <c r="IK1313" s="0"/>
      <c r="IL1313" s="0"/>
      <c r="IM1313" s="0"/>
      <c r="IN1313" s="0"/>
      <c r="IO1313" s="0"/>
      <c r="IP1313" s="0"/>
      <c r="IQ1313" s="0"/>
      <c r="IR1313" s="0"/>
      <c r="IS1313" s="0"/>
      <c r="IT1313" s="0"/>
      <c r="IU1313" s="0"/>
      <c r="IV1313" s="0"/>
    </row>
    <row r="1314" customFormat="false" ht="15.75" hidden="false" customHeight="true" outlineLevel="0" collapsed="false">
      <c r="G1314" s="1484"/>
      <c r="K1314" s="1460"/>
      <c r="L1314" s="1480"/>
      <c r="M1314" s="1444"/>
      <c r="N1314" s="0"/>
      <c r="O1314" s="0"/>
      <c r="P1314" s="0"/>
      <c r="Q1314" s="0"/>
      <c r="R1314" s="0"/>
      <c r="S1314" s="0"/>
      <c r="T1314" s="0"/>
      <c r="U1314" s="0"/>
      <c r="V1314" s="0"/>
      <c r="W1314" s="0"/>
      <c r="X1314" s="0"/>
      <c r="Y1314" s="0"/>
      <c r="Z1314" s="0"/>
      <c r="AA1314" s="0"/>
      <c r="AB1314" s="0"/>
      <c r="AC1314" s="0"/>
      <c r="AD1314" s="0"/>
      <c r="AE1314" s="0"/>
      <c r="AF1314" s="0"/>
      <c r="AG1314" s="0"/>
      <c r="AH1314" s="0"/>
      <c r="AI1314" s="0"/>
      <c r="AJ1314" s="0"/>
      <c r="AK1314" s="0"/>
      <c r="AL1314" s="0"/>
      <c r="AM1314" s="0"/>
      <c r="AN1314" s="0"/>
      <c r="AO1314" s="0"/>
      <c r="AP1314" s="0"/>
      <c r="AQ1314" s="0"/>
      <c r="AR1314" s="0"/>
      <c r="AS1314" s="0"/>
      <c r="AT1314" s="0"/>
      <c r="AU1314" s="0"/>
      <c r="AV1314" s="0"/>
      <c r="AW1314" s="0"/>
      <c r="AX1314" s="0"/>
      <c r="AY1314" s="0"/>
      <c r="AZ1314" s="0"/>
      <c r="BA1314" s="0"/>
      <c r="BB1314" s="0"/>
      <c r="BC1314" s="0"/>
      <c r="BD1314" s="0"/>
      <c r="BE1314" s="0"/>
      <c r="BF1314" s="0"/>
      <c r="BG1314" s="0"/>
      <c r="BH1314" s="0"/>
      <c r="BI1314" s="0"/>
      <c r="BJ1314" s="0"/>
      <c r="BK1314" s="0"/>
      <c r="BL1314" s="0"/>
      <c r="BM1314" s="0"/>
      <c r="BN1314" s="0"/>
      <c r="BO1314" s="0"/>
      <c r="BP1314" s="0"/>
      <c r="BQ1314" s="0"/>
      <c r="BR1314" s="0"/>
      <c r="BS1314" s="0"/>
      <c r="BT1314" s="0"/>
      <c r="BU1314" s="0"/>
      <c r="BV1314" s="0"/>
      <c r="BW1314" s="0"/>
      <c r="BX1314" s="0"/>
      <c r="BY1314" s="0"/>
      <c r="BZ1314" s="0"/>
      <c r="CA1314" s="0"/>
      <c r="CB1314" s="0"/>
      <c r="CC1314" s="0"/>
      <c r="CD1314" s="0"/>
      <c r="CE1314" s="0"/>
      <c r="CF1314" s="0"/>
      <c r="CG1314" s="0"/>
      <c r="CH1314" s="0"/>
      <c r="CI1314" s="0"/>
      <c r="CJ1314" s="0"/>
      <c r="CK1314" s="0"/>
      <c r="CL1314" s="0"/>
      <c r="CM1314" s="0"/>
      <c r="CN1314" s="0"/>
      <c r="CO1314" s="0"/>
      <c r="CP1314" s="0"/>
      <c r="CQ1314" s="0"/>
      <c r="CR1314" s="0"/>
      <c r="CS1314" s="0"/>
      <c r="CT1314" s="0"/>
      <c r="CU1314" s="0"/>
      <c r="CV1314" s="0"/>
      <c r="CW1314" s="0"/>
      <c r="CX1314" s="0"/>
      <c r="CY1314" s="0"/>
      <c r="CZ1314" s="0"/>
      <c r="DA1314" s="0"/>
      <c r="DB1314" s="0"/>
      <c r="DC1314" s="0"/>
      <c r="DD1314" s="0"/>
      <c r="DE1314" s="0"/>
      <c r="DF1314" s="0"/>
      <c r="DG1314" s="0"/>
      <c r="DH1314" s="0"/>
      <c r="DI1314" s="0"/>
      <c r="DJ1314" s="0"/>
      <c r="DK1314" s="0"/>
      <c r="DL1314" s="0"/>
      <c r="DM1314" s="0"/>
      <c r="DN1314" s="0"/>
      <c r="DO1314" s="0"/>
      <c r="DP1314" s="0"/>
      <c r="DQ1314" s="0"/>
      <c r="DR1314" s="0"/>
      <c r="DS1314" s="0"/>
      <c r="DT1314" s="0"/>
      <c r="DU1314" s="0"/>
      <c r="DV1314" s="0"/>
      <c r="DW1314" s="0"/>
      <c r="DX1314" s="0"/>
      <c r="DY1314" s="0"/>
      <c r="DZ1314" s="0"/>
      <c r="EA1314" s="0"/>
      <c r="EB1314" s="0"/>
      <c r="EC1314" s="0"/>
      <c r="ED1314" s="0"/>
      <c r="EE1314" s="0"/>
      <c r="EF1314" s="0"/>
      <c r="EG1314" s="0"/>
      <c r="EH1314" s="0"/>
      <c r="EI1314" s="0"/>
      <c r="EJ1314" s="0"/>
      <c r="EK1314" s="0"/>
      <c r="EL1314" s="0"/>
      <c r="EM1314" s="0"/>
      <c r="EN1314" s="0"/>
      <c r="EO1314" s="0"/>
      <c r="EP1314" s="0"/>
      <c r="EQ1314" s="0"/>
      <c r="ER1314" s="0"/>
      <c r="ES1314" s="0"/>
      <c r="ET1314" s="0"/>
      <c r="EU1314" s="0"/>
      <c r="EV1314" s="0"/>
      <c r="EW1314" s="0"/>
      <c r="EX1314" s="0"/>
      <c r="EY1314" s="0"/>
      <c r="EZ1314" s="0"/>
      <c r="FA1314" s="0"/>
      <c r="FB1314" s="0"/>
      <c r="FC1314" s="0"/>
      <c r="FD1314" s="0"/>
      <c r="FE1314" s="0"/>
      <c r="FF1314" s="0"/>
      <c r="FG1314" s="0"/>
      <c r="FH1314" s="0"/>
      <c r="FI1314" s="0"/>
      <c r="FJ1314" s="0"/>
      <c r="FK1314" s="0"/>
      <c r="FL1314" s="0"/>
      <c r="FM1314" s="0"/>
      <c r="FN1314" s="0"/>
      <c r="FO1314" s="0"/>
      <c r="FP1314" s="0"/>
      <c r="FQ1314" s="0"/>
      <c r="FR1314" s="0"/>
      <c r="FS1314" s="0"/>
      <c r="FT1314" s="0"/>
      <c r="FU1314" s="0"/>
      <c r="FV1314" s="0"/>
      <c r="FW1314" s="0"/>
      <c r="FX1314" s="0"/>
      <c r="FY1314" s="0"/>
      <c r="FZ1314" s="0"/>
      <c r="GA1314" s="0"/>
      <c r="GB1314" s="0"/>
      <c r="GC1314" s="0"/>
      <c r="GD1314" s="0"/>
      <c r="GE1314" s="0"/>
      <c r="GF1314" s="0"/>
      <c r="GG1314" s="0"/>
      <c r="GH1314" s="0"/>
      <c r="GI1314" s="0"/>
      <c r="GJ1314" s="0"/>
      <c r="GK1314" s="0"/>
      <c r="GL1314" s="0"/>
      <c r="GM1314" s="0"/>
      <c r="GN1314" s="0"/>
      <c r="GO1314" s="0"/>
      <c r="GP1314" s="0"/>
      <c r="GQ1314" s="0"/>
      <c r="GR1314" s="0"/>
      <c r="GS1314" s="0"/>
      <c r="GT1314" s="0"/>
      <c r="GU1314" s="0"/>
      <c r="GV1314" s="0"/>
      <c r="GW1314" s="0"/>
      <c r="GX1314" s="0"/>
      <c r="GY1314" s="0"/>
      <c r="GZ1314" s="0"/>
      <c r="HA1314" s="0"/>
      <c r="HB1314" s="0"/>
      <c r="HC1314" s="0"/>
      <c r="HD1314" s="0"/>
      <c r="HE1314" s="0"/>
      <c r="HF1314" s="0"/>
      <c r="HG1314" s="0"/>
      <c r="HH1314" s="0"/>
      <c r="HI1314" s="0"/>
      <c r="HJ1314" s="0"/>
      <c r="HK1314" s="0"/>
      <c r="HL1314" s="0"/>
      <c r="HM1314" s="0"/>
      <c r="HN1314" s="0"/>
      <c r="HO1314" s="0"/>
      <c r="HP1314" s="0"/>
      <c r="HQ1314" s="0"/>
      <c r="HR1314" s="0"/>
      <c r="HS1314" s="0"/>
      <c r="HT1314" s="0"/>
      <c r="HU1314" s="0"/>
      <c r="HV1314" s="0"/>
      <c r="HW1314" s="0"/>
      <c r="HX1314" s="0"/>
      <c r="HY1314" s="0"/>
      <c r="HZ1314" s="0"/>
      <c r="IA1314" s="0"/>
      <c r="IB1314" s="0"/>
      <c r="IC1314" s="0"/>
      <c r="ID1314" s="0"/>
      <c r="IE1314" s="0"/>
      <c r="IF1314" s="0"/>
      <c r="IG1314" s="0"/>
      <c r="IH1314" s="0"/>
      <c r="II1314" s="0"/>
      <c r="IJ1314" s="0"/>
      <c r="IK1314" s="0"/>
      <c r="IL1314" s="0"/>
      <c r="IM1314" s="0"/>
      <c r="IN1314" s="0"/>
      <c r="IO1314" s="0"/>
      <c r="IP1314" s="0"/>
      <c r="IQ1314" s="0"/>
      <c r="IR1314" s="0"/>
      <c r="IS1314" s="0"/>
      <c r="IT1314" s="0"/>
      <c r="IU1314" s="0"/>
      <c r="IV1314" s="0"/>
    </row>
    <row r="1315" customFormat="false" ht="15.75" hidden="false" customHeight="true" outlineLevel="0" collapsed="false">
      <c r="A1315" s="951" t="s">
        <v>1789</v>
      </c>
      <c r="B1315" s="1008"/>
      <c r="C1315" s="19"/>
      <c r="D1315" s="1479" t="s">
        <v>253</v>
      </c>
      <c r="E1315" s="19"/>
      <c r="F1315" s="1485"/>
      <c r="H1315" s="19"/>
      <c r="I1315" s="452"/>
      <c r="J1315" s="1143"/>
      <c r="K1315" s="1310"/>
      <c r="L1315" s="1432"/>
      <c r="M1315" s="1444"/>
      <c r="N1315" s="0"/>
      <c r="O1315" s="0"/>
      <c r="P1315" s="0"/>
      <c r="Q1315" s="0"/>
      <c r="R1315" s="0"/>
      <c r="S1315" s="0"/>
      <c r="T1315" s="0"/>
      <c r="U1315" s="0"/>
      <c r="V1315" s="0"/>
      <c r="W1315" s="0"/>
      <c r="X1315" s="0"/>
      <c r="Y1315" s="0"/>
      <c r="Z1315" s="0"/>
      <c r="AA1315" s="0"/>
      <c r="AB1315" s="0"/>
      <c r="AC1315" s="0"/>
      <c r="AD1315" s="0"/>
      <c r="AE1315" s="0"/>
      <c r="AF1315" s="0"/>
      <c r="AG1315" s="0"/>
      <c r="AH1315" s="0"/>
      <c r="AI1315" s="0"/>
      <c r="AJ1315" s="0"/>
      <c r="AK1315" s="0"/>
      <c r="AL1315" s="0"/>
      <c r="AM1315" s="0"/>
      <c r="AN1315" s="0"/>
      <c r="AO1315" s="0"/>
      <c r="AP1315" s="0"/>
      <c r="AQ1315" s="0"/>
      <c r="AR1315" s="0"/>
      <c r="AS1315" s="0"/>
      <c r="AT1315" s="0"/>
      <c r="AU1315" s="0"/>
      <c r="AV1315" s="0"/>
      <c r="AW1315" s="0"/>
      <c r="AX1315" s="0"/>
      <c r="AY1315" s="0"/>
      <c r="AZ1315" s="0"/>
      <c r="BA1315" s="0"/>
      <c r="BB1315" s="0"/>
      <c r="BC1315" s="0"/>
      <c r="BD1315" s="0"/>
      <c r="BE1315" s="0"/>
      <c r="BF1315" s="0"/>
      <c r="BG1315" s="0"/>
      <c r="BH1315" s="0"/>
      <c r="BI1315" s="0"/>
      <c r="BJ1315" s="0"/>
      <c r="BK1315" s="0"/>
      <c r="BL1315" s="0"/>
      <c r="BM1315" s="0"/>
      <c r="BN1315" s="0"/>
      <c r="BO1315" s="0"/>
      <c r="BP1315" s="0"/>
      <c r="BQ1315" s="0"/>
      <c r="BR1315" s="0"/>
      <c r="BS1315" s="0"/>
      <c r="BT1315" s="0"/>
      <c r="BU1315" s="0"/>
      <c r="BV1315" s="0"/>
      <c r="BW1315" s="0"/>
      <c r="BX1315" s="0"/>
      <c r="BY1315" s="0"/>
      <c r="BZ1315" s="0"/>
      <c r="CA1315" s="0"/>
      <c r="CB1315" s="0"/>
      <c r="CC1315" s="0"/>
      <c r="CD1315" s="0"/>
      <c r="CE1315" s="0"/>
      <c r="CF1315" s="0"/>
      <c r="CG1315" s="0"/>
      <c r="CH1315" s="0"/>
      <c r="CI1315" s="0"/>
      <c r="CJ1315" s="0"/>
      <c r="CK1315" s="0"/>
      <c r="CL1315" s="0"/>
      <c r="CM1315" s="0"/>
      <c r="CN1315" s="0"/>
      <c r="CO1315" s="0"/>
      <c r="CP1315" s="0"/>
      <c r="CQ1315" s="0"/>
      <c r="CR1315" s="0"/>
      <c r="CS1315" s="0"/>
      <c r="CT1315" s="0"/>
      <c r="CU1315" s="0"/>
      <c r="CV1315" s="0"/>
      <c r="CW1315" s="0"/>
      <c r="CX1315" s="0"/>
      <c r="CY1315" s="0"/>
      <c r="CZ1315" s="0"/>
      <c r="DA1315" s="0"/>
      <c r="DB1315" s="0"/>
      <c r="DC1315" s="0"/>
      <c r="DD1315" s="0"/>
      <c r="DE1315" s="0"/>
      <c r="DF1315" s="0"/>
      <c r="DG1315" s="0"/>
      <c r="DH1315" s="0"/>
      <c r="DI1315" s="0"/>
      <c r="DJ1315" s="0"/>
      <c r="DK1315" s="0"/>
      <c r="DL1315" s="0"/>
      <c r="DM1315" s="0"/>
      <c r="DN1315" s="0"/>
      <c r="DO1315" s="0"/>
      <c r="DP1315" s="0"/>
      <c r="DQ1315" s="0"/>
      <c r="DR1315" s="0"/>
      <c r="DS1315" s="0"/>
      <c r="DT1315" s="0"/>
      <c r="DU1315" s="0"/>
      <c r="DV1315" s="0"/>
      <c r="DW1315" s="0"/>
      <c r="DX1315" s="0"/>
      <c r="DY1315" s="0"/>
      <c r="DZ1315" s="0"/>
      <c r="EA1315" s="0"/>
      <c r="EB1315" s="0"/>
      <c r="EC1315" s="0"/>
      <c r="ED1315" s="0"/>
      <c r="EE1315" s="0"/>
      <c r="EF1315" s="0"/>
      <c r="EG1315" s="0"/>
      <c r="EH1315" s="0"/>
      <c r="EI1315" s="0"/>
      <c r="EJ1315" s="0"/>
      <c r="EK1315" s="0"/>
      <c r="EL1315" s="0"/>
      <c r="EM1315" s="0"/>
      <c r="EN1315" s="0"/>
      <c r="EO1315" s="0"/>
      <c r="EP1315" s="0"/>
      <c r="EQ1315" s="0"/>
      <c r="ER1315" s="0"/>
      <c r="ES1315" s="0"/>
      <c r="ET1315" s="0"/>
      <c r="EU1315" s="0"/>
      <c r="EV1315" s="0"/>
      <c r="EW1315" s="0"/>
      <c r="EX1315" s="0"/>
      <c r="EY1315" s="0"/>
      <c r="EZ1315" s="0"/>
      <c r="FA1315" s="0"/>
      <c r="FB1315" s="0"/>
      <c r="FC1315" s="0"/>
      <c r="FD1315" s="0"/>
      <c r="FE1315" s="0"/>
      <c r="FF1315" s="0"/>
      <c r="FG1315" s="0"/>
      <c r="FH1315" s="0"/>
      <c r="FI1315" s="0"/>
      <c r="FJ1315" s="0"/>
      <c r="FK1315" s="0"/>
      <c r="FL1315" s="0"/>
      <c r="FM1315" s="0"/>
      <c r="FN1315" s="0"/>
      <c r="FO1315" s="0"/>
      <c r="FP1315" s="0"/>
      <c r="FQ1315" s="0"/>
      <c r="FR1315" s="0"/>
      <c r="FS1315" s="0"/>
      <c r="FT1315" s="0"/>
      <c r="FU1315" s="0"/>
      <c r="FV1315" s="0"/>
      <c r="FW1315" s="0"/>
      <c r="FX1315" s="0"/>
      <c r="FY1315" s="0"/>
      <c r="FZ1315" s="0"/>
      <c r="GA1315" s="0"/>
      <c r="GB1315" s="0"/>
      <c r="GC1315" s="0"/>
      <c r="GD1315" s="0"/>
      <c r="GE1315" s="0"/>
      <c r="GF1315" s="0"/>
      <c r="GG1315" s="0"/>
      <c r="GH1315" s="0"/>
      <c r="GI1315" s="0"/>
      <c r="GJ1315" s="0"/>
      <c r="GK1315" s="0"/>
      <c r="GL1315" s="0"/>
      <c r="GM1315" s="0"/>
      <c r="GN1315" s="0"/>
      <c r="GO1315" s="0"/>
      <c r="GP1315" s="0"/>
      <c r="GQ1315" s="0"/>
      <c r="GR1315" s="0"/>
      <c r="GS1315" s="0"/>
      <c r="GT1315" s="0"/>
      <c r="GU1315" s="0"/>
      <c r="GV1315" s="0"/>
      <c r="GW1315" s="0"/>
      <c r="GX1315" s="0"/>
      <c r="GY1315" s="0"/>
      <c r="GZ1315" s="0"/>
      <c r="HA1315" s="0"/>
      <c r="HB1315" s="0"/>
      <c r="HC1315" s="0"/>
      <c r="HD1315" s="0"/>
      <c r="HE1315" s="0"/>
      <c r="HF1315" s="0"/>
      <c r="HG1315" s="0"/>
      <c r="HH1315" s="0"/>
      <c r="HI1315" s="0"/>
      <c r="HJ1315" s="0"/>
      <c r="HK1315" s="0"/>
      <c r="HL1315" s="0"/>
      <c r="HM1315" s="0"/>
      <c r="HN1315" s="0"/>
      <c r="HO1315" s="0"/>
      <c r="HP1315" s="0"/>
      <c r="HQ1315" s="0"/>
      <c r="HR1315" s="0"/>
      <c r="HS1315" s="0"/>
      <c r="HT1315" s="0"/>
      <c r="HU1315" s="0"/>
      <c r="HV1315" s="0"/>
      <c r="HW1315" s="0"/>
      <c r="HX1315" s="0"/>
      <c r="HY1315" s="0"/>
      <c r="HZ1315" s="0"/>
      <c r="IA1315" s="0"/>
      <c r="IB1315" s="0"/>
      <c r="IC1315" s="0"/>
      <c r="ID1315" s="0"/>
      <c r="IE1315" s="0"/>
      <c r="IF1315" s="0"/>
      <c r="IG1315" s="0"/>
      <c r="IH1315" s="0"/>
      <c r="II1315" s="0"/>
      <c r="IJ1315" s="0"/>
      <c r="IK1315" s="0"/>
      <c r="IL1315" s="0"/>
      <c r="IM1315" s="0"/>
      <c r="IN1315" s="0"/>
      <c r="IO1315" s="0"/>
      <c r="IP1315" s="0"/>
      <c r="IQ1315" s="0"/>
      <c r="IR1315" s="0"/>
      <c r="IS1315" s="0"/>
      <c r="IT1315" s="0"/>
      <c r="IU1315" s="0"/>
      <c r="IV1315" s="0"/>
    </row>
    <row r="1316" customFormat="false" ht="15.75" hidden="false" customHeight="true" outlineLevel="0" collapsed="false">
      <c r="A1316" s="456"/>
      <c r="B1316" s="456"/>
      <c r="C1316" s="456"/>
      <c r="D1316" s="456"/>
      <c r="E1316" s="456"/>
      <c r="F1316" s="456"/>
      <c r="G1316" s="456"/>
      <c r="H1316" s="1332"/>
      <c r="I1316" s="19"/>
      <c r="J1316" s="667"/>
      <c r="K1316" s="55"/>
      <c r="L1316" s="0"/>
      <c r="M1316" s="1444"/>
      <c r="N1316" s="0"/>
      <c r="O1316" s="0"/>
      <c r="P1316" s="0"/>
      <c r="Q1316" s="0"/>
      <c r="R1316" s="0"/>
      <c r="S1316" s="0"/>
      <c r="T1316" s="0"/>
      <c r="U1316" s="0"/>
      <c r="V1316" s="0"/>
      <c r="W1316" s="0"/>
      <c r="X1316" s="0"/>
      <c r="Y1316" s="0"/>
      <c r="Z1316" s="0"/>
      <c r="AA1316" s="0"/>
      <c r="AB1316" s="0"/>
      <c r="AC1316" s="0"/>
      <c r="AD1316" s="0"/>
      <c r="AE1316" s="0"/>
      <c r="AF1316" s="0"/>
      <c r="AG1316" s="0"/>
      <c r="AH1316" s="0"/>
      <c r="AI1316" s="0"/>
      <c r="AJ1316" s="0"/>
      <c r="AK1316" s="0"/>
      <c r="AL1316" s="0"/>
      <c r="AM1316" s="0"/>
      <c r="AN1316" s="0"/>
      <c r="AO1316" s="0"/>
      <c r="AP1316" s="0"/>
      <c r="AQ1316" s="0"/>
      <c r="AR1316" s="0"/>
      <c r="AS1316" s="0"/>
      <c r="AT1316" s="0"/>
      <c r="AU1316" s="0"/>
      <c r="AV1316" s="0"/>
      <c r="AW1316" s="0"/>
      <c r="AX1316" s="0"/>
      <c r="AY1316" s="0"/>
      <c r="AZ1316" s="0"/>
      <c r="BA1316" s="0"/>
      <c r="BB1316" s="0"/>
      <c r="BC1316" s="0"/>
      <c r="BD1316" s="0"/>
      <c r="BE1316" s="0"/>
      <c r="BF1316" s="0"/>
      <c r="BG1316" s="0"/>
      <c r="BH1316" s="0"/>
      <c r="BI1316" s="0"/>
      <c r="BJ1316" s="0"/>
      <c r="BK1316" s="0"/>
      <c r="BL1316" s="0"/>
      <c r="BM1316" s="0"/>
      <c r="BN1316" s="0"/>
      <c r="BO1316" s="0"/>
      <c r="BP1316" s="0"/>
      <c r="BQ1316" s="0"/>
      <c r="BR1316" s="0"/>
      <c r="BS1316" s="0"/>
      <c r="BT1316" s="0"/>
      <c r="BU1316" s="0"/>
      <c r="BV1316" s="0"/>
      <c r="BW1316" s="0"/>
      <c r="BX1316" s="0"/>
      <c r="BY1316" s="0"/>
      <c r="BZ1316" s="0"/>
      <c r="CA1316" s="0"/>
      <c r="CB1316" s="0"/>
      <c r="CC1316" s="0"/>
      <c r="CD1316" s="0"/>
      <c r="CE1316" s="0"/>
      <c r="CF1316" s="0"/>
      <c r="CG1316" s="0"/>
      <c r="CH1316" s="0"/>
      <c r="CI1316" s="0"/>
      <c r="CJ1316" s="0"/>
      <c r="CK1316" s="0"/>
      <c r="CL1316" s="0"/>
      <c r="CM1316" s="0"/>
      <c r="CN1316" s="0"/>
      <c r="CO1316" s="0"/>
      <c r="CP1316" s="0"/>
      <c r="CQ1316" s="0"/>
      <c r="CR1316" s="0"/>
      <c r="CS1316" s="0"/>
      <c r="CT1316" s="0"/>
      <c r="CU1316" s="0"/>
      <c r="CV1316" s="0"/>
      <c r="CW1316" s="0"/>
      <c r="CX1316" s="0"/>
      <c r="CY1316" s="0"/>
      <c r="CZ1316" s="0"/>
      <c r="DA1316" s="0"/>
      <c r="DB1316" s="0"/>
      <c r="DC1316" s="0"/>
      <c r="DD1316" s="0"/>
      <c r="DE1316" s="0"/>
      <c r="DF1316" s="0"/>
      <c r="DG1316" s="0"/>
      <c r="DH1316" s="0"/>
      <c r="DI1316" s="0"/>
      <c r="DJ1316" s="0"/>
      <c r="DK1316" s="0"/>
      <c r="DL1316" s="0"/>
      <c r="DM1316" s="0"/>
      <c r="DN1316" s="0"/>
      <c r="DO1316" s="0"/>
      <c r="DP1316" s="0"/>
      <c r="DQ1316" s="0"/>
      <c r="DR1316" s="0"/>
      <c r="DS1316" s="0"/>
      <c r="DT1316" s="0"/>
      <c r="DU1316" s="0"/>
      <c r="DV1316" s="0"/>
      <c r="DW1316" s="0"/>
      <c r="DX1316" s="0"/>
      <c r="DY1316" s="0"/>
      <c r="DZ1316" s="0"/>
      <c r="EA1316" s="0"/>
      <c r="EB1316" s="0"/>
      <c r="EC1316" s="0"/>
      <c r="ED1316" s="0"/>
      <c r="EE1316" s="0"/>
      <c r="EF1316" s="0"/>
      <c r="EG1316" s="0"/>
      <c r="EH1316" s="0"/>
      <c r="EI1316" s="0"/>
      <c r="EJ1316" s="0"/>
      <c r="EK1316" s="0"/>
      <c r="EL1316" s="0"/>
      <c r="EM1316" s="0"/>
      <c r="EN1316" s="0"/>
      <c r="EO1316" s="0"/>
      <c r="EP1316" s="0"/>
      <c r="EQ1316" s="0"/>
      <c r="ER1316" s="0"/>
      <c r="ES1316" s="0"/>
      <c r="ET1316" s="0"/>
      <c r="EU1316" s="0"/>
      <c r="EV1316" s="0"/>
      <c r="EW1316" s="0"/>
      <c r="EX1316" s="0"/>
      <c r="EY1316" s="0"/>
      <c r="EZ1316" s="0"/>
      <c r="FA1316" s="0"/>
      <c r="FB1316" s="0"/>
      <c r="FC1316" s="0"/>
      <c r="FD1316" s="0"/>
      <c r="FE1316" s="0"/>
      <c r="FF1316" s="0"/>
      <c r="FG1316" s="0"/>
      <c r="FH1316" s="0"/>
      <c r="FI1316" s="0"/>
      <c r="FJ1316" s="0"/>
      <c r="FK1316" s="0"/>
      <c r="FL1316" s="0"/>
      <c r="FM1316" s="0"/>
      <c r="FN1316" s="0"/>
      <c r="FO1316" s="0"/>
      <c r="FP1316" s="0"/>
      <c r="FQ1316" s="0"/>
      <c r="FR1316" s="0"/>
      <c r="FS1316" s="0"/>
      <c r="FT1316" s="0"/>
      <c r="FU1316" s="0"/>
      <c r="FV1316" s="0"/>
      <c r="FW1316" s="0"/>
      <c r="FX1316" s="0"/>
      <c r="FY1316" s="0"/>
      <c r="FZ1316" s="0"/>
      <c r="GA1316" s="0"/>
      <c r="GB1316" s="0"/>
      <c r="GC1316" s="0"/>
      <c r="GD1316" s="0"/>
      <c r="GE1316" s="0"/>
      <c r="GF1316" s="0"/>
      <c r="GG1316" s="0"/>
      <c r="GH1316" s="0"/>
      <c r="GI1316" s="0"/>
      <c r="GJ1316" s="0"/>
      <c r="GK1316" s="0"/>
      <c r="GL1316" s="0"/>
      <c r="GM1316" s="0"/>
      <c r="GN1316" s="0"/>
      <c r="GO1316" s="0"/>
      <c r="GP1316" s="0"/>
      <c r="GQ1316" s="0"/>
      <c r="GR1316" s="0"/>
      <c r="GS1316" s="0"/>
      <c r="GT1316" s="0"/>
      <c r="GU1316" s="0"/>
      <c r="GV1316" s="0"/>
      <c r="GW1316" s="0"/>
      <c r="GX1316" s="0"/>
      <c r="GY1316" s="0"/>
      <c r="GZ1316" s="0"/>
      <c r="HA1316" s="0"/>
      <c r="HB1316" s="0"/>
      <c r="HC1316" s="0"/>
      <c r="HD1316" s="0"/>
      <c r="HE1316" s="0"/>
      <c r="HF1316" s="0"/>
      <c r="HG1316" s="0"/>
      <c r="HH1316" s="0"/>
      <c r="HI1316" s="0"/>
      <c r="HJ1316" s="0"/>
      <c r="HK1316" s="0"/>
      <c r="HL1316" s="0"/>
      <c r="HM1316" s="0"/>
      <c r="HN1316" s="0"/>
      <c r="HO1316" s="0"/>
      <c r="HP1316" s="0"/>
      <c r="HQ1316" s="0"/>
      <c r="HR1316" s="0"/>
      <c r="HS1316" s="0"/>
      <c r="HT1316" s="0"/>
      <c r="HU1316" s="0"/>
      <c r="HV1316" s="0"/>
      <c r="HW1316" s="0"/>
      <c r="HX1316" s="0"/>
      <c r="HY1316" s="0"/>
      <c r="HZ1316" s="0"/>
      <c r="IA1316" s="0"/>
      <c r="IB1316" s="0"/>
      <c r="IC1316" s="0"/>
      <c r="ID1316" s="0"/>
      <c r="IE1316" s="0"/>
      <c r="IF1316" s="0"/>
      <c r="IG1316" s="0"/>
      <c r="IH1316" s="0"/>
      <c r="II1316" s="0"/>
      <c r="IJ1316" s="0"/>
      <c r="IK1316" s="0"/>
      <c r="IL1316" s="0"/>
      <c r="IM1316" s="0"/>
      <c r="IN1316" s="0"/>
      <c r="IO1316" s="0"/>
      <c r="IP1316" s="0"/>
      <c r="IQ1316" s="0"/>
      <c r="IR1316" s="0"/>
      <c r="IS1316" s="0"/>
      <c r="IT1316" s="0"/>
      <c r="IU1316" s="0"/>
      <c r="IV1316" s="0"/>
    </row>
    <row r="1317" customFormat="false" ht="15" hidden="false" customHeight="true" outlineLevel="0" collapsed="false">
      <c r="A1317" s="456"/>
      <c r="B1317" s="456"/>
      <c r="C1317" s="456"/>
      <c r="D1317" s="456"/>
      <c r="E1317" s="456"/>
      <c r="F1317" s="456"/>
      <c r="G1317" s="456"/>
      <c r="H1317" s="1332"/>
      <c r="J1317" s="0"/>
      <c r="K1317" s="55"/>
    </row>
    <row r="1318" customFormat="false" ht="15" hidden="false" customHeight="true" outlineLevel="0" collapsed="false">
      <c r="A1318" s="869" t="s">
        <v>1790</v>
      </c>
      <c r="B1318" s="869"/>
      <c r="C1318" s="869"/>
      <c r="D1318" s="869"/>
      <c r="E1318" s="869"/>
      <c r="F1318" s="869"/>
      <c r="G1318" s="869"/>
      <c r="H1318" s="53"/>
      <c r="I1318" s="53"/>
      <c r="J1318" s="53"/>
      <c r="K1318" s="870"/>
      <c r="L1318" s="871"/>
      <c r="M1318" s="1444"/>
      <c r="T1318" s="0"/>
      <c r="U1318" s="0"/>
      <c r="V1318" s="0"/>
      <c r="W1318" s="0"/>
      <c r="X1318" s="0"/>
      <c r="Y1318" s="0"/>
      <c r="Z1318" s="0"/>
      <c r="AA1318" s="0"/>
      <c r="AB1318" s="0"/>
      <c r="AC1318" s="0"/>
      <c r="AD1318" s="0"/>
      <c r="AE1318" s="0"/>
      <c r="AF1318" s="0"/>
      <c r="AG1318" s="0"/>
      <c r="AH1318" s="0"/>
      <c r="AI1318" s="0"/>
      <c r="AJ1318" s="0"/>
      <c r="AK1318" s="0"/>
      <c r="AL1318" s="0"/>
      <c r="AM1318" s="0"/>
      <c r="AN1318" s="0"/>
      <c r="AO1318" s="0"/>
      <c r="AP1318" s="0"/>
      <c r="AQ1318" s="0"/>
      <c r="AR1318" s="0"/>
      <c r="AS1318" s="0"/>
      <c r="AT1318" s="0"/>
      <c r="AU1318" s="0"/>
      <c r="AV1318" s="0"/>
      <c r="AW1318" s="0"/>
      <c r="AX1318" s="0"/>
      <c r="AY1318" s="0"/>
      <c r="AZ1318" s="0"/>
      <c r="BA1318" s="0"/>
      <c r="BB1318" s="0"/>
      <c r="BC1318" s="0"/>
      <c r="BD1318" s="0"/>
      <c r="BE1318" s="0"/>
      <c r="BF1318" s="0"/>
      <c r="BG1318" s="0"/>
      <c r="BH1318" s="0"/>
      <c r="BI1318" s="0"/>
      <c r="BJ1318" s="0"/>
      <c r="BK1318" s="0"/>
      <c r="BL1318" s="0"/>
      <c r="BM1318" s="0"/>
      <c r="BN1318" s="0"/>
      <c r="BO1318" s="0"/>
      <c r="BP1318" s="0"/>
      <c r="BQ1318" s="0"/>
      <c r="BR1318" s="0"/>
      <c r="BS1318" s="0"/>
      <c r="BT1318" s="0"/>
      <c r="BU1318" s="0"/>
      <c r="BV1318" s="0"/>
      <c r="BW1318" s="0"/>
      <c r="BX1318" s="0"/>
      <c r="BY1318" s="0"/>
      <c r="BZ1318" s="0"/>
      <c r="CA1318" s="0"/>
      <c r="CB1318" s="0"/>
      <c r="CC1318" s="0"/>
      <c r="CD1318" s="0"/>
      <c r="CE1318" s="0"/>
      <c r="CF1318" s="0"/>
      <c r="CG1318" s="0"/>
      <c r="CH1318" s="0"/>
      <c r="CI1318" s="0"/>
      <c r="CJ1318" s="0"/>
      <c r="CK1318" s="0"/>
      <c r="CL1318" s="0"/>
      <c r="CM1318" s="0"/>
      <c r="CN1318" s="0"/>
      <c r="CO1318" s="0"/>
      <c r="CP1318" s="0"/>
      <c r="CQ1318" s="0"/>
      <c r="CR1318" s="0"/>
      <c r="CS1318" s="0"/>
      <c r="CT1318" s="0"/>
      <c r="CU1318" s="0"/>
      <c r="CV1318" s="0"/>
      <c r="CW1318" s="0"/>
      <c r="CX1318" s="0"/>
      <c r="CY1318" s="0"/>
      <c r="CZ1318" s="0"/>
      <c r="DA1318" s="0"/>
      <c r="DB1318" s="0"/>
      <c r="DC1318" s="0"/>
      <c r="DD1318" s="0"/>
      <c r="DE1318" s="0"/>
      <c r="DF1318" s="0"/>
      <c r="DG1318" s="0"/>
      <c r="DH1318" s="0"/>
      <c r="DI1318" s="0"/>
      <c r="DJ1318" s="0"/>
      <c r="DK1318" s="0"/>
      <c r="DL1318" s="0"/>
      <c r="DM1318" s="0"/>
      <c r="DN1318" s="0"/>
      <c r="DO1318" s="0"/>
      <c r="DP1318" s="0"/>
      <c r="DQ1318" s="0"/>
      <c r="DR1318" s="0"/>
      <c r="DS1318" s="0"/>
      <c r="DT1318" s="0"/>
      <c r="DU1318" s="0"/>
      <c r="DV1318" s="0"/>
      <c r="DW1318" s="0"/>
      <c r="DX1318" s="0"/>
      <c r="DY1318" s="0"/>
      <c r="DZ1318" s="0"/>
      <c r="EA1318" s="0"/>
      <c r="EB1318" s="0"/>
      <c r="EC1318" s="0"/>
      <c r="ED1318" s="0"/>
      <c r="EE1318" s="0"/>
      <c r="EF1318" s="0"/>
      <c r="EG1318" s="0"/>
      <c r="EH1318" s="0"/>
      <c r="EI1318" s="0"/>
      <c r="EJ1318" s="0"/>
      <c r="EK1318" s="0"/>
      <c r="EL1318" s="0"/>
      <c r="EM1318" s="0"/>
      <c r="EN1318" s="0"/>
      <c r="EO1318" s="0"/>
      <c r="EP1318" s="0"/>
      <c r="EQ1318" s="0"/>
      <c r="ER1318" s="0"/>
      <c r="ES1318" s="0"/>
      <c r="ET1318" s="0"/>
      <c r="EU1318" s="0"/>
      <c r="EV1318" s="0"/>
      <c r="EW1318" s="0"/>
      <c r="EX1318" s="0"/>
      <c r="EY1318" s="0"/>
      <c r="EZ1318" s="0"/>
      <c r="FA1318" s="0"/>
      <c r="FB1318" s="0"/>
      <c r="FC1318" s="0"/>
      <c r="FD1318" s="0"/>
      <c r="FE1318" s="0"/>
      <c r="FF1318" s="0"/>
      <c r="FG1318" s="0"/>
      <c r="FH1318" s="0"/>
      <c r="FI1318" s="0"/>
      <c r="FJ1318" s="0"/>
      <c r="FK1318" s="0"/>
      <c r="FL1318" s="0"/>
      <c r="FM1318" s="0"/>
      <c r="FN1318" s="0"/>
      <c r="FO1318" s="0"/>
      <c r="FP1318" s="0"/>
      <c r="FQ1318" s="0"/>
      <c r="FR1318" s="0"/>
      <c r="FS1318" s="0"/>
      <c r="FT1318" s="0"/>
      <c r="FU1318" s="0"/>
      <c r="FV1318" s="0"/>
      <c r="FW1318" s="0"/>
      <c r="FX1318" s="0"/>
      <c r="FY1318" s="0"/>
      <c r="FZ1318" s="0"/>
      <c r="GA1318" s="0"/>
      <c r="GB1318" s="0"/>
      <c r="GC1318" s="0"/>
      <c r="GD1318" s="0"/>
      <c r="GE1318" s="0"/>
      <c r="GF1318" s="0"/>
      <c r="GG1318" s="0"/>
      <c r="GH1318" s="0"/>
      <c r="GI1318" s="0"/>
      <c r="GJ1318" s="0"/>
      <c r="GK1318" s="0"/>
      <c r="GL1318" s="0"/>
      <c r="GM1318" s="0"/>
      <c r="GN1318" s="0"/>
      <c r="GO1318" s="0"/>
      <c r="GP1318" s="0"/>
      <c r="GQ1318" s="0"/>
      <c r="GR1318" s="0"/>
      <c r="GS1318" s="0"/>
      <c r="GT1318" s="0"/>
      <c r="GU1318" s="0"/>
      <c r="GV1318" s="0"/>
      <c r="GW1318" s="0"/>
      <c r="GX1318" s="0"/>
      <c r="GY1318" s="0"/>
      <c r="GZ1318" s="0"/>
      <c r="HA1318" s="0"/>
      <c r="HB1318" s="0"/>
      <c r="HC1318" s="0"/>
      <c r="HD1318" s="0"/>
      <c r="HE1318" s="0"/>
      <c r="HF1318" s="0"/>
      <c r="HG1318" s="0"/>
      <c r="HH1318" s="0"/>
      <c r="HI1318" s="0"/>
      <c r="HJ1318" s="0"/>
      <c r="HK1318" s="0"/>
      <c r="HL1318" s="0"/>
      <c r="HM1318" s="0"/>
      <c r="HN1318" s="0"/>
      <c r="HO1318" s="0"/>
      <c r="HP1318" s="0"/>
      <c r="HQ1318" s="0"/>
      <c r="HR1318" s="0"/>
      <c r="HS1318" s="0"/>
      <c r="HT1318" s="0"/>
      <c r="HU1318" s="0"/>
      <c r="HV1318" s="0"/>
      <c r="HW1318" s="0"/>
      <c r="HX1318" s="0"/>
      <c r="HY1318" s="0"/>
      <c r="HZ1318" s="0"/>
      <c r="IA1318" s="0"/>
      <c r="IB1318" s="0"/>
      <c r="IC1318" s="0"/>
      <c r="ID1318" s="0"/>
      <c r="IE1318" s="0"/>
      <c r="IF1318" s="0"/>
      <c r="IG1318" s="0"/>
      <c r="IH1318" s="0"/>
      <c r="II1318" s="0"/>
      <c r="IJ1318" s="0"/>
      <c r="IK1318" s="0"/>
      <c r="IL1318" s="0"/>
      <c r="IM1318" s="0"/>
      <c r="IN1318" s="0"/>
      <c r="IO1318" s="0"/>
      <c r="IP1318" s="0"/>
      <c r="IQ1318" s="0"/>
      <c r="IR1318" s="0"/>
      <c r="IS1318" s="0"/>
      <c r="IT1318" s="0"/>
      <c r="IU1318" s="0"/>
      <c r="IV1318" s="0"/>
    </row>
    <row r="1319" customFormat="false" ht="16.5" hidden="false" customHeight="true" outlineLevel="0" collapsed="false">
      <c r="A1319" s="1005"/>
      <c r="B1319" s="1005"/>
      <c r="C1319" s="1005"/>
      <c r="D1319" s="1005"/>
      <c r="E1319" s="1005"/>
      <c r="F1319" s="1005"/>
      <c r="G1319" s="1005"/>
      <c r="H1319" s="1332"/>
      <c r="J1319" s="0"/>
      <c r="K1319" s="1310"/>
      <c r="L1319" s="1432"/>
      <c r="N1319" s="0"/>
      <c r="O1319" s="0"/>
      <c r="P1319" s="0"/>
      <c r="Q1319" s="0"/>
      <c r="R1319" s="0"/>
      <c r="S1319" s="0"/>
      <c r="T1319" s="0"/>
      <c r="U1319" s="0"/>
      <c r="V1319" s="0"/>
      <c r="W1319" s="0"/>
      <c r="X1319" s="0"/>
      <c r="Y1319" s="0"/>
      <c r="Z1319" s="0"/>
      <c r="AA1319" s="0"/>
      <c r="AB1319" s="0"/>
      <c r="AC1319" s="0"/>
      <c r="AD1319" s="0"/>
      <c r="AE1319" s="0"/>
      <c r="AF1319" s="0"/>
      <c r="AG1319" s="0"/>
      <c r="AH1319" s="0"/>
      <c r="AI1319" s="0"/>
      <c r="AJ1319" s="0"/>
      <c r="AK1319" s="0"/>
      <c r="AL1319" s="0"/>
      <c r="AM1319" s="0"/>
      <c r="AN1319" s="0"/>
      <c r="AO1319" s="0"/>
      <c r="AP1319" s="0"/>
      <c r="AQ1319" s="0"/>
      <c r="AR1319" s="0"/>
      <c r="AS1319" s="0"/>
      <c r="AT1319" s="0"/>
      <c r="AU1319" s="0"/>
      <c r="AV1319" s="0"/>
      <c r="AW1319" s="0"/>
      <c r="AX1319" s="0"/>
      <c r="AY1319" s="0"/>
      <c r="AZ1319" s="0"/>
      <c r="BA1319" s="0"/>
      <c r="BB1319" s="0"/>
      <c r="BC1319" s="0"/>
      <c r="BD1319" s="0"/>
      <c r="BE1319" s="0"/>
      <c r="BF1319" s="0"/>
      <c r="BG1319" s="0"/>
      <c r="BH1319" s="0"/>
      <c r="BI1319" s="0"/>
      <c r="BJ1319" s="0"/>
      <c r="BK1319" s="0"/>
      <c r="BL1319" s="0"/>
      <c r="BM1319" s="0"/>
      <c r="BN1319" s="0"/>
      <c r="BO1319" s="0"/>
      <c r="BP1319" s="0"/>
      <c r="BQ1319" s="0"/>
      <c r="BR1319" s="0"/>
      <c r="BS1319" s="0"/>
      <c r="BT1319" s="0"/>
      <c r="BU1319" s="0"/>
      <c r="BV1319" s="0"/>
      <c r="BW1319" s="0"/>
      <c r="BX1319" s="0"/>
      <c r="BY1319" s="0"/>
      <c r="BZ1319" s="0"/>
      <c r="CA1319" s="0"/>
      <c r="CB1319" s="0"/>
      <c r="CC1319" s="0"/>
      <c r="CD1319" s="0"/>
      <c r="CE1319" s="0"/>
      <c r="CF1319" s="0"/>
      <c r="CG1319" s="0"/>
      <c r="CH1319" s="0"/>
      <c r="CI1319" s="0"/>
      <c r="CJ1319" s="0"/>
      <c r="CK1319" s="0"/>
      <c r="CL1319" s="0"/>
      <c r="CM1319" s="0"/>
      <c r="CN1319" s="0"/>
      <c r="CO1319" s="0"/>
      <c r="CP1319" s="0"/>
      <c r="CQ1319" s="0"/>
      <c r="CR1319" s="0"/>
      <c r="CS1319" s="0"/>
      <c r="CT1319" s="0"/>
      <c r="CU1319" s="0"/>
      <c r="CV1319" s="0"/>
      <c r="CW1319" s="0"/>
      <c r="CX1319" s="0"/>
      <c r="CY1319" s="0"/>
      <c r="CZ1319" s="0"/>
      <c r="DA1319" s="0"/>
      <c r="DB1319" s="0"/>
      <c r="DC1319" s="0"/>
      <c r="DD1319" s="0"/>
      <c r="DE1319" s="0"/>
      <c r="DF1319" s="0"/>
      <c r="DG1319" s="0"/>
      <c r="DH1319" s="0"/>
      <c r="DI1319" s="0"/>
      <c r="DJ1319" s="0"/>
      <c r="DK1319" s="0"/>
      <c r="DL1319" s="0"/>
      <c r="DM1319" s="0"/>
      <c r="DN1319" s="0"/>
      <c r="DO1319" s="0"/>
      <c r="DP1319" s="0"/>
      <c r="DQ1319" s="0"/>
      <c r="DR1319" s="0"/>
      <c r="DS1319" s="0"/>
      <c r="DT1319" s="0"/>
      <c r="DU1319" s="0"/>
      <c r="DV1319" s="0"/>
      <c r="DW1319" s="0"/>
      <c r="DX1319" s="0"/>
      <c r="DY1319" s="0"/>
      <c r="DZ1319" s="0"/>
      <c r="EA1319" s="0"/>
      <c r="EB1319" s="0"/>
      <c r="EC1319" s="0"/>
      <c r="ED1319" s="0"/>
      <c r="EE1319" s="0"/>
      <c r="EF1319" s="0"/>
      <c r="EG1319" s="0"/>
      <c r="EH1319" s="0"/>
      <c r="EI1319" s="0"/>
      <c r="EJ1319" s="0"/>
      <c r="EK1319" s="0"/>
      <c r="EL1319" s="0"/>
      <c r="EM1319" s="0"/>
      <c r="EN1319" s="0"/>
      <c r="EO1319" s="0"/>
      <c r="EP1319" s="0"/>
      <c r="EQ1319" s="0"/>
      <c r="ER1319" s="0"/>
      <c r="ES1319" s="0"/>
      <c r="ET1319" s="0"/>
      <c r="EU1319" s="0"/>
      <c r="EV1319" s="0"/>
      <c r="EW1319" s="0"/>
      <c r="EX1319" s="0"/>
      <c r="EY1319" s="0"/>
      <c r="EZ1319" s="0"/>
      <c r="FA1319" s="0"/>
      <c r="FB1319" s="0"/>
      <c r="FC1319" s="0"/>
      <c r="FD1319" s="0"/>
      <c r="FE1319" s="0"/>
      <c r="FF1319" s="0"/>
      <c r="FG1319" s="0"/>
      <c r="FH1319" s="0"/>
      <c r="FI1319" s="0"/>
      <c r="FJ1319" s="0"/>
      <c r="FK1319" s="0"/>
      <c r="FL1319" s="0"/>
      <c r="FM1319" s="0"/>
      <c r="FN1319" s="0"/>
      <c r="FO1319" s="0"/>
      <c r="FP1319" s="0"/>
      <c r="FQ1319" s="0"/>
      <c r="FR1319" s="0"/>
      <c r="FS1319" s="0"/>
      <c r="FT1319" s="0"/>
      <c r="FU1319" s="0"/>
      <c r="FV1319" s="0"/>
      <c r="FW1319" s="0"/>
      <c r="FX1319" s="0"/>
      <c r="FY1319" s="0"/>
      <c r="FZ1319" s="0"/>
      <c r="GA1319" s="0"/>
      <c r="GB1319" s="0"/>
      <c r="GC1319" s="0"/>
      <c r="GD1319" s="0"/>
      <c r="GE1319" s="0"/>
      <c r="GF1319" s="0"/>
      <c r="GG1319" s="0"/>
      <c r="GH1319" s="0"/>
      <c r="GI1319" s="0"/>
      <c r="GJ1319" s="0"/>
      <c r="GK1319" s="0"/>
      <c r="GL1319" s="0"/>
      <c r="GM1319" s="0"/>
      <c r="GN1319" s="0"/>
      <c r="GO1319" s="0"/>
      <c r="GP1319" s="0"/>
      <c r="GQ1319" s="0"/>
      <c r="GR1319" s="0"/>
      <c r="GS1319" s="0"/>
      <c r="GT1319" s="0"/>
      <c r="GU1319" s="0"/>
      <c r="GV1319" s="0"/>
      <c r="GW1319" s="0"/>
      <c r="GX1319" s="0"/>
      <c r="GY1319" s="0"/>
      <c r="GZ1319" s="0"/>
      <c r="HA1319" s="0"/>
      <c r="HB1319" s="0"/>
      <c r="HC1319" s="0"/>
      <c r="HD1319" s="0"/>
      <c r="HE1319" s="0"/>
      <c r="HF1319" s="0"/>
      <c r="HG1319" s="0"/>
      <c r="HH1319" s="0"/>
      <c r="HI1319" s="0"/>
      <c r="HJ1319" s="0"/>
      <c r="HK1319" s="0"/>
      <c r="HL1319" s="0"/>
      <c r="HM1319" s="0"/>
      <c r="HN1319" s="0"/>
      <c r="HO1319" s="0"/>
      <c r="HP1319" s="0"/>
      <c r="HQ1319" s="0"/>
      <c r="HR1319" s="0"/>
      <c r="HS1319" s="0"/>
      <c r="HT1319" s="0"/>
      <c r="HU1319" s="0"/>
      <c r="HV1319" s="0"/>
      <c r="HW1319" s="0"/>
      <c r="HX1319" s="0"/>
      <c r="HY1319" s="0"/>
      <c r="HZ1319" s="0"/>
      <c r="IA1319" s="0"/>
      <c r="IB1319" s="0"/>
      <c r="IC1319" s="0"/>
      <c r="ID1319" s="0"/>
      <c r="IE1319" s="0"/>
      <c r="IF1319" s="0"/>
      <c r="IG1319" s="0"/>
      <c r="IH1319" s="0"/>
      <c r="II1319" s="0"/>
      <c r="IJ1319" s="0"/>
      <c r="IK1319" s="0"/>
      <c r="IL1319" s="0"/>
      <c r="IM1319" s="0"/>
      <c r="IN1319" s="0"/>
      <c r="IO1319" s="0"/>
      <c r="IP1319" s="0"/>
      <c r="IQ1319" s="0"/>
      <c r="IR1319" s="0"/>
      <c r="IS1319" s="0"/>
      <c r="IT1319" s="0"/>
      <c r="IU1319" s="0"/>
      <c r="IV1319" s="0"/>
    </row>
    <row r="1320" customFormat="false" ht="15.75" hidden="false" customHeight="true" outlineLevel="0" collapsed="false">
      <c r="A1320" s="1111" t="s">
        <v>1791</v>
      </c>
      <c r="B1320" s="659"/>
      <c r="C1320" s="1486" t="s">
        <v>1792</v>
      </c>
      <c r="D1320" s="1487" t="n">
        <f aca="false">I1185/I1187</f>
        <v>0.201788663739274</v>
      </c>
      <c r="E1320" s="1310"/>
      <c r="F1320" s="456"/>
      <c r="G1320" s="456"/>
      <c r="H1320" s="1332"/>
      <c r="J1320" s="0"/>
      <c r="K1320" s="55"/>
      <c r="M1320" s="1444"/>
      <c r="T1320" s="0"/>
      <c r="U1320" s="0"/>
      <c r="V1320" s="0"/>
      <c r="W1320" s="0"/>
      <c r="X1320" s="0"/>
      <c r="Y1320" s="0"/>
      <c r="Z1320" s="0"/>
      <c r="AA1320" s="0"/>
      <c r="AB1320" s="0"/>
      <c r="AC1320" s="0"/>
      <c r="AD1320" s="0"/>
      <c r="AE1320" s="0"/>
      <c r="AF1320" s="0"/>
      <c r="AG1320" s="0"/>
      <c r="AH1320" s="0"/>
      <c r="AI1320" s="0"/>
      <c r="AJ1320" s="0"/>
      <c r="AK1320" s="0"/>
      <c r="AL1320" s="0"/>
      <c r="AM1320" s="0"/>
      <c r="AN1320" s="0"/>
      <c r="AO1320" s="0"/>
      <c r="AP1320" s="0"/>
      <c r="AQ1320" s="0"/>
      <c r="AR1320" s="0"/>
      <c r="AS1320" s="0"/>
      <c r="AT1320" s="0"/>
      <c r="AU1320" s="0"/>
      <c r="AV1320" s="0"/>
      <c r="AW1320" s="0"/>
      <c r="AX1320" s="0"/>
      <c r="AY1320" s="0"/>
      <c r="AZ1320" s="0"/>
      <c r="BA1320" s="0"/>
      <c r="BB1320" s="0"/>
      <c r="BC1320" s="0"/>
      <c r="BD1320" s="0"/>
      <c r="BE1320" s="0"/>
      <c r="BF1320" s="0"/>
      <c r="BG1320" s="0"/>
      <c r="BH1320" s="0"/>
      <c r="BI1320" s="0"/>
      <c r="BJ1320" s="0"/>
      <c r="BK1320" s="0"/>
      <c r="BL1320" s="0"/>
      <c r="BM1320" s="0"/>
      <c r="BN1320" s="0"/>
      <c r="BO1320" s="0"/>
      <c r="BP1320" s="0"/>
      <c r="BQ1320" s="0"/>
      <c r="BR1320" s="0"/>
      <c r="BS1320" s="0"/>
      <c r="BT1320" s="0"/>
      <c r="BU1320" s="0"/>
      <c r="BV1320" s="0"/>
      <c r="BW1320" s="0"/>
      <c r="BX1320" s="0"/>
      <c r="BY1320" s="0"/>
      <c r="BZ1320" s="0"/>
      <c r="CA1320" s="0"/>
      <c r="CB1320" s="0"/>
      <c r="CC1320" s="0"/>
      <c r="CD1320" s="0"/>
      <c r="CE1320" s="0"/>
      <c r="CF1320" s="0"/>
      <c r="CG1320" s="0"/>
      <c r="CH1320" s="0"/>
      <c r="CI1320" s="0"/>
      <c r="CJ1320" s="0"/>
      <c r="CK1320" s="0"/>
      <c r="CL1320" s="0"/>
      <c r="CM1320" s="0"/>
      <c r="CN1320" s="0"/>
      <c r="CO1320" s="0"/>
      <c r="CP1320" s="0"/>
      <c r="CQ1320" s="0"/>
      <c r="CR1320" s="0"/>
      <c r="CS1320" s="0"/>
      <c r="CT1320" s="0"/>
      <c r="CU1320" s="0"/>
      <c r="CV1320" s="0"/>
      <c r="CW1320" s="0"/>
      <c r="CX1320" s="0"/>
      <c r="CY1320" s="0"/>
      <c r="CZ1320" s="0"/>
      <c r="DA1320" s="0"/>
      <c r="DB1320" s="0"/>
      <c r="DC1320" s="0"/>
      <c r="DD1320" s="0"/>
      <c r="DE1320" s="0"/>
      <c r="DF1320" s="0"/>
      <c r="DG1320" s="0"/>
      <c r="DH1320" s="0"/>
      <c r="DI1320" s="0"/>
      <c r="DJ1320" s="0"/>
      <c r="DK1320" s="0"/>
      <c r="DL1320" s="0"/>
      <c r="DM1320" s="0"/>
      <c r="DN1320" s="0"/>
      <c r="DO1320" s="0"/>
      <c r="DP1320" s="0"/>
      <c r="DQ1320" s="0"/>
      <c r="DR1320" s="0"/>
      <c r="DS1320" s="0"/>
      <c r="DT1320" s="0"/>
      <c r="DU1320" s="0"/>
      <c r="DV1320" s="0"/>
      <c r="DW1320" s="0"/>
      <c r="DX1320" s="0"/>
      <c r="DY1320" s="0"/>
      <c r="DZ1320" s="0"/>
      <c r="EA1320" s="0"/>
      <c r="EB1320" s="0"/>
      <c r="EC1320" s="0"/>
      <c r="ED1320" s="0"/>
      <c r="EE1320" s="0"/>
      <c r="EF1320" s="0"/>
      <c r="EG1320" s="0"/>
      <c r="EH1320" s="0"/>
      <c r="EI1320" s="0"/>
      <c r="EJ1320" s="0"/>
      <c r="EK1320" s="0"/>
      <c r="EL1320" s="0"/>
      <c r="EM1320" s="0"/>
      <c r="EN1320" s="0"/>
      <c r="EO1320" s="0"/>
      <c r="EP1320" s="0"/>
      <c r="EQ1320" s="0"/>
      <c r="ER1320" s="0"/>
      <c r="ES1320" s="0"/>
      <c r="ET1320" s="0"/>
      <c r="EU1320" s="0"/>
      <c r="EV1320" s="0"/>
      <c r="EW1320" s="0"/>
      <c r="EX1320" s="0"/>
      <c r="EY1320" s="0"/>
      <c r="EZ1320" s="0"/>
      <c r="FA1320" s="0"/>
      <c r="FB1320" s="0"/>
      <c r="FC1320" s="0"/>
      <c r="FD1320" s="0"/>
      <c r="FE1320" s="0"/>
      <c r="FF1320" s="0"/>
      <c r="FG1320" s="0"/>
      <c r="FH1320" s="0"/>
      <c r="FI1320" s="0"/>
      <c r="FJ1320" s="0"/>
      <c r="FK1320" s="0"/>
      <c r="FL1320" s="0"/>
      <c r="FM1320" s="0"/>
      <c r="FN1320" s="0"/>
      <c r="FO1320" s="0"/>
      <c r="FP1320" s="0"/>
      <c r="FQ1320" s="0"/>
      <c r="FR1320" s="0"/>
      <c r="FS1320" s="0"/>
      <c r="FT1320" s="0"/>
      <c r="FU1320" s="0"/>
      <c r="FV1320" s="0"/>
      <c r="FW1320" s="0"/>
      <c r="FX1320" s="0"/>
      <c r="FY1320" s="0"/>
      <c r="FZ1320" s="0"/>
      <c r="GA1320" s="0"/>
      <c r="GB1320" s="0"/>
      <c r="GC1320" s="0"/>
      <c r="GD1320" s="0"/>
      <c r="GE1320" s="0"/>
      <c r="GF1320" s="0"/>
      <c r="GG1320" s="0"/>
      <c r="GH1320" s="0"/>
      <c r="GI1320" s="0"/>
      <c r="GJ1320" s="0"/>
      <c r="GK1320" s="0"/>
      <c r="GL1320" s="0"/>
      <c r="GM1320" s="0"/>
      <c r="GN1320" s="0"/>
      <c r="GO1320" s="0"/>
      <c r="GP1320" s="0"/>
      <c r="GQ1320" s="0"/>
      <c r="GR1320" s="0"/>
      <c r="GS1320" s="0"/>
      <c r="GT1320" s="0"/>
      <c r="GU1320" s="0"/>
      <c r="GV1320" s="0"/>
      <c r="GW1320" s="0"/>
      <c r="GX1320" s="0"/>
      <c r="GY1320" s="0"/>
      <c r="GZ1320" s="0"/>
      <c r="HA1320" s="0"/>
      <c r="HB1320" s="0"/>
      <c r="HC1320" s="0"/>
      <c r="HD1320" s="0"/>
      <c r="HE1320" s="0"/>
      <c r="HF1320" s="0"/>
      <c r="HG1320" s="0"/>
      <c r="HH1320" s="0"/>
      <c r="HI1320" s="0"/>
      <c r="HJ1320" s="0"/>
      <c r="HK1320" s="0"/>
      <c r="HL1320" s="0"/>
      <c r="HM1320" s="0"/>
      <c r="HN1320" s="0"/>
      <c r="HO1320" s="0"/>
      <c r="HP1320" s="0"/>
      <c r="HQ1320" s="0"/>
      <c r="HR1320" s="0"/>
      <c r="HS1320" s="0"/>
      <c r="HT1320" s="0"/>
      <c r="HU1320" s="0"/>
      <c r="HV1320" s="0"/>
      <c r="HW1320" s="0"/>
      <c r="HX1320" s="0"/>
      <c r="HY1320" s="0"/>
      <c r="HZ1320" s="0"/>
      <c r="IA1320" s="0"/>
      <c r="IB1320" s="0"/>
      <c r="IC1320" s="0"/>
      <c r="ID1320" s="0"/>
      <c r="IE1320" s="0"/>
      <c r="IF1320" s="0"/>
      <c r="IG1320" s="0"/>
      <c r="IH1320" s="0"/>
      <c r="II1320" s="0"/>
      <c r="IJ1320" s="0"/>
      <c r="IK1320" s="0"/>
      <c r="IL1320" s="0"/>
      <c r="IM1320" s="0"/>
      <c r="IN1320" s="0"/>
      <c r="IO1320" s="0"/>
      <c r="IP1320" s="0"/>
      <c r="IQ1320" s="0"/>
      <c r="IR1320" s="0"/>
      <c r="IS1320" s="0"/>
      <c r="IT1320" s="0"/>
      <c r="IU1320" s="0"/>
      <c r="IV1320" s="0"/>
    </row>
    <row r="1321" customFormat="false" ht="15" hidden="false" customHeight="true" outlineLevel="0" collapsed="false">
      <c r="A1321" s="624"/>
      <c r="B1321" s="437"/>
      <c r="C1321" s="624"/>
      <c r="D1321" s="437"/>
      <c r="E1321" s="1310"/>
      <c r="F1321" s="456"/>
      <c r="G1321" s="456"/>
      <c r="H1321" s="1332"/>
      <c r="J1321" s="0"/>
      <c r="K1321" s="55"/>
      <c r="M1321" s="19"/>
      <c r="N1321" s="0"/>
      <c r="O1321" s="0"/>
      <c r="P1321" s="0"/>
      <c r="Q1321" s="0"/>
      <c r="R1321" s="0"/>
      <c r="S1321" s="0"/>
      <c r="T1321" s="0"/>
      <c r="U1321" s="0"/>
      <c r="V1321" s="0"/>
      <c r="W1321" s="0"/>
      <c r="X1321" s="0"/>
      <c r="Y1321" s="0"/>
      <c r="Z1321" s="0"/>
      <c r="AA1321" s="0"/>
      <c r="AB1321" s="0"/>
      <c r="AC1321" s="0"/>
      <c r="AD1321" s="0"/>
      <c r="AE1321" s="0"/>
      <c r="AF1321" s="0"/>
      <c r="AG1321" s="0"/>
      <c r="AH1321" s="0"/>
      <c r="AI1321" s="0"/>
      <c r="AJ1321" s="0"/>
      <c r="AK1321" s="0"/>
      <c r="AL1321" s="0"/>
      <c r="AM1321" s="0"/>
      <c r="AN1321" s="0"/>
      <c r="AO1321" s="0"/>
      <c r="AP1321" s="0"/>
      <c r="AQ1321" s="0"/>
      <c r="AR1321" s="0"/>
      <c r="AS1321" s="0"/>
      <c r="AT1321" s="0"/>
      <c r="AU1321" s="0"/>
      <c r="AV1321" s="0"/>
      <c r="AW1321" s="0"/>
      <c r="AX1321" s="0"/>
      <c r="AY1321" s="0"/>
      <c r="AZ1321" s="0"/>
      <c r="BA1321" s="0"/>
      <c r="BB1321" s="0"/>
      <c r="BC1321" s="0"/>
      <c r="BD1321" s="0"/>
      <c r="BE1321" s="0"/>
      <c r="BF1321" s="0"/>
      <c r="BG1321" s="0"/>
      <c r="BH1321" s="0"/>
      <c r="BI1321" s="0"/>
      <c r="BJ1321" s="0"/>
      <c r="BK1321" s="0"/>
      <c r="BL1321" s="0"/>
      <c r="BM1321" s="0"/>
      <c r="BN1321" s="0"/>
      <c r="BO1321" s="0"/>
      <c r="BP1321" s="0"/>
      <c r="BQ1321" s="0"/>
      <c r="BR1321" s="0"/>
      <c r="BS1321" s="0"/>
      <c r="BT1321" s="0"/>
      <c r="BU1321" s="0"/>
      <c r="BV1321" s="0"/>
      <c r="BW1321" s="0"/>
      <c r="BX1321" s="0"/>
      <c r="BY1321" s="0"/>
      <c r="BZ1321" s="0"/>
      <c r="CA1321" s="0"/>
      <c r="CB1321" s="0"/>
      <c r="CC1321" s="0"/>
      <c r="CD1321" s="0"/>
      <c r="CE1321" s="0"/>
      <c r="CF1321" s="0"/>
      <c r="CG1321" s="0"/>
      <c r="CH1321" s="0"/>
      <c r="CI1321" s="0"/>
      <c r="CJ1321" s="0"/>
      <c r="CK1321" s="0"/>
      <c r="CL1321" s="0"/>
      <c r="CM1321" s="0"/>
      <c r="CN1321" s="0"/>
      <c r="CO1321" s="0"/>
      <c r="CP1321" s="0"/>
      <c r="CQ1321" s="0"/>
      <c r="CR1321" s="0"/>
      <c r="CS1321" s="0"/>
      <c r="CT1321" s="0"/>
      <c r="CU1321" s="0"/>
      <c r="CV1321" s="0"/>
      <c r="CW1321" s="0"/>
      <c r="CX1321" s="0"/>
      <c r="CY1321" s="0"/>
      <c r="CZ1321" s="0"/>
      <c r="DA1321" s="0"/>
      <c r="DB1321" s="0"/>
      <c r="DC1321" s="0"/>
      <c r="DD1321" s="0"/>
      <c r="DE1321" s="0"/>
      <c r="DF1321" s="0"/>
      <c r="DG1321" s="0"/>
      <c r="DH1321" s="0"/>
      <c r="DI1321" s="0"/>
      <c r="DJ1321" s="0"/>
      <c r="DK1321" s="0"/>
      <c r="DL1321" s="0"/>
      <c r="DM1321" s="0"/>
      <c r="DN1321" s="0"/>
      <c r="DO1321" s="0"/>
      <c r="DP1321" s="0"/>
      <c r="DQ1321" s="0"/>
      <c r="DR1321" s="0"/>
      <c r="DS1321" s="0"/>
      <c r="DT1321" s="0"/>
      <c r="DU1321" s="0"/>
      <c r="DV1321" s="0"/>
      <c r="DW1321" s="0"/>
      <c r="DX1321" s="0"/>
      <c r="DY1321" s="0"/>
      <c r="DZ1321" s="0"/>
      <c r="EA1321" s="0"/>
      <c r="EB1321" s="0"/>
      <c r="EC1321" s="0"/>
      <c r="ED1321" s="0"/>
      <c r="EE1321" s="0"/>
      <c r="EF1321" s="0"/>
      <c r="EG1321" s="0"/>
      <c r="EH1321" s="0"/>
      <c r="EI1321" s="0"/>
      <c r="EJ1321" s="0"/>
      <c r="EK1321" s="0"/>
      <c r="EL1321" s="0"/>
      <c r="EM1321" s="0"/>
      <c r="EN1321" s="0"/>
      <c r="EO1321" s="0"/>
      <c r="EP1321" s="0"/>
      <c r="EQ1321" s="0"/>
      <c r="ER1321" s="0"/>
      <c r="ES1321" s="0"/>
      <c r="ET1321" s="0"/>
      <c r="EU1321" s="0"/>
      <c r="EV1321" s="0"/>
      <c r="EW1321" s="0"/>
      <c r="EX1321" s="0"/>
      <c r="EY1321" s="0"/>
      <c r="EZ1321" s="0"/>
      <c r="FA1321" s="0"/>
      <c r="FB1321" s="0"/>
      <c r="FC1321" s="0"/>
      <c r="FD1321" s="0"/>
      <c r="FE1321" s="0"/>
      <c r="FF1321" s="0"/>
      <c r="FG1321" s="0"/>
      <c r="FH1321" s="0"/>
      <c r="FI1321" s="0"/>
      <c r="FJ1321" s="0"/>
      <c r="FK1321" s="0"/>
      <c r="FL1321" s="0"/>
      <c r="FM1321" s="0"/>
      <c r="FN1321" s="0"/>
      <c r="FO1321" s="0"/>
      <c r="FP1321" s="0"/>
      <c r="FQ1321" s="0"/>
      <c r="FR1321" s="0"/>
      <c r="FS1321" s="0"/>
      <c r="FT1321" s="0"/>
      <c r="FU1321" s="0"/>
      <c r="FV1321" s="0"/>
      <c r="FW1321" s="0"/>
      <c r="FX1321" s="0"/>
      <c r="FY1321" s="0"/>
      <c r="FZ1321" s="0"/>
      <c r="GA1321" s="0"/>
      <c r="GB1321" s="0"/>
      <c r="GC1321" s="0"/>
      <c r="GD1321" s="0"/>
      <c r="GE1321" s="0"/>
      <c r="GF1321" s="0"/>
      <c r="GG1321" s="0"/>
      <c r="GH1321" s="0"/>
      <c r="GI1321" s="0"/>
      <c r="GJ1321" s="0"/>
      <c r="GK1321" s="0"/>
      <c r="GL1321" s="0"/>
      <c r="GM1321" s="0"/>
      <c r="GN1321" s="0"/>
      <c r="GO1321" s="0"/>
      <c r="GP1321" s="0"/>
      <c r="GQ1321" s="0"/>
      <c r="GR1321" s="0"/>
      <c r="GS1321" s="0"/>
      <c r="GT1321" s="0"/>
      <c r="GU1321" s="0"/>
      <c r="GV1321" s="0"/>
      <c r="GW1321" s="0"/>
      <c r="GX1321" s="0"/>
      <c r="GY1321" s="0"/>
      <c r="GZ1321" s="0"/>
      <c r="HA1321" s="0"/>
      <c r="HB1321" s="0"/>
      <c r="HC1321" s="0"/>
      <c r="HD1321" s="0"/>
      <c r="HE1321" s="0"/>
      <c r="HF1321" s="0"/>
      <c r="HG1321" s="0"/>
      <c r="HH1321" s="0"/>
      <c r="HI1321" s="0"/>
      <c r="HJ1321" s="0"/>
      <c r="HK1321" s="0"/>
      <c r="HL1321" s="0"/>
      <c r="HM1321" s="0"/>
      <c r="HN1321" s="0"/>
      <c r="HO1321" s="0"/>
      <c r="HP1321" s="0"/>
      <c r="HQ1321" s="0"/>
      <c r="HR1321" s="0"/>
      <c r="HS1321" s="0"/>
      <c r="HT1321" s="0"/>
      <c r="HU1321" s="0"/>
      <c r="HV1321" s="0"/>
      <c r="HW1321" s="0"/>
      <c r="HX1321" s="0"/>
      <c r="HY1321" s="0"/>
      <c r="HZ1321" s="0"/>
      <c r="IA1321" s="0"/>
      <c r="IB1321" s="0"/>
      <c r="IC1321" s="0"/>
      <c r="ID1321" s="0"/>
      <c r="IE1321" s="0"/>
      <c r="IF1321" s="0"/>
      <c r="IG1321" s="0"/>
      <c r="IH1321" s="0"/>
      <c r="II1321" s="0"/>
      <c r="IJ1321" s="0"/>
      <c r="IK1321" s="0"/>
      <c r="IL1321" s="0"/>
      <c r="IM1321" s="0"/>
      <c r="IN1321" s="0"/>
      <c r="IO1321" s="0"/>
      <c r="IP1321" s="0"/>
      <c r="IQ1321" s="0"/>
      <c r="IR1321" s="0"/>
      <c r="IS1321" s="0"/>
      <c r="IT1321" s="0"/>
      <c r="IU1321" s="0"/>
      <c r="IV1321" s="0"/>
    </row>
    <row r="1322" customFormat="false" ht="15" hidden="false" customHeight="true" outlineLevel="0" collapsed="false">
      <c r="D1322" s="1432"/>
      <c r="F1322" s="456"/>
      <c r="G1322" s="456"/>
      <c r="H1322" s="1332"/>
      <c r="K1322" s="55"/>
      <c r="N1322" s="0"/>
      <c r="O1322" s="0"/>
      <c r="P1322" s="0"/>
      <c r="Q1322" s="0"/>
      <c r="R1322" s="0"/>
      <c r="S1322" s="0"/>
      <c r="T1322" s="0"/>
      <c r="U1322" s="0"/>
      <c r="V1322" s="0"/>
      <c r="W1322" s="0"/>
      <c r="X1322" s="0"/>
      <c r="Y1322" s="0"/>
      <c r="Z1322" s="0"/>
      <c r="AA1322" s="0"/>
      <c r="AB1322" s="0"/>
      <c r="AC1322" s="0"/>
      <c r="AD1322" s="0"/>
      <c r="AE1322" s="0"/>
      <c r="AF1322" s="0"/>
      <c r="AG1322" s="0"/>
      <c r="AH1322" s="0"/>
      <c r="AI1322" s="0"/>
      <c r="AJ1322" s="0"/>
      <c r="AK1322" s="0"/>
      <c r="AL1322" s="0"/>
      <c r="AM1322" s="0"/>
      <c r="AN1322" s="0"/>
      <c r="AO1322" s="0"/>
      <c r="AP1322" s="0"/>
      <c r="AQ1322" s="0"/>
      <c r="AR1322" s="0"/>
      <c r="AS1322" s="0"/>
      <c r="AT1322" s="0"/>
      <c r="AU1322" s="0"/>
      <c r="AV1322" s="0"/>
      <c r="AW1322" s="0"/>
      <c r="AX1322" s="0"/>
      <c r="AY1322" s="0"/>
      <c r="AZ1322" s="0"/>
      <c r="BA1322" s="0"/>
      <c r="BB1322" s="0"/>
      <c r="BC1322" s="0"/>
      <c r="BD1322" s="0"/>
      <c r="BE1322" s="0"/>
      <c r="BF1322" s="0"/>
      <c r="BG1322" s="0"/>
      <c r="BH1322" s="0"/>
      <c r="BI1322" s="0"/>
      <c r="BJ1322" s="0"/>
      <c r="BK1322" s="0"/>
      <c r="BL1322" s="0"/>
      <c r="BM1322" s="0"/>
      <c r="BN1322" s="0"/>
      <c r="BO1322" s="0"/>
      <c r="BP1322" s="0"/>
      <c r="BQ1322" s="0"/>
      <c r="BR1322" s="0"/>
      <c r="BS1322" s="0"/>
      <c r="BT1322" s="0"/>
      <c r="BU1322" s="0"/>
      <c r="BV1322" s="0"/>
      <c r="BW1322" s="0"/>
      <c r="BX1322" s="0"/>
      <c r="BY1322" s="0"/>
      <c r="BZ1322" s="0"/>
      <c r="CA1322" s="0"/>
      <c r="CB1322" s="0"/>
      <c r="CC1322" s="0"/>
      <c r="CD1322" s="0"/>
      <c r="CE1322" s="0"/>
      <c r="CF1322" s="0"/>
      <c r="CG1322" s="0"/>
      <c r="CH1322" s="0"/>
      <c r="CI1322" s="0"/>
      <c r="CJ1322" s="0"/>
      <c r="CK1322" s="0"/>
      <c r="CL1322" s="0"/>
      <c r="CM1322" s="0"/>
      <c r="CN1322" s="0"/>
      <c r="CO1322" s="0"/>
      <c r="CP1322" s="0"/>
      <c r="CQ1322" s="0"/>
      <c r="CR1322" s="0"/>
      <c r="CS1322" s="0"/>
      <c r="CT1322" s="0"/>
      <c r="CU1322" s="0"/>
      <c r="CV1322" s="0"/>
      <c r="CW1322" s="0"/>
      <c r="CX1322" s="0"/>
      <c r="CY1322" s="0"/>
      <c r="CZ1322" s="0"/>
      <c r="DA1322" s="0"/>
      <c r="DB1322" s="0"/>
      <c r="DC1322" s="0"/>
      <c r="DD1322" s="0"/>
      <c r="DE1322" s="0"/>
      <c r="DF1322" s="0"/>
      <c r="DG1322" s="0"/>
      <c r="DH1322" s="0"/>
      <c r="DI1322" s="0"/>
      <c r="DJ1322" s="0"/>
      <c r="DK1322" s="0"/>
      <c r="DL1322" s="0"/>
      <c r="DM1322" s="0"/>
      <c r="DN1322" s="0"/>
      <c r="DO1322" s="0"/>
      <c r="DP1322" s="0"/>
      <c r="DQ1322" s="0"/>
      <c r="DR1322" s="0"/>
      <c r="DS1322" s="0"/>
      <c r="DT1322" s="0"/>
      <c r="DU1322" s="0"/>
      <c r="DV1322" s="0"/>
      <c r="DW1322" s="0"/>
      <c r="DX1322" s="0"/>
      <c r="DY1322" s="0"/>
      <c r="DZ1322" s="0"/>
      <c r="EA1322" s="0"/>
      <c r="EB1322" s="0"/>
      <c r="EC1322" s="0"/>
      <c r="ED1322" s="0"/>
      <c r="EE1322" s="0"/>
      <c r="EF1322" s="0"/>
      <c r="EG1322" s="0"/>
      <c r="EH1322" s="0"/>
      <c r="EI1322" s="0"/>
      <c r="EJ1322" s="0"/>
      <c r="EK1322" s="0"/>
      <c r="EL1322" s="0"/>
      <c r="EM1322" s="0"/>
      <c r="EN1322" s="0"/>
      <c r="EO1322" s="0"/>
      <c r="EP1322" s="0"/>
      <c r="EQ1322" s="0"/>
      <c r="ER1322" s="0"/>
      <c r="ES1322" s="0"/>
      <c r="ET1322" s="0"/>
      <c r="EU1322" s="0"/>
      <c r="EV1322" s="0"/>
      <c r="EW1322" s="0"/>
      <c r="EX1322" s="0"/>
      <c r="EY1322" s="0"/>
      <c r="EZ1322" s="0"/>
      <c r="FA1322" s="0"/>
      <c r="FB1322" s="0"/>
      <c r="FC1322" s="0"/>
      <c r="FD1322" s="0"/>
      <c r="FE1322" s="0"/>
      <c r="FF1322" s="0"/>
      <c r="FG1322" s="0"/>
      <c r="FH1322" s="0"/>
      <c r="FI1322" s="0"/>
      <c r="FJ1322" s="0"/>
      <c r="FK1322" s="0"/>
      <c r="FL1322" s="0"/>
      <c r="FM1322" s="0"/>
      <c r="FN1322" s="0"/>
      <c r="FO1322" s="0"/>
      <c r="FP1322" s="0"/>
      <c r="FQ1322" s="0"/>
      <c r="FR1322" s="0"/>
      <c r="FS1322" s="0"/>
      <c r="FT1322" s="0"/>
      <c r="FU1322" s="0"/>
      <c r="FV1322" s="0"/>
      <c r="FW1322" s="0"/>
      <c r="FX1322" s="0"/>
      <c r="FY1322" s="0"/>
      <c r="FZ1322" s="0"/>
      <c r="GA1322" s="0"/>
      <c r="GB1322" s="0"/>
      <c r="GC1322" s="0"/>
      <c r="GD1322" s="0"/>
      <c r="GE1322" s="0"/>
      <c r="GF1322" s="0"/>
      <c r="GG1322" s="0"/>
      <c r="GH1322" s="0"/>
      <c r="GI1322" s="0"/>
      <c r="GJ1322" s="0"/>
      <c r="GK1322" s="0"/>
      <c r="GL1322" s="0"/>
      <c r="GM1322" s="0"/>
      <c r="GN1322" s="0"/>
      <c r="GO1322" s="0"/>
      <c r="GP1322" s="0"/>
      <c r="GQ1322" s="0"/>
      <c r="GR1322" s="0"/>
      <c r="GS1322" s="0"/>
      <c r="GT1322" s="0"/>
      <c r="GU1322" s="0"/>
      <c r="GV1322" s="0"/>
      <c r="GW1322" s="0"/>
      <c r="GX1322" s="0"/>
      <c r="GY1322" s="0"/>
      <c r="GZ1322" s="0"/>
      <c r="HA1322" s="0"/>
      <c r="HB1322" s="0"/>
      <c r="HC1322" s="0"/>
      <c r="HD1322" s="0"/>
      <c r="HE1322" s="0"/>
      <c r="HF1322" s="0"/>
      <c r="HG1322" s="0"/>
      <c r="HH1322" s="0"/>
      <c r="HI1322" s="0"/>
      <c r="HJ1322" s="0"/>
      <c r="HK1322" s="0"/>
      <c r="HL1322" s="0"/>
      <c r="HM1322" s="0"/>
      <c r="HN1322" s="0"/>
      <c r="HO1322" s="0"/>
      <c r="HP1322" s="0"/>
      <c r="HQ1322" s="0"/>
      <c r="HR1322" s="0"/>
      <c r="HS1322" s="0"/>
      <c r="HT1322" s="0"/>
      <c r="HU1322" s="0"/>
      <c r="HV1322" s="0"/>
      <c r="HW1322" s="0"/>
      <c r="HX1322" s="0"/>
      <c r="HY1322" s="0"/>
      <c r="HZ1322" s="0"/>
      <c r="IA1322" s="0"/>
      <c r="IB1322" s="0"/>
      <c r="IC1322" s="0"/>
      <c r="ID1322" s="0"/>
      <c r="IE1322" s="0"/>
      <c r="IF1322" s="0"/>
      <c r="IG1322" s="0"/>
      <c r="IH1322" s="0"/>
      <c r="II1322" s="0"/>
      <c r="IJ1322" s="0"/>
      <c r="IK1322" s="0"/>
      <c r="IL1322" s="0"/>
      <c r="IM1322" s="0"/>
      <c r="IN1322" s="0"/>
      <c r="IO1322" s="0"/>
      <c r="IP1322" s="0"/>
      <c r="IQ1322" s="0"/>
      <c r="IR1322" s="0"/>
      <c r="IS1322" s="0"/>
      <c r="IT1322" s="0"/>
      <c r="IU1322" s="0"/>
      <c r="IV1322" s="0"/>
    </row>
    <row r="1323" customFormat="false" ht="16.5" hidden="false" customHeight="true" outlineLevel="0" collapsed="false">
      <c r="A1323" s="869" t="s">
        <v>1793</v>
      </c>
      <c r="B1323" s="869"/>
      <c r="C1323" s="869"/>
      <c r="D1323" s="869"/>
      <c r="E1323" s="869"/>
      <c r="F1323" s="869"/>
      <c r="G1323" s="869"/>
      <c r="H1323" s="53"/>
      <c r="I1323" s="53"/>
      <c r="J1323" s="53"/>
      <c r="K1323" s="870"/>
      <c r="L1323" s="871" t="s">
        <v>1712</v>
      </c>
      <c r="M1323" s="19"/>
      <c r="N1323" s="0"/>
      <c r="O1323" s="0"/>
      <c r="P1323" s="0"/>
      <c r="Q1323" s="0"/>
      <c r="R1323" s="0"/>
      <c r="S1323" s="0"/>
      <c r="T1323" s="0"/>
      <c r="U1323" s="0"/>
      <c r="V1323" s="0"/>
      <c r="W1323" s="0"/>
      <c r="X1323" s="0"/>
      <c r="Y1323" s="0"/>
      <c r="Z1323" s="0"/>
      <c r="AA1323" s="0"/>
      <c r="AB1323" s="0"/>
      <c r="AC1323" s="0"/>
      <c r="AD1323" s="0"/>
      <c r="AE1323" s="0"/>
      <c r="AF1323" s="0"/>
      <c r="AG1323" s="0"/>
      <c r="AH1323" s="0"/>
      <c r="AI1323" s="0"/>
      <c r="AJ1323" s="0"/>
      <c r="AK1323" s="0"/>
      <c r="AL1323" s="0"/>
      <c r="AM1323" s="0"/>
      <c r="AN1323" s="0"/>
      <c r="AO1323" s="0"/>
      <c r="AP1323" s="0"/>
      <c r="AQ1323" s="0"/>
      <c r="AR1323" s="0"/>
      <c r="AS1323" s="0"/>
      <c r="AT1323" s="0"/>
      <c r="AU1323" s="0"/>
      <c r="AV1323" s="0"/>
      <c r="AW1323" s="0"/>
      <c r="AX1323" s="0"/>
      <c r="AY1323" s="0"/>
      <c r="AZ1323" s="0"/>
      <c r="BA1323" s="0"/>
      <c r="BB1323" s="0"/>
      <c r="BC1323" s="0"/>
      <c r="BD1323" s="0"/>
      <c r="BE1323" s="0"/>
      <c r="BF1323" s="0"/>
      <c r="BG1323" s="0"/>
      <c r="BH1323" s="0"/>
      <c r="BI1323" s="0"/>
      <c r="BJ1323" s="0"/>
      <c r="BK1323" s="0"/>
      <c r="BL1323" s="0"/>
      <c r="BM1323" s="0"/>
      <c r="BN1323" s="0"/>
      <c r="BO1323" s="0"/>
      <c r="BP1323" s="0"/>
      <c r="BQ1323" s="0"/>
      <c r="BR1323" s="0"/>
      <c r="BS1323" s="0"/>
      <c r="BT1323" s="0"/>
      <c r="BU1323" s="0"/>
      <c r="BV1323" s="0"/>
      <c r="BW1323" s="0"/>
      <c r="BX1323" s="0"/>
      <c r="BY1323" s="0"/>
      <c r="BZ1323" s="0"/>
      <c r="CA1323" s="0"/>
      <c r="CB1323" s="0"/>
      <c r="CC1323" s="0"/>
      <c r="CD1323" s="0"/>
      <c r="CE1323" s="0"/>
      <c r="CF1323" s="0"/>
      <c r="CG1323" s="0"/>
      <c r="CH1323" s="0"/>
      <c r="CI1323" s="0"/>
      <c r="CJ1323" s="0"/>
      <c r="CK1323" s="0"/>
      <c r="CL1323" s="0"/>
      <c r="CM1323" s="0"/>
      <c r="CN1323" s="0"/>
      <c r="CO1323" s="0"/>
      <c r="CP1323" s="0"/>
      <c r="CQ1323" s="0"/>
      <c r="CR1323" s="0"/>
      <c r="CS1323" s="0"/>
      <c r="CT1323" s="0"/>
      <c r="CU1323" s="0"/>
      <c r="CV1323" s="0"/>
      <c r="CW1323" s="0"/>
      <c r="CX1323" s="0"/>
      <c r="CY1323" s="0"/>
      <c r="CZ1323" s="0"/>
      <c r="DA1323" s="0"/>
      <c r="DB1323" s="0"/>
      <c r="DC1323" s="0"/>
      <c r="DD1323" s="0"/>
      <c r="DE1323" s="0"/>
      <c r="DF1323" s="0"/>
      <c r="DG1323" s="0"/>
      <c r="DH1323" s="0"/>
      <c r="DI1323" s="0"/>
      <c r="DJ1323" s="0"/>
      <c r="DK1323" s="0"/>
      <c r="DL1323" s="0"/>
      <c r="DM1323" s="0"/>
      <c r="DN1323" s="0"/>
      <c r="DO1323" s="0"/>
      <c r="DP1323" s="0"/>
      <c r="DQ1323" s="0"/>
      <c r="DR1323" s="0"/>
      <c r="DS1323" s="0"/>
      <c r="DT1323" s="0"/>
      <c r="DU1323" s="0"/>
      <c r="DV1323" s="0"/>
      <c r="DW1323" s="0"/>
      <c r="DX1323" s="0"/>
      <c r="DY1323" s="0"/>
      <c r="DZ1323" s="0"/>
      <c r="EA1323" s="0"/>
      <c r="EB1323" s="0"/>
      <c r="EC1323" s="0"/>
      <c r="ED1323" s="0"/>
      <c r="EE1323" s="0"/>
      <c r="EF1323" s="0"/>
      <c r="EG1323" s="0"/>
      <c r="EH1323" s="0"/>
      <c r="EI1323" s="0"/>
      <c r="EJ1323" s="0"/>
      <c r="EK1323" s="0"/>
      <c r="EL1323" s="0"/>
      <c r="EM1323" s="0"/>
      <c r="EN1323" s="0"/>
      <c r="EO1323" s="0"/>
      <c r="EP1323" s="0"/>
      <c r="EQ1323" s="0"/>
      <c r="ER1323" s="0"/>
      <c r="ES1323" s="0"/>
      <c r="ET1323" s="0"/>
      <c r="EU1323" s="0"/>
      <c r="EV1323" s="0"/>
      <c r="EW1323" s="0"/>
      <c r="EX1323" s="0"/>
      <c r="EY1323" s="0"/>
      <c r="EZ1323" s="0"/>
      <c r="FA1323" s="0"/>
      <c r="FB1323" s="0"/>
      <c r="FC1323" s="0"/>
      <c r="FD1323" s="0"/>
      <c r="FE1323" s="0"/>
      <c r="FF1323" s="0"/>
      <c r="FG1323" s="0"/>
      <c r="FH1323" s="0"/>
      <c r="FI1323" s="0"/>
      <c r="FJ1323" s="0"/>
      <c r="FK1323" s="0"/>
      <c r="FL1323" s="0"/>
      <c r="FM1323" s="0"/>
      <c r="FN1323" s="0"/>
      <c r="FO1323" s="0"/>
      <c r="FP1323" s="0"/>
      <c r="FQ1323" s="0"/>
      <c r="FR1323" s="0"/>
      <c r="FS1323" s="0"/>
      <c r="FT1323" s="0"/>
      <c r="FU1323" s="0"/>
      <c r="FV1323" s="0"/>
      <c r="FW1323" s="0"/>
      <c r="FX1323" s="0"/>
      <c r="FY1323" s="0"/>
      <c r="FZ1323" s="0"/>
      <c r="GA1323" s="0"/>
      <c r="GB1323" s="0"/>
      <c r="GC1323" s="0"/>
      <c r="GD1323" s="0"/>
      <c r="GE1323" s="0"/>
      <c r="GF1323" s="0"/>
      <c r="GG1323" s="0"/>
      <c r="GH1323" s="0"/>
      <c r="GI1323" s="0"/>
      <c r="GJ1323" s="0"/>
      <c r="GK1323" s="0"/>
      <c r="GL1323" s="0"/>
      <c r="GM1323" s="0"/>
      <c r="GN1323" s="0"/>
      <c r="GO1323" s="0"/>
      <c r="GP1323" s="0"/>
      <c r="GQ1323" s="0"/>
      <c r="GR1323" s="0"/>
      <c r="GS1323" s="0"/>
      <c r="GT1323" s="0"/>
      <c r="GU1323" s="0"/>
      <c r="GV1323" s="0"/>
      <c r="GW1323" s="0"/>
      <c r="GX1323" s="0"/>
      <c r="GY1323" s="0"/>
      <c r="GZ1323" s="0"/>
      <c r="HA1323" s="0"/>
      <c r="HB1323" s="0"/>
      <c r="HC1323" s="0"/>
      <c r="HD1323" s="0"/>
      <c r="HE1323" s="0"/>
      <c r="HF1323" s="0"/>
      <c r="HG1323" s="0"/>
      <c r="HH1323" s="0"/>
      <c r="HI1323" s="0"/>
      <c r="HJ1323" s="0"/>
      <c r="HK1323" s="0"/>
      <c r="HL1323" s="0"/>
      <c r="HM1323" s="0"/>
      <c r="HN1323" s="0"/>
      <c r="HO1323" s="0"/>
      <c r="HP1323" s="0"/>
      <c r="HQ1323" s="0"/>
      <c r="HR1323" s="0"/>
      <c r="HS1323" s="0"/>
      <c r="HT1323" s="0"/>
      <c r="HU1323" s="0"/>
      <c r="HV1323" s="0"/>
      <c r="HW1323" s="0"/>
      <c r="HX1323" s="0"/>
      <c r="HY1323" s="0"/>
      <c r="HZ1323" s="0"/>
      <c r="IA1323" s="0"/>
      <c r="IB1323" s="0"/>
      <c r="IC1323" s="0"/>
      <c r="ID1323" s="0"/>
      <c r="IE1323" s="0"/>
      <c r="IF1323" s="0"/>
      <c r="IG1323" s="0"/>
      <c r="IH1323" s="0"/>
      <c r="II1323" s="0"/>
      <c r="IJ1323" s="0"/>
      <c r="IK1323" s="0"/>
      <c r="IL1323" s="0"/>
      <c r="IM1323" s="0"/>
      <c r="IN1323" s="0"/>
      <c r="IO1323" s="0"/>
      <c r="IP1323" s="0"/>
      <c r="IQ1323" s="0"/>
      <c r="IR1323" s="0"/>
      <c r="IS1323" s="0"/>
      <c r="IT1323" s="0"/>
      <c r="IU1323" s="0"/>
      <c r="IV1323" s="0"/>
    </row>
    <row r="1324" customFormat="false" ht="16.5" hidden="false" customHeight="true" outlineLevel="0" collapsed="false">
      <c r="J1324" s="11"/>
      <c r="M1324" s="19"/>
      <c r="N1324" s="0"/>
      <c r="O1324" s="0"/>
      <c r="P1324" s="0"/>
      <c r="Q1324" s="0"/>
      <c r="R1324" s="0"/>
      <c r="S1324" s="0"/>
      <c r="T1324" s="0"/>
      <c r="U1324" s="0"/>
      <c r="V1324" s="0"/>
      <c r="W1324" s="0"/>
      <c r="X1324" s="0"/>
      <c r="Y1324" s="0"/>
      <c r="Z1324" s="0"/>
      <c r="AA1324" s="0"/>
      <c r="AB1324" s="0"/>
      <c r="AC1324" s="0"/>
      <c r="AD1324" s="0"/>
      <c r="AE1324" s="0"/>
      <c r="AF1324" s="0"/>
      <c r="AG1324" s="0"/>
      <c r="AH1324" s="0"/>
      <c r="AI1324" s="0"/>
      <c r="AJ1324" s="0"/>
      <c r="AK1324" s="0"/>
      <c r="AL1324" s="0"/>
      <c r="AM1324" s="0"/>
      <c r="AN1324" s="0"/>
      <c r="AO1324" s="0"/>
      <c r="AP1324" s="0"/>
      <c r="AQ1324" s="0"/>
      <c r="AR1324" s="0"/>
      <c r="AS1324" s="0"/>
      <c r="AT1324" s="0"/>
      <c r="AU1324" s="0"/>
      <c r="AV1324" s="0"/>
      <c r="AW1324" s="0"/>
      <c r="AX1324" s="0"/>
      <c r="AY1324" s="0"/>
      <c r="AZ1324" s="0"/>
      <c r="BA1324" s="0"/>
      <c r="BB1324" s="0"/>
      <c r="BC1324" s="0"/>
      <c r="BD1324" s="0"/>
      <c r="BE1324" s="0"/>
      <c r="BF1324" s="0"/>
      <c r="BG1324" s="0"/>
      <c r="BH1324" s="0"/>
      <c r="BI1324" s="0"/>
      <c r="BJ1324" s="0"/>
      <c r="BK1324" s="0"/>
      <c r="BL1324" s="0"/>
      <c r="BM1324" s="0"/>
      <c r="BN1324" s="0"/>
      <c r="BO1324" s="0"/>
      <c r="BP1324" s="0"/>
      <c r="BQ1324" s="0"/>
      <c r="BR1324" s="0"/>
      <c r="BS1324" s="0"/>
      <c r="BT1324" s="0"/>
      <c r="BU1324" s="0"/>
      <c r="BV1324" s="0"/>
      <c r="BW1324" s="0"/>
      <c r="BX1324" s="0"/>
      <c r="BY1324" s="0"/>
      <c r="BZ1324" s="0"/>
      <c r="CA1324" s="0"/>
      <c r="CB1324" s="0"/>
      <c r="CC1324" s="0"/>
      <c r="CD1324" s="0"/>
      <c r="CE1324" s="0"/>
      <c r="CF1324" s="0"/>
      <c r="CG1324" s="0"/>
      <c r="CH1324" s="0"/>
      <c r="CI1324" s="0"/>
      <c r="CJ1324" s="0"/>
      <c r="CK1324" s="0"/>
      <c r="CL1324" s="0"/>
      <c r="CM1324" s="0"/>
      <c r="CN1324" s="0"/>
      <c r="CO1324" s="0"/>
      <c r="CP1324" s="0"/>
      <c r="CQ1324" s="0"/>
      <c r="CR1324" s="0"/>
      <c r="CS1324" s="0"/>
      <c r="CT1324" s="0"/>
      <c r="CU1324" s="0"/>
      <c r="CV1324" s="0"/>
      <c r="CW1324" s="0"/>
      <c r="CX1324" s="0"/>
      <c r="CY1324" s="0"/>
      <c r="CZ1324" s="0"/>
      <c r="DA1324" s="0"/>
      <c r="DB1324" s="0"/>
      <c r="DC1324" s="0"/>
      <c r="DD1324" s="0"/>
      <c r="DE1324" s="0"/>
      <c r="DF1324" s="0"/>
      <c r="DG1324" s="0"/>
      <c r="DH1324" s="0"/>
      <c r="DI1324" s="0"/>
      <c r="DJ1324" s="0"/>
      <c r="DK1324" s="0"/>
      <c r="DL1324" s="0"/>
      <c r="DM1324" s="0"/>
      <c r="DN1324" s="0"/>
      <c r="DO1324" s="0"/>
      <c r="DP1324" s="0"/>
      <c r="DQ1324" s="0"/>
      <c r="DR1324" s="0"/>
      <c r="DS1324" s="0"/>
      <c r="DT1324" s="0"/>
      <c r="DU1324" s="0"/>
      <c r="DV1324" s="0"/>
      <c r="DW1324" s="0"/>
      <c r="DX1324" s="0"/>
      <c r="DY1324" s="0"/>
      <c r="DZ1324" s="0"/>
      <c r="EA1324" s="0"/>
      <c r="EB1324" s="0"/>
      <c r="EC1324" s="0"/>
      <c r="ED1324" s="0"/>
      <c r="EE1324" s="0"/>
      <c r="EF1324" s="0"/>
      <c r="EG1324" s="0"/>
      <c r="EH1324" s="0"/>
      <c r="EI1324" s="0"/>
      <c r="EJ1324" s="0"/>
      <c r="EK1324" s="0"/>
      <c r="EL1324" s="0"/>
      <c r="EM1324" s="0"/>
      <c r="EN1324" s="0"/>
      <c r="EO1324" s="0"/>
      <c r="EP1324" s="0"/>
      <c r="EQ1324" s="0"/>
      <c r="ER1324" s="0"/>
      <c r="ES1324" s="0"/>
      <c r="ET1324" s="0"/>
      <c r="EU1324" s="0"/>
      <c r="EV1324" s="0"/>
      <c r="EW1324" s="0"/>
      <c r="EX1324" s="0"/>
      <c r="EY1324" s="0"/>
      <c r="EZ1324" s="0"/>
      <c r="FA1324" s="0"/>
      <c r="FB1324" s="0"/>
      <c r="FC1324" s="0"/>
      <c r="FD1324" s="0"/>
      <c r="FE1324" s="0"/>
      <c r="FF1324" s="0"/>
      <c r="FG1324" s="0"/>
      <c r="FH1324" s="0"/>
      <c r="FI1324" s="0"/>
      <c r="FJ1324" s="0"/>
      <c r="FK1324" s="0"/>
      <c r="FL1324" s="0"/>
      <c r="FM1324" s="0"/>
      <c r="FN1324" s="0"/>
      <c r="FO1324" s="0"/>
      <c r="FP1324" s="0"/>
      <c r="FQ1324" s="0"/>
      <c r="FR1324" s="0"/>
      <c r="FS1324" s="0"/>
      <c r="FT1324" s="0"/>
      <c r="FU1324" s="0"/>
      <c r="FV1324" s="0"/>
      <c r="FW1324" s="0"/>
      <c r="FX1324" s="0"/>
      <c r="FY1324" s="0"/>
      <c r="FZ1324" s="0"/>
      <c r="GA1324" s="0"/>
      <c r="GB1324" s="0"/>
      <c r="GC1324" s="0"/>
      <c r="GD1324" s="0"/>
      <c r="GE1324" s="0"/>
      <c r="GF1324" s="0"/>
      <c r="GG1324" s="0"/>
      <c r="GH1324" s="0"/>
      <c r="GI1324" s="0"/>
      <c r="GJ1324" s="0"/>
      <c r="GK1324" s="0"/>
      <c r="GL1324" s="0"/>
      <c r="GM1324" s="0"/>
      <c r="GN1324" s="0"/>
      <c r="GO1324" s="0"/>
      <c r="GP1324" s="0"/>
      <c r="GQ1324" s="0"/>
      <c r="GR1324" s="0"/>
      <c r="GS1324" s="0"/>
      <c r="GT1324" s="0"/>
      <c r="GU1324" s="0"/>
      <c r="GV1324" s="0"/>
      <c r="GW1324" s="0"/>
      <c r="GX1324" s="0"/>
      <c r="GY1324" s="0"/>
      <c r="GZ1324" s="0"/>
      <c r="HA1324" s="0"/>
      <c r="HB1324" s="0"/>
      <c r="HC1324" s="0"/>
      <c r="HD1324" s="0"/>
      <c r="HE1324" s="0"/>
      <c r="HF1324" s="0"/>
      <c r="HG1324" s="0"/>
      <c r="HH1324" s="0"/>
      <c r="HI1324" s="0"/>
      <c r="HJ1324" s="0"/>
      <c r="HK1324" s="0"/>
      <c r="HL1324" s="0"/>
      <c r="HM1324" s="0"/>
      <c r="HN1324" s="0"/>
      <c r="HO1324" s="0"/>
      <c r="HP1324" s="0"/>
      <c r="HQ1324" s="0"/>
      <c r="HR1324" s="0"/>
      <c r="HS1324" s="0"/>
      <c r="HT1324" s="0"/>
      <c r="HU1324" s="0"/>
      <c r="HV1324" s="0"/>
      <c r="HW1324" s="0"/>
      <c r="HX1324" s="0"/>
      <c r="HY1324" s="0"/>
      <c r="HZ1324" s="0"/>
      <c r="IA1324" s="0"/>
      <c r="IB1324" s="0"/>
      <c r="IC1324" s="0"/>
      <c r="ID1324" s="0"/>
      <c r="IE1324" s="0"/>
      <c r="IF1324" s="0"/>
      <c r="IG1324" s="0"/>
      <c r="IH1324" s="0"/>
      <c r="II1324" s="0"/>
      <c r="IJ1324" s="0"/>
      <c r="IK1324" s="0"/>
      <c r="IL1324" s="0"/>
      <c r="IM1324" s="0"/>
      <c r="IN1324" s="0"/>
      <c r="IO1324" s="0"/>
      <c r="IP1324" s="0"/>
      <c r="IQ1324" s="0"/>
      <c r="IR1324" s="0"/>
      <c r="IS1324" s="0"/>
      <c r="IT1324" s="0"/>
      <c r="IU1324" s="0"/>
      <c r="IV1324" s="0"/>
    </row>
    <row r="1325" customFormat="false" ht="15" hidden="false" customHeight="true" outlineLevel="0" collapsed="false">
      <c r="A1325" s="18" t="s">
        <v>1794</v>
      </c>
      <c r="B1325" s="19"/>
      <c r="C1325" s="19"/>
      <c r="D1325" s="1488" t="s">
        <v>253</v>
      </c>
      <c r="E1325" s="1015" t="s">
        <v>1795</v>
      </c>
      <c r="F1325" s="445"/>
      <c r="G1325" s="445"/>
      <c r="H1325" s="0"/>
      <c r="I1325" s="0"/>
      <c r="J1325" s="11"/>
      <c r="K1325" s="55"/>
      <c r="L1325" s="55"/>
      <c r="M1325" s="19"/>
    </row>
    <row r="1326" customFormat="false" ht="15.75" hidden="false" customHeight="true" outlineLevel="0" collapsed="false">
      <c r="A1326" s="456" t="s">
        <v>1796</v>
      </c>
      <c r="B1326" s="456"/>
      <c r="C1326" s="456"/>
      <c r="D1326" s="456"/>
      <c r="E1326" s="456"/>
      <c r="F1326" s="456"/>
      <c r="G1326" s="456"/>
      <c r="H1326" s="1332"/>
      <c r="J1326" s="0"/>
      <c r="K1326" s="0"/>
      <c r="L1326" s="0"/>
      <c r="M1326" s="19"/>
      <c r="T1326" s="0"/>
      <c r="U1326" s="0"/>
      <c r="V1326" s="0"/>
      <c r="W1326" s="0"/>
      <c r="X1326" s="0"/>
      <c r="Y1326" s="0"/>
      <c r="Z1326" s="0"/>
      <c r="AA1326" s="0"/>
      <c r="AB1326" s="0"/>
      <c r="AC1326" s="0"/>
      <c r="AD1326" s="0"/>
      <c r="AE1326" s="0"/>
      <c r="AF1326" s="0"/>
      <c r="AG1326" s="0"/>
      <c r="AH1326" s="0"/>
      <c r="AI1326" s="0"/>
      <c r="AJ1326" s="0"/>
      <c r="AK1326" s="0"/>
      <c r="AL1326" s="0"/>
      <c r="AM1326" s="0"/>
      <c r="AN1326" s="0"/>
      <c r="AO1326" s="0"/>
      <c r="AP1326" s="0"/>
      <c r="AQ1326" s="0"/>
      <c r="AR1326" s="0"/>
      <c r="AS1326" s="0"/>
      <c r="AT1326" s="0"/>
      <c r="AU1326" s="0"/>
      <c r="AV1326" s="0"/>
      <c r="AW1326" s="0"/>
      <c r="AX1326" s="0"/>
      <c r="AY1326" s="0"/>
      <c r="AZ1326" s="0"/>
      <c r="BA1326" s="0"/>
      <c r="BB1326" s="0"/>
      <c r="BC1326" s="0"/>
      <c r="BD1326" s="0"/>
      <c r="BE1326" s="0"/>
      <c r="BF1326" s="0"/>
      <c r="BG1326" s="0"/>
      <c r="BH1326" s="0"/>
      <c r="BI1326" s="0"/>
      <c r="BJ1326" s="0"/>
      <c r="BK1326" s="0"/>
      <c r="BL1326" s="0"/>
      <c r="BM1326" s="0"/>
      <c r="BN1326" s="0"/>
      <c r="BO1326" s="0"/>
      <c r="BP1326" s="0"/>
      <c r="BQ1326" s="0"/>
      <c r="BR1326" s="0"/>
      <c r="BS1326" s="0"/>
      <c r="BT1326" s="0"/>
      <c r="BU1326" s="0"/>
      <c r="BV1326" s="0"/>
      <c r="BW1326" s="0"/>
      <c r="BX1326" s="0"/>
      <c r="BY1326" s="0"/>
      <c r="BZ1326" s="0"/>
      <c r="CA1326" s="0"/>
      <c r="CB1326" s="0"/>
      <c r="CC1326" s="0"/>
      <c r="CD1326" s="0"/>
      <c r="CE1326" s="0"/>
      <c r="CF1326" s="0"/>
      <c r="CG1326" s="0"/>
      <c r="CH1326" s="0"/>
      <c r="CI1326" s="0"/>
      <c r="CJ1326" s="0"/>
      <c r="CK1326" s="0"/>
      <c r="CL1326" s="0"/>
      <c r="CM1326" s="0"/>
      <c r="CN1326" s="0"/>
      <c r="CO1326" s="0"/>
      <c r="CP1326" s="0"/>
      <c r="CQ1326" s="0"/>
      <c r="CR1326" s="0"/>
      <c r="CS1326" s="0"/>
      <c r="CT1326" s="0"/>
      <c r="CU1326" s="0"/>
      <c r="CV1326" s="0"/>
      <c r="CW1326" s="0"/>
      <c r="CX1326" s="0"/>
      <c r="CY1326" s="0"/>
      <c r="CZ1326" s="0"/>
      <c r="DA1326" s="0"/>
      <c r="DB1326" s="0"/>
      <c r="DC1326" s="0"/>
      <c r="DD1326" s="0"/>
      <c r="DE1326" s="0"/>
      <c r="DF1326" s="0"/>
      <c r="DG1326" s="0"/>
      <c r="DH1326" s="0"/>
      <c r="DI1326" s="0"/>
      <c r="DJ1326" s="0"/>
      <c r="DK1326" s="0"/>
      <c r="DL1326" s="0"/>
      <c r="DM1326" s="0"/>
      <c r="DN1326" s="0"/>
      <c r="DO1326" s="0"/>
      <c r="DP1326" s="0"/>
      <c r="DQ1326" s="0"/>
      <c r="DR1326" s="0"/>
      <c r="DS1326" s="0"/>
      <c r="DT1326" s="0"/>
      <c r="DU1326" s="0"/>
      <c r="DV1326" s="0"/>
      <c r="DW1326" s="0"/>
      <c r="DX1326" s="0"/>
      <c r="DY1326" s="0"/>
      <c r="DZ1326" s="0"/>
      <c r="EA1326" s="0"/>
      <c r="EB1326" s="0"/>
      <c r="EC1326" s="0"/>
      <c r="ED1326" s="0"/>
      <c r="EE1326" s="0"/>
      <c r="EF1326" s="0"/>
      <c r="EG1326" s="0"/>
      <c r="EH1326" s="0"/>
      <c r="EI1326" s="0"/>
      <c r="EJ1326" s="0"/>
      <c r="EK1326" s="0"/>
      <c r="EL1326" s="0"/>
      <c r="EM1326" s="0"/>
      <c r="EN1326" s="0"/>
      <c r="EO1326" s="0"/>
      <c r="EP1326" s="0"/>
      <c r="EQ1326" s="0"/>
      <c r="ER1326" s="0"/>
      <c r="ES1326" s="0"/>
      <c r="ET1326" s="0"/>
      <c r="EU1326" s="0"/>
      <c r="EV1326" s="0"/>
      <c r="EW1326" s="0"/>
      <c r="EX1326" s="0"/>
      <c r="EY1326" s="0"/>
      <c r="EZ1326" s="0"/>
      <c r="FA1326" s="0"/>
      <c r="FB1326" s="0"/>
      <c r="FC1326" s="0"/>
      <c r="FD1326" s="0"/>
      <c r="FE1326" s="0"/>
      <c r="FF1326" s="0"/>
      <c r="FG1326" s="0"/>
      <c r="FH1326" s="0"/>
      <c r="FI1326" s="0"/>
      <c r="FJ1326" s="0"/>
      <c r="FK1326" s="0"/>
      <c r="FL1326" s="0"/>
      <c r="FM1326" s="0"/>
      <c r="FN1326" s="0"/>
      <c r="FO1326" s="0"/>
      <c r="FP1326" s="0"/>
      <c r="FQ1326" s="0"/>
      <c r="FR1326" s="0"/>
      <c r="FS1326" s="0"/>
      <c r="FT1326" s="0"/>
      <c r="FU1326" s="0"/>
      <c r="FV1326" s="0"/>
      <c r="FW1326" s="0"/>
      <c r="FX1326" s="0"/>
      <c r="FY1326" s="0"/>
      <c r="FZ1326" s="0"/>
      <c r="GA1326" s="0"/>
      <c r="GB1326" s="0"/>
      <c r="GC1326" s="0"/>
      <c r="GD1326" s="0"/>
      <c r="GE1326" s="0"/>
      <c r="GF1326" s="0"/>
      <c r="GG1326" s="0"/>
      <c r="GH1326" s="0"/>
      <c r="GI1326" s="0"/>
      <c r="GJ1326" s="0"/>
      <c r="GK1326" s="0"/>
      <c r="GL1326" s="0"/>
      <c r="GM1326" s="0"/>
      <c r="GN1326" s="0"/>
      <c r="GO1326" s="0"/>
      <c r="GP1326" s="0"/>
      <c r="GQ1326" s="0"/>
      <c r="GR1326" s="0"/>
      <c r="GS1326" s="0"/>
      <c r="GT1326" s="0"/>
      <c r="GU1326" s="0"/>
      <c r="GV1326" s="0"/>
      <c r="GW1326" s="0"/>
      <c r="GX1326" s="0"/>
      <c r="GY1326" s="0"/>
      <c r="GZ1326" s="0"/>
      <c r="HA1326" s="0"/>
      <c r="HB1326" s="0"/>
      <c r="HC1326" s="0"/>
      <c r="HD1326" s="0"/>
      <c r="HE1326" s="0"/>
      <c r="HF1326" s="0"/>
      <c r="HG1326" s="0"/>
      <c r="HH1326" s="0"/>
      <c r="HI1326" s="0"/>
      <c r="HJ1326" s="0"/>
      <c r="HK1326" s="0"/>
      <c r="HL1326" s="0"/>
      <c r="HM1326" s="0"/>
      <c r="HN1326" s="0"/>
      <c r="HO1326" s="0"/>
      <c r="HP1326" s="0"/>
      <c r="HQ1326" s="0"/>
      <c r="HR1326" s="0"/>
      <c r="HS1326" s="0"/>
      <c r="HT1326" s="0"/>
      <c r="HU1326" s="0"/>
      <c r="HV1326" s="0"/>
      <c r="HW1326" s="0"/>
      <c r="HX1326" s="0"/>
      <c r="HY1326" s="0"/>
      <c r="HZ1326" s="0"/>
      <c r="IA1326" s="0"/>
      <c r="IB1326" s="0"/>
      <c r="IC1326" s="0"/>
      <c r="ID1326" s="0"/>
      <c r="IE1326" s="0"/>
      <c r="IF1326" s="0"/>
      <c r="IG1326" s="0"/>
      <c r="IH1326" s="0"/>
      <c r="II1326" s="0"/>
      <c r="IJ1326" s="0"/>
      <c r="IK1326" s="0"/>
      <c r="IL1326" s="0"/>
      <c r="IM1326" s="0"/>
      <c r="IN1326" s="0"/>
      <c r="IO1326" s="0"/>
      <c r="IP1326" s="0"/>
      <c r="IQ1326" s="0"/>
      <c r="IR1326" s="0"/>
      <c r="IS1326" s="0"/>
      <c r="IT1326" s="0"/>
      <c r="IU1326" s="0"/>
      <c r="IV1326" s="0"/>
    </row>
    <row r="1327" customFormat="false" ht="15.75" hidden="false" customHeight="true" outlineLevel="0" collapsed="false">
      <c r="A1327" s="456"/>
      <c r="B1327" s="456"/>
      <c r="C1327" s="456"/>
      <c r="D1327" s="456"/>
      <c r="E1327" s="456"/>
      <c r="F1327" s="456"/>
      <c r="G1327" s="456"/>
      <c r="H1327" s="1332"/>
      <c r="J1327" s="0"/>
      <c r="K1327" s="55"/>
      <c r="M1327" s="19"/>
      <c r="N1327" s="0"/>
      <c r="O1327" s="0"/>
      <c r="P1327" s="0"/>
      <c r="Q1327" s="0"/>
      <c r="R1327" s="0"/>
      <c r="S1327" s="0"/>
      <c r="T1327" s="0"/>
      <c r="U1327" s="0"/>
      <c r="V1327" s="0"/>
      <c r="W1327" s="0"/>
      <c r="X1327" s="0"/>
      <c r="Y1327" s="0"/>
      <c r="Z1327" s="0"/>
      <c r="AA1327" s="0"/>
      <c r="AB1327" s="0"/>
      <c r="AC1327" s="0"/>
      <c r="AD1327" s="0"/>
      <c r="AE1327" s="0"/>
      <c r="AF1327" s="0"/>
      <c r="AG1327" s="0"/>
      <c r="AH1327" s="0"/>
      <c r="AI1327" s="0"/>
      <c r="AJ1327" s="0"/>
      <c r="AK1327" s="0"/>
      <c r="AL1327" s="0"/>
      <c r="AM1327" s="0"/>
      <c r="AN1327" s="0"/>
      <c r="AO1327" s="0"/>
      <c r="AP1327" s="0"/>
      <c r="AQ1327" s="0"/>
      <c r="AR1327" s="0"/>
      <c r="AS1327" s="0"/>
      <c r="AT1327" s="0"/>
      <c r="AU1327" s="0"/>
      <c r="AV1327" s="0"/>
      <c r="AW1327" s="0"/>
      <c r="AX1327" s="0"/>
      <c r="AY1327" s="0"/>
      <c r="AZ1327" s="0"/>
      <c r="BA1327" s="0"/>
      <c r="BB1327" s="0"/>
      <c r="BC1327" s="0"/>
      <c r="BD1327" s="0"/>
      <c r="BE1327" s="0"/>
      <c r="BF1327" s="0"/>
      <c r="BG1327" s="0"/>
      <c r="BH1327" s="0"/>
      <c r="BI1327" s="0"/>
      <c r="BJ1327" s="0"/>
      <c r="BK1327" s="0"/>
      <c r="BL1327" s="0"/>
      <c r="BM1327" s="0"/>
      <c r="BN1327" s="0"/>
      <c r="BO1327" s="0"/>
      <c r="BP1327" s="0"/>
      <c r="BQ1327" s="0"/>
      <c r="BR1327" s="0"/>
      <c r="BS1327" s="0"/>
      <c r="BT1327" s="0"/>
      <c r="BU1327" s="0"/>
      <c r="BV1327" s="0"/>
      <c r="BW1327" s="0"/>
      <c r="BX1327" s="0"/>
      <c r="BY1327" s="0"/>
      <c r="BZ1327" s="0"/>
      <c r="CA1327" s="0"/>
      <c r="CB1327" s="0"/>
      <c r="CC1327" s="0"/>
      <c r="CD1327" s="0"/>
      <c r="CE1327" s="0"/>
      <c r="CF1327" s="0"/>
      <c r="CG1327" s="0"/>
      <c r="CH1327" s="0"/>
      <c r="CI1327" s="0"/>
      <c r="CJ1327" s="0"/>
      <c r="CK1327" s="0"/>
      <c r="CL1327" s="0"/>
      <c r="CM1327" s="0"/>
      <c r="CN1327" s="0"/>
      <c r="CO1327" s="0"/>
      <c r="CP1327" s="0"/>
      <c r="CQ1327" s="0"/>
      <c r="CR1327" s="0"/>
      <c r="CS1327" s="0"/>
      <c r="CT1327" s="0"/>
      <c r="CU1327" s="0"/>
      <c r="CV1327" s="0"/>
      <c r="CW1327" s="0"/>
      <c r="CX1327" s="0"/>
      <c r="CY1327" s="0"/>
      <c r="CZ1327" s="0"/>
      <c r="DA1327" s="0"/>
      <c r="DB1327" s="0"/>
      <c r="DC1327" s="0"/>
      <c r="DD1327" s="0"/>
      <c r="DE1327" s="0"/>
      <c r="DF1327" s="0"/>
      <c r="DG1327" s="0"/>
      <c r="DH1327" s="0"/>
      <c r="DI1327" s="0"/>
      <c r="DJ1327" s="0"/>
      <c r="DK1327" s="0"/>
      <c r="DL1327" s="0"/>
      <c r="DM1327" s="0"/>
      <c r="DN1327" s="0"/>
      <c r="DO1327" s="0"/>
      <c r="DP1327" s="0"/>
      <c r="DQ1327" s="0"/>
      <c r="DR1327" s="0"/>
      <c r="DS1327" s="0"/>
      <c r="DT1327" s="0"/>
      <c r="DU1327" s="0"/>
      <c r="DV1327" s="0"/>
      <c r="DW1327" s="0"/>
      <c r="DX1327" s="0"/>
      <c r="DY1327" s="0"/>
      <c r="DZ1327" s="0"/>
      <c r="EA1327" s="0"/>
      <c r="EB1327" s="0"/>
      <c r="EC1327" s="0"/>
      <c r="ED1327" s="0"/>
      <c r="EE1327" s="0"/>
      <c r="EF1327" s="0"/>
      <c r="EG1327" s="0"/>
      <c r="EH1327" s="0"/>
      <c r="EI1327" s="0"/>
      <c r="EJ1327" s="0"/>
      <c r="EK1327" s="0"/>
      <c r="EL1327" s="0"/>
      <c r="EM1327" s="0"/>
      <c r="EN1327" s="0"/>
      <c r="EO1327" s="0"/>
      <c r="EP1327" s="0"/>
      <c r="EQ1327" s="0"/>
      <c r="ER1327" s="0"/>
      <c r="ES1327" s="0"/>
      <c r="ET1327" s="0"/>
      <c r="EU1327" s="0"/>
      <c r="EV1327" s="0"/>
      <c r="EW1327" s="0"/>
      <c r="EX1327" s="0"/>
      <c r="EY1327" s="0"/>
      <c r="EZ1327" s="0"/>
      <c r="FA1327" s="0"/>
      <c r="FB1327" s="0"/>
      <c r="FC1327" s="0"/>
      <c r="FD1327" s="0"/>
      <c r="FE1327" s="0"/>
      <c r="FF1327" s="0"/>
      <c r="FG1327" s="0"/>
      <c r="FH1327" s="0"/>
      <c r="FI1327" s="0"/>
      <c r="FJ1327" s="0"/>
      <c r="FK1327" s="0"/>
      <c r="FL1327" s="0"/>
      <c r="FM1327" s="0"/>
      <c r="FN1327" s="0"/>
      <c r="FO1327" s="0"/>
      <c r="FP1327" s="0"/>
      <c r="FQ1327" s="0"/>
      <c r="FR1327" s="0"/>
      <c r="FS1327" s="0"/>
      <c r="FT1327" s="0"/>
      <c r="FU1327" s="0"/>
      <c r="FV1327" s="0"/>
      <c r="FW1327" s="0"/>
      <c r="FX1327" s="0"/>
      <c r="FY1327" s="0"/>
      <c r="FZ1327" s="0"/>
      <c r="GA1327" s="0"/>
      <c r="GB1327" s="0"/>
      <c r="GC1327" s="0"/>
      <c r="GD1327" s="0"/>
      <c r="GE1327" s="0"/>
      <c r="GF1327" s="0"/>
      <c r="GG1327" s="0"/>
      <c r="GH1327" s="0"/>
      <c r="GI1327" s="0"/>
      <c r="GJ1327" s="0"/>
      <c r="GK1327" s="0"/>
      <c r="GL1327" s="0"/>
      <c r="GM1327" s="0"/>
      <c r="GN1327" s="0"/>
      <c r="GO1327" s="0"/>
      <c r="GP1327" s="0"/>
      <c r="GQ1327" s="0"/>
      <c r="GR1327" s="0"/>
      <c r="GS1327" s="0"/>
      <c r="GT1327" s="0"/>
      <c r="GU1327" s="0"/>
      <c r="GV1327" s="0"/>
      <c r="GW1327" s="0"/>
      <c r="GX1327" s="0"/>
      <c r="GY1327" s="0"/>
      <c r="GZ1327" s="0"/>
      <c r="HA1327" s="0"/>
      <c r="HB1327" s="0"/>
      <c r="HC1327" s="0"/>
      <c r="HD1327" s="0"/>
      <c r="HE1327" s="0"/>
      <c r="HF1327" s="0"/>
      <c r="HG1327" s="0"/>
      <c r="HH1327" s="0"/>
      <c r="HI1327" s="0"/>
      <c r="HJ1327" s="0"/>
      <c r="HK1327" s="0"/>
      <c r="HL1327" s="0"/>
      <c r="HM1327" s="0"/>
      <c r="HN1327" s="0"/>
      <c r="HO1327" s="0"/>
      <c r="HP1327" s="0"/>
      <c r="HQ1327" s="0"/>
      <c r="HR1327" s="0"/>
      <c r="HS1327" s="0"/>
      <c r="HT1327" s="0"/>
      <c r="HU1327" s="0"/>
      <c r="HV1327" s="0"/>
      <c r="HW1327" s="0"/>
      <c r="HX1327" s="0"/>
      <c r="HY1327" s="0"/>
      <c r="HZ1327" s="0"/>
      <c r="IA1327" s="0"/>
      <c r="IB1327" s="0"/>
      <c r="IC1327" s="0"/>
      <c r="ID1327" s="0"/>
      <c r="IE1327" s="0"/>
      <c r="IF1327" s="0"/>
      <c r="IG1327" s="0"/>
      <c r="IH1327" s="0"/>
      <c r="II1327" s="0"/>
      <c r="IJ1327" s="0"/>
      <c r="IK1327" s="0"/>
      <c r="IL1327" s="0"/>
      <c r="IM1327" s="0"/>
      <c r="IN1327" s="0"/>
      <c r="IO1327" s="0"/>
      <c r="IP1327" s="0"/>
      <c r="IQ1327" s="0"/>
      <c r="IR1327" s="0"/>
      <c r="IS1327" s="0"/>
      <c r="IT1327" s="0"/>
      <c r="IU1327" s="0"/>
      <c r="IV1327" s="0"/>
    </row>
    <row r="1328" customFormat="false" ht="15" hidden="false" customHeight="true" outlineLevel="0" collapsed="false">
      <c r="A1328" s="869" t="s">
        <v>1797</v>
      </c>
      <c r="B1328" s="869"/>
      <c r="C1328" s="869"/>
      <c r="D1328" s="869"/>
      <c r="E1328" s="869"/>
      <c r="F1328" s="869"/>
      <c r="G1328" s="869"/>
      <c r="H1328" s="53"/>
      <c r="I1328" s="53"/>
      <c r="J1328" s="53"/>
      <c r="K1328" s="870"/>
      <c r="L1328" s="871"/>
      <c r="O1328" s="0"/>
      <c r="P1328" s="0"/>
      <c r="Q1328" s="0"/>
      <c r="R1328" s="0"/>
      <c r="S1328" s="0"/>
      <c r="T1328" s="0"/>
      <c r="U1328" s="0"/>
      <c r="V1328" s="0"/>
      <c r="W1328" s="0"/>
      <c r="X1328" s="0"/>
      <c r="Y1328" s="0"/>
      <c r="Z1328" s="0"/>
      <c r="AA1328" s="0"/>
      <c r="AB1328" s="0"/>
      <c r="AC1328" s="0"/>
      <c r="AD1328" s="0"/>
      <c r="AE1328" s="0"/>
      <c r="AF1328" s="0"/>
      <c r="AG1328" s="0"/>
      <c r="AH1328" s="0"/>
      <c r="AI1328" s="0"/>
      <c r="AJ1328" s="0"/>
      <c r="AK1328" s="0"/>
      <c r="AL1328" s="0"/>
      <c r="AM1328" s="0"/>
      <c r="AN1328" s="0"/>
      <c r="AO1328" s="0"/>
      <c r="AP1328" s="0"/>
      <c r="AQ1328" s="0"/>
      <c r="AR1328" s="0"/>
      <c r="AS1328" s="0"/>
      <c r="AT1328" s="0"/>
      <c r="AU1328" s="0"/>
      <c r="AV1328" s="0"/>
      <c r="AW1328" s="0"/>
      <c r="AX1328" s="0"/>
      <c r="AY1328" s="0"/>
      <c r="AZ1328" s="0"/>
      <c r="BA1328" s="0"/>
      <c r="BB1328" s="0"/>
      <c r="BC1328" s="0"/>
      <c r="BD1328" s="0"/>
      <c r="BE1328" s="0"/>
      <c r="BF1328" s="0"/>
      <c r="BG1328" s="0"/>
      <c r="BH1328" s="0"/>
      <c r="BI1328" s="0"/>
      <c r="BJ1328" s="0"/>
      <c r="BK1328" s="0"/>
      <c r="BL1328" s="0"/>
      <c r="BM1328" s="0"/>
      <c r="BN1328" s="0"/>
      <c r="BO1328" s="0"/>
      <c r="BP1328" s="0"/>
      <c r="BQ1328" s="0"/>
      <c r="BR1328" s="0"/>
      <c r="BS1328" s="0"/>
      <c r="BT1328" s="0"/>
      <c r="BU1328" s="0"/>
      <c r="BV1328" s="0"/>
      <c r="BW1328" s="0"/>
      <c r="BX1328" s="0"/>
      <c r="BY1328" s="0"/>
      <c r="BZ1328" s="0"/>
      <c r="CA1328" s="0"/>
      <c r="CB1328" s="0"/>
      <c r="CC1328" s="0"/>
      <c r="CD1328" s="0"/>
      <c r="CE1328" s="0"/>
      <c r="CF1328" s="0"/>
      <c r="CG1328" s="0"/>
      <c r="CH1328" s="0"/>
      <c r="CI1328" s="0"/>
      <c r="CJ1328" s="0"/>
      <c r="CK1328" s="0"/>
      <c r="CL1328" s="0"/>
      <c r="CM1328" s="0"/>
      <c r="CN1328" s="0"/>
      <c r="CO1328" s="0"/>
      <c r="CP1328" s="0"/>
      <c r="CQ1328" s="0"/>
      <c r="CR1328" s="0"/>
      <c r="CS1328" s="0"/>
      <c r="CT1328" s="0"/>
      <c r="CU1328" s="0"/>
      <c r="CV1328" s="0"/>
      <c r="CW1328" s="0"/>
      <c r="CX1328" s="0"/>
      <c r="CY1328" s="0"/>
      <c r="CZ1328" s="0"/>
      <c r="DA1328" s="0"/>
      <c r="DB1328" s="0"/>
      <c r="DC1328" s="0"/>
      <c r="DD1328" s="0"/>
      <c r="DE1328" s="0"/>
      <c r="DF1328" s="0"/>
      <c r="DG1328" s="0"/>
      <c r="DH1328" s="0"/>
      <c r="DI1328" s="0"/>
      <c r="DJ1328" s="0"/>
      <c r="DK1328" s="0"/>
      <c r="DL1328" s="0"/>
      <c r="DM1328" s="0"/>
      <c r="DN1328" s="0"/>
      <c r="DO1328" s="0"/>
      <c r="DP1328" s="0"/>
      <c r="DQ1328" s="0"/>
      <c r="DR1328" s="0"/>
      <c r="DS1328" s="0"/>
      <c r="DT1328" s="0"/>
      <c r="DU1328" s="0"/>
      <c r="DV1328" s="0"/>
      <c r="DW1328" s="0"/>
      <c r="DX1328" s="0"/>
      <c r="DY1328" s="0"/>
      <c r="DZ1328" s="0"/>
      <c r="EA1328" s="0"/>
      <c r="EB1328" s="0"/>
      <c r="EC1328" s="0"/>
      <c r="ED1328" s="0"/>
      <c r="EE1328" s="0"/>
      <c r="EF1328" s="0"/>
      <c r="EG1328" s="0"/>
      <c r="EH1328" s="0"/>
      <c r="EI1328" s="0"/>
      <c r="EJ1328" s="0"/>
      <c r="EK1328" s="0"/>
      <c r="EL1328" s="0"/>
      <c r="EM1328" s="0"/>
      <c r="EN1328" s="0"/>
      <c r="EO1328" s="0"/>
      <c r="EP1328" s="0"/>
      <c r="EQ1328" s="0"/>
      <c r="ER1328" s="0"/>
      <c r="ES1328" s="0"/>
      <c r="ET1328" s="0"/>
      <c r="EU1328" s="0"/>
      <c r="EV1328" s="0"/>
      <c r="EW1328" s="0"/>
      <c r="EX1328" s="0"/>
      <c r="EY1328" s="0"/>
      <c r="EZ1328" s="0"/>
      <c r="FA1328" s="0"/>
      <c r="FB1328" s="0"/>
      <c r="FC1328" s="0"/>
      <c r="FD1328" s="0"/>
      <c r="FE1328" s="0"/>
      <c r="FF1328" s="0"/>
      <c r="FG1328" s="0"/>
      <c r="FH1328" s="0"/>
      <c r="FI1328" s="0"/>
      <c r="FJ1328" s="0"/>
      <c r="FK1328" s="0"/>
      <c r="FL1328" s="0"/>
      <c r="FM1328" s="0"/>
      <c r="FN1328" s="0"/>
      <c r="FO1328" s="0"/>
      <c r="FP1328" s="0"/>
      <c r="FQ1328" s="0"/>
      <c r="FR1328" s="0"/>
      <c r="FS1328" s="0"/>
      <c r="FT1328" s="0"/>
      <c r="FU1328" s="0"/>
      <c r="FV1328" s="0"/>
      <c r="FW1328" s="0"/>
      <c r="FX1328" s="0"/>
      <c r="FY1328" s="0"/>
      <c r="FZ1328" s="0"/>
      <c r="GA1328" s="0"/>
      <c r="GB1328" s="0"/>
      <c r="GC1328" s="0"/>
      <c r="GD1328" s="0"/>
      <c r="GE1328" s="0"/>
      <c r="GF1328" s="0"/>
      <c r="GG1328" s="0"/>
      <c r="GH1328" s="0"/>
      <c r="GI1328" s="0"/>
      <c r="GJ1328" s="0"/>
      <c r="GK1328" s="0"/>
      <c r="GL1328" s="0"/>
      <c r="GM1328" s="0"/>
      <c r="GN1328" s="0"/>
      <c r="GO1328" s="0"/>
      <c r="GP1328" s="0"/>
      <c r="GQ1328" s="0"/>
      <c r="GR1328" s="0"/>
      <c r="GS1328" s="0"/>
      <c r="GT1328" s="0"/>
      <c r="GU1328" s="0"/>
      <c r="GV1328" s="0"/>
      <c r="GW1328" s="0"/>
      <c r="GX1328" s="0"/>
      <c r="GY1328" s="0"/>
      <c r="GZ1328" s="0"/>
      <c r="HA1328" s="0"/>
      <c r="HB1328" s="0"/>
      <c r="HC1328" s="0"/>
      <c r="HD1328" s="0"/>
      <c r="HE1328" s="0"/>
      <c r="HF1328" s="0"/>
      <c r="HG1328" s="0"/>
      <c r="HH1328" s="0"/>
      <c r="HI1328" s="0"/>
      <c r="HJ1328" s="0"/>
      <c r="HK1328" s="0"/>
      <c r="HL1328" s="0"/>
      <c r="HM1328" s="0"/>
      <c r="HN1328" s="0"/>
      <c r="HO1328" s="0"/>
      <c r="HP1328" s="0"/>
      <c r="HQ1328" s="0"/>
      <c r="HR1328" s="0"/>
      <c r="HS1328" s="0"/>
      <c r="HT1328" s="0"/>
      <c r="HU1328" s="0"/>
      <c r="HV1328" s="0"/>
      <c r="HW1328" s="0"/>
      <c r="HX1328" s="0"/>
      <c r="HY1328" s="0"/>
      <c r="HZ1328" s="0"/>
      <c r="IA1328" s="0"/>
      <c r="IB1328" s="0"/>
      <c r="IC1328" s="0"/>
      <c r="ID1328" s="0"/>
      <c r="IE1328" s="0"/>
      <c r="IF1328" s="0"/>
      <c r="IG1328" s="0"/>
      <c r="IH1328" s="0"/>
      <c r="II1328" s="0"/>
      <c r="IJ1328" s="0"/>
      <c r="IK1328" s="0"/>
      <c r="IL1328" s="0"/>
      <c r="IM1328" s="0"/>
      <c r="IN1328" s="0"/>
      <c r="IO1328" s="0"/>
      <c r="IP1328" s="0"/>
      <c r="IQ1328" s="0"/>
      <c r="IR1328" s="0"/>
      <c r="IS1328" s="0"/>
      <c r="IT1328" s="0"/>
      <c r="IU1328" s="0"/>
      <c r="IV1328" s="0"/>
    </row>
    <row r="1329" customFormat="false" ht="15" hidden="false" customHeight="true" outlineLevel="0" collapsed="false">
      <c r="A1329" s="1005"/>
      <c r="B1329" s="1005"/>
      <c r="C1329" s="1005"/>
      <c r="D1329" s="1005"/>
      <c r="E1329" s="1005"/>
      <c r="F1329" s="1005"/>
      <c r="G1329" s="1005"/>
      <c r="H1329" s="1332"/>
      <c r="J1329" s="0"/>
      <c r="K1329" s="1310"/>
      <c r="L1329" s="1480"/>
      <c r="O1329" s="0"/>
      <c r="P1329" s="0"/>
      <c r="Q1329" s="0"/>
      <c r="R1329" s="0"/>
      <c r="S1329" s="0"/>
      <c r="T1329" s="0"/>
      <c r="U1329" s="0"/>
      <c r="V1329" s="0"/>
      <c r="W1329" s="0"/>
      <c r="X1329" s="0"/>
      <c r="Y1329" s="0"/>
      <c r="Z1329" s="0"/>
      <c r="AA1329" s="0"/>
      <c r="AB1329" s="0"/>
      <c r="AC1329" s="0"/>
      <c r="AD1329" s="0"/>
      <c r="AE1329" s="0"/>
      <c r="AF1329" s="0"/>
      <c r="AG1329" s="0"/>
      <c r="AH1329" s="0"/>
      <c r="AI1329" s="0"/>
      <c r="AJ1329" s="0"/>
      <c r="AK1329" s="0"/>
      <c r="AL1329" s="0"/>
      <c r="AM1329" s="0"/>
      <c r="AN1329" s="0"/>
      <c r="AO1329" s="0"/>
      <c r="AP1329" s="0"/>
      <c r="AQ1329" s="0"/>
      <c r="AR1329" s="0"/>
      <c r="AS1329" s="0"/>
      <c r="AT1329" s="0"/>
      <c r="AU1329" s="0"/>
      <c r="AV1329" s="0"/>
      <c r="AW1329" s="0"/>
      <c r="AX1329" s="0"/>
      <c r="AY1329" s="0"/>
      <c r="AZ1329" s="0"/>
      <c r="BA1329" s="0"/>
      <c r="BB1329" s="0"/>
      <c r="BC1329" s="0"/>
      <c r="BD1329" s="0"/>
      <c r="BE1329" s="0"/>
      <c r="BF1329" s="0"/>
      <c r="BG1329" s="0"/>
      <c r="BH1329" s="0"/>
      <c r="BI1329" s="0"/>
      <c r="BJ1329" s="0"/>
      <c r="BK1329" s="0"/>
      <c r="BL1329" s="0"/>
      <c r="BM1329" s="0"/>
      <c r="BN1329" s="0"/>
      <c r="BO1329" s="0"/>
      <c r="BP1329" s="0"/>
      <c r="BQ1329" s="0"/>
      <c r="BR1329" s="0"/>
      <c r="BS1329" s="0"/>
      <c r="BT1329" s="0"/>
      <c r="BU1329" s="0"/>
      <c r="BV1329" s="0"/>
      <c r="BW1329" s="0"/>
      <c r="BX1329" s="0"/>
      <c r="BY1329" s="0"/>
      <c r="BZ1329" s="0"/>
      <c r="CA1329" s="0"/>
      <c r="CB1329" s="0"/>
      <c r="CC1329" s="0"/>
      <c r="CD1329" s="0"/>
      <c r="CE1329" s="0"/>
      <c r="CF1329" s="0"/>
      <c r="CG1329" s="0"/>
      <c r="CH1329" s="0"/>
      <c r="CI1329" s="0"/>
      <c r="CJ1329" s="0"/>
      <c r="CK1329" s="0"/>
      <c r="CL1329" s="0"/>
      <c r="CM1329" s="0"/>
      <c r="CN1329" s="0"/>
      <c r="CO1329" s="0"/>
      <c r="CP1329" s="0"/>
      <c r="CQ1329" s="0"/>
      <c r="CR1329" s="0"/>
      <c r="CS1329" s="0"/>
      <c r="CT1329" s="0"/>
      <c r="CU1329" s="0"/>
      <c r="CV1329" s="0"/>
      <c r="CW1329" s="0"/>
      <c r="CX1329" s="0"/>
      <c r="CY1329" s="0"/>
      <c r="CZ1329" s="0"/>
      <c r="DA1329" s="0"/>
      <c r="DB1329" s="0"/>
      <c r="DC1329" s="0"/>
      <c r="DD1329" s="0"/>
      <c r="DE1329" s="0"/>
      <c r="DF1329" s="0"/>
      <c r="DG1329" s="0"/>
      <c r="DH1329" s="0"/>
      <c r="DI1329" s="0"/>
      <c r="DJ1329" s="0"/>
      <c r="DK1329" s="0"/>
      <c r="DL1329" s="0"/>
      <c r="DM1329" s="0"/>
      <c r="DN1329" s="0"/>
      <c r="DO1329" s="0"/>
      <c r="DP1329" s="0"/>
      <c r="DQ1329" s="0"/>
      <c r="DR1329" s="0"/>
      <c r="DS1329" s="0"/>
      <c r="DT1329" s="0"/>
      <c r="DU1329" s="0"/>
      <c r="DV1329" s="0"/>
      <c r="DW1329" s="0"/>
      <c r="DX1329" s="0"/>
      <c r="DY1329" s="0"/>
      <c r="DZ1329" s="0"/>
      <c r="EA1329" s="0"/>
      <c r="EB1329" s="0"/>
      <c r="EC1329" s="0"/>
      <c r="ED1329" s="0"/>
      <c r="EE1329" s="0"/>
      <c r="EF1329" s="0"/>
      <c r="EG1329" s="0"/>
      <c r="EH1329" s="0"/>
      <c r="EI1329" s="0"/>
      <c r="EJ1329" s="0"/>
      <c r="EK1329" s="0"/>
      <c r="EL1329" s="0"/>
      <c r="EM1329" s="0"/>
      <c r="EN1329" s="0"/>
      <c r="EO1329" s="0"/>
      <c r="EP1329" s="0"/>
      <c r="EQ1329" s="0"/>
      <c r="ER1329" s="0"/>
      <c r="ES1329" s="0"/>
      <c r="ET1329" s="0"/>
      <c r="EU1329" s="0"/>
      <c r="EV1329" s="0"/>
      <c r="EW1329" s="0"/>
      <c r="EX1329" s="0"/>
      <c r="EY1329" s="0"/>
      <c r="EZ1329" s="0"/>
      <c r="FA1329" s="0"/>
      <c r="FB1329" s="0"/>
      <c r="FC1329" s="0"/>
      <c r="FD1329" s="0"/>
      <c r="FE1329" s="0"/>
      <c r="FF1329" s="0"/>
      <c r="FG1329" s="0"/>
      <c r="FH1329" s="0"/>
      <c r="FI1329" s="0"/>
      <c r="FJ1329" s="0"/>
      <c r="FK1329" s="0"/>
      <c r="FL1329" s="0"/>
      <c r="FM1329" s="0"/>
      <c r="FN1329" s="0"/>
      <c r="FO1329" s="0"/>
      <c r="FP1329" s="0"/>
      <c r="FQ1329" s="0"/>
      <c r="FR1329" s="0"/>
      <c r="FS1329" s="0"/>
      <c r="FT1329" s="0"/>
      <c r="FU1329" s="0"/>
      <c r="FV1329" s="0"/>
      <c r="FW1329" s="0"/>
      <c r="FX1329" s="0"/>
      <c r="FY1329" s="0"/>
      <c r="FZ1329" s="0"/>
      <c r="GA1329" s="0"/>
      <c r="GB1329" s="0"/>
      <c r="GC1329" s="0"/>
      <c r="GD1329" s="0"/>
      <c r="GE1329" s="0"/>
      <c r="GF1329" s="0"/>
      <c r="GG1329" s="0"/>
      <c r="GH1329" s="0"/>
      <c r="GI1329" s="0"/>
      <c r="GJ1329" s="0"/>
      <c r="GK1329" s="0"/>
      <c r="GL1329" s="0"/>
      <c r="GM1329" s="0"/>
      <c r="GN1329" s="0"/>
      <c r="GO1329" s="0"/>
      <c r="GP1329" s="0"/>
      <c r="GQ1329" s="0"/>
      <c r="GR1329" s="0"/>
      <c r="GS1329" s="0"/>
      <c r="GT1329" s="0"/>
      <c r="GU1329" s="0"/>
      <c r="GV1329" s="0"/>
      <c r="GW1329" s="0"/>
      <c r="GX1329" s="0"/>
      <c r="GY1329" s="0"/>
      <c r="GZ1329" s="0"/>
      <c r="HA1329" s="0"/>
      <c r="HB1329" s="0"/>
      <c r="HC1329" s="0"/>
      <c r="HD1329" s="0"/>
      <c r="HE1329" s="0"/>
      <c r="HF1329" s="0"/>
      <c r="HG1329" s="0"/>
      <c r="HH1329" s="0"/>
      <c r="HI1329" s="0"/>
      <c r="HJ1329" s="0"/>
      <c r="HK1329" s="0"/>
      <c r="HL1329" s="0"/>
      <c r="HM1329" s="0"/>
      <c r="HN1329" s="0"/>
      <c r="HO1329" s="0"/>
      <c r="HP1329" s="0"/>
      <c r="HQ1329" s="0"/>
      <c r="HR1329" s="0"/>
      <c r="HS1329" s="0"/>
      <c r="HT1329" s="0"/>
      <c r="HU1329" s="0"/>
      <c r="HV1329" s="0"/>
      <c r="HW1329" s="0"/>
      <c r="HX1329" s="0"/>
      <c r="HY1329" s="0"/>
      <c r="HZ1329" s="0"/>
      <c r="IA1329" s="0"/>
      <c r="IB1329" s="0"/>
      <c r="IC1329" s="0"/>
      <c r="ID1329" s="0"/>
      <c r="IE1329" s="0"/>
      <c r="IF1329" s="0"/>
      <c r="IG1329" s="0"/>
      <c r="IH1329" s="0"/>
      <c r="II1329" s="0"/>
      <c r="IJ1329" s="0"/>
      <c r="IK1329" s="0"/>
      <c r="IL1329" s="0"/>
      <c r="IM1329" s="0"/>
      <c r="IN1329" s="0"/>
      <c r="IO1329" s="0"/>
      <c r="IP1329" s="0"/>
      <c r="IQ1329" s="0"/>
      <c r="IR1329" s="0"/>
      <c r="IS1329" s="0"/>
      <c r="IT1329" s="0"/>
      <c r="IU1329" s="0"/>
      <c r="IV1329" s="0"/>
    </row>
    <row r="1330" customFormat="false" ht="15.75" hidden="false" customHeight="true" outlineLevel="0" collapsed="false">
      <c r="A1330" s="1489" t="s">
        <v>1798</v>
      </c>
      <c r="B1330" s="1489"/>
      <c r="C1330" s="1489"/>
      <c r="D1330" s="1490" t="n">
        <f aca="false">I1207/C38</f>
        <v>647629</v>
      </c>
      <c r="E1330" s="456"/>
      <c r="F1330" s="456"/>
      <c r="G1330" s="456"/>
      <c r="H1330" s="1332"/>
      <c r="K1330" s="55"/>
      <c r="S1330" s="0"/>
      <c r="T1330" s="0"/>
      <c r="U1330" s="0"/>
      <c r="V1330" s="0"/>
      <c r="W1330" s="0"/>
      <c r="X1330" s="0"/>
      <c r="Y1330" s="0"/>
      <c r="Z1330" s="0"/>
      <c r="AA1330" s="0"/>
      <c r="AB1330" s="0"/>
      <c r="AC1330" s="0"/>
      <c r="AD1330" s="0"/>
      <c r="AE1330" s="0"/>
      <c r="AF1330" s="0"/>
      <c r="AG1330" s="0"/>
      <c r="AH1330" s="0"/>
      <c r="AI1330" s="0"/>
      <c r="AJ1330" s="0"/>
      <c r="AK1330" s="0"/>
      <c r="AL1330" s="0"/>
      <c r="AM1330" s="0"/>
      <c r="AN1330" s="0"/>
      <c r="AO1330" s="0"/>
      <c r="AP1330" s="0"/>
      <c r="AQ1330" s="0"/>
      <c r="AR1330" s="0"/>
      <c r="AS1330" s="0"/>
      <c r="AT1330" s="0"/>
      <c r="AU1330" s="0"/>
      <c r="AV1330" s="0"/>
      <c r="AW1330" s="0"/>
      <c r="AX1330" s="0"/>
      <c r="AY1330" s="0"/>
      <c r="AZ1330" s="0"/>
      <c r="BA1330" s="0"/>
      <c r="BB1330" s="0"/>
      <c r="BC1330" s="0"/>
      <c r="BD1330" s="0"/>
      <c r="BE1330" s="0"/>
      <c r="BF1330" s="0"/>
      <c r="BG1330" s="0"/>
      <c r="BH1330" s="0"/>
      <c r="BI1330" s="0"/>
      <c r="BJ1330" s="0"/>
      <c r="BK1330" s="0"/>
      <c r="BL1330" s="0"/>
      <c r="BM1330" s="0"/>
      <c r="BN1330" s="0"/>
      <c r="BO1330" s="0"/>
      <c r="BP1330" s="0"/>
      <c r="BQ1330" s="0"/>
      <c r="BR1330" s="0"/>
      <c r="BS1330" s="0"/>
      <c r="BT1330" s="0"/>
      <c r="BU1330" s="0"/>
      <c r="BV1330" s="0"/>
      <c r="BW1330" s="0"/>
      <c r="BX1330" s="0"/>
      <c r="BY1330" s="0"/>
      <c r="BZ1330" s="0"/>
      <c r="CA1330" s="0"/>
      <c r="CB1330" s="0"/>
      <c r="CC1330" s="0"/>
      <c r="CD1330" s="0"/>
      <c r="CE1330" s="0"/>
      <c r="CF1330" s="0"/>
      <c r="CG1330" s="0"/>
      <c r="CH1330" s="0"/>
      <c r="CI1330" s="0"/>
      <c r="CJ1330" s="0"/>
      <c r="CK1330" s="0"/>
      <c r="CL1330" s="0"/>
      <c r="CM1330" s="0"/>
      <c r="CN1330" s="0"/>
      <c r="CO1330" s="0"/>
      <c r="CP1330" s="0"/>
      <c r="CQ1330" s="0"/>
      <c r="CR1330" s="0"/>
      <c r="CS1330" s="0"/>
      <c r="CT1330" s="0"/>
      <c r="CU1330" s="0"/>
      <c r="CV1330" s="0"/>
      <c r="CW1330" s="0"/>
      <c r="CX1330" s="0"/>
      <c r="CY1330" s="0"/>
      <c r="CZ1330" s="0"/>
      <c r="DA1330" s="0"/>
      <c r="DB1330" s="0"/>
      <c r="DC1330" s="0"/>
      <c r="DD1330" s="0"/>
      <c r="DE1330" s="0"/>
      <c r="DF1330" s="0"/>
      <c r="DG1330" s="0"/>
      <c r="DH1330" s="0"/>
      <c r="DI1330" s="0"/>
      <c r="DJ1330" s="0"/>
      <c r="DK1330" s="0"/>
      <c r="DL1330" s="0"/>
      <c r="DM1330" s="0"/>
      <c r="DN1330" s="0"/>
      <c r="DO1330" s="0"/>
      <c r="DP1330" s="0"/>
      <c r="DQ1330" s="0"/>
      <c r="DR1330" s="0"/>
      <c r="DS1330" s="0"/>
      <c r="DT1330" s="0"/>
      <c r="DU1330" s="0"/>
      <c r="DV1330" s="0"/>
      <c r="DW1330" s="0"/>
      <c r="DX1330" s="0"/>
      <c r="DY1330" s="0"/>
      <c r="DZ1330" s="0"/>
      <c r="EA1330" s="0"/>
      <c r="EB1330" s="0"/>
      <c r="EC1330" s="0"/>
      <c r="ED1330" s="0"/>
      <c r="EE1330" s="0"/>
      <c r="EF1330" s="0"/>
      <c r="EG1330" s="0"/>
      <c r="EH1330" s="0"/>
      <c r="EI1330" s="0"/>
      <c r="EJ1330" s="0"/>
      <c r="EK1330" s="0"/>
      <c r="EL1330" s="0"/>
      <c r="EM1330" s="0"/>
      <c r="EN1330" s="0"/>
      <c r="EO1330" s="0"/>
      <c r="EP1330" s="0"/>
      <c r="EQ1330" s="0"/>
      <c r="ER1330" s="0"/>
      <c r="ES1330" s="0"/>
      <c r="ET1330" s="0"/>
      <c r="EU1330" s="0"/>
      <c r="EV1330" s="0"/>
      <c r="EW1330" s="0"/>
      <c r="EX1330" s="0"/>
      <c r="EY1330" s="0"/>
      <c r="EZ1330" s="0"/>
      <c r="FA1330" s="0"/>
      <c r="FB1330" s="0"/>
      <c r="FC1330" s="0"/>
      <c r="FD1330" s="0"/>
      <c r="FE1330" s="0"/>
      <c r="FF1330" s="0"/>
      <c r="FG1330" s="0"/>
      <c r="FH1330" s="0"/>
      <c r="FI1330" s="0"/>
      <c r="FJ1330" s="0"/>
      <c r="FK1330" s="0"/>
      <c r="FL1330" s="0"/>
      <c r="FM1330" s="0"/>
      <c r="FN1330" s="0"/>
      <c r="FO1330" s="0"/>
      <c r="FP1330" s="0"/>
      <c r="FQ1330" s="0"/>
      <c r="FR1330" s="0"/>
      <c r="FS1330" s="0"/>
      <c r="FT1330" s="0"/>
      <c r="FU1330" s="0"/>
      <c r="FV1330" s="0"/>
      <c r="FW1330" s="0"/>
      <c r="FX1330" s="0"/>
      <c r="FY1330" s="0"/>
      <c r="FZ1330" s="0"/>
      <c r="GA1330" s="0"/>
      <c r="GB1330" s="0"/>
      <c r="GC1330" s="0"/>
      <c r="GD1330" s="0"/>
      <c r="GE1330" s="0"/>
      <c r="GF1330" s="0"/>
      <c r="GG1330" s="0"/>
      <c r="GH1330" s="0"/>
      <c r="GI1330" s="0"/>
      <c r="GJ1330" s="0"/>
      <c r="GK1330" s="0"/>
      <c r="GL1330" s="0"/>
      <c r="GM1330" s="0"/>
      <c r="GN1330" s="0"/>
      <c r="GO1330" s="0"/>
      <c r="GP1330" s="0"/>
      <c r="GQ1330" s="0"/>
      <c r="GR1330" s="0"/>
      <c r="GS1330" s="0"/>
      <c r="GT1330" s="0"/>
      <c r="GU1330" s="0"/>
      <c r="GV1330" s="0"/>
      <c r="GW1330" s="0"/>
      <c r="GX1330" s="0"/>
      <c r="GY1330" s="0"/>
      <c r="GZ1330" s="0"/>
      <c r="HA1330" s="0"/>
      <c r="HB1330" s="0"/>
      <c r="HC1330" s="0"/>
      <c r="HD1330" s="0"/>
      <c r="HE1330" s="0"/>
      <c r="HF1330" s="0"/>
      <c r="HG1330" s="0"/>
      <c r="HH1330" s="0"/>
      <c r="HI1330" s="0"/>
      <c r="HJ1330" s="0"/>
      <c r="HK1330" s="0"/>
      <c r="HL1330" s="0"/>
      <c r="HM1330" s="0"/>
      <c r="HN1330" s="0"/>
      <c r="HO1330" s="0"/>
      <c r="HP1330" s="0"/>
      <c r="HQ1330" s="0"/>
      <c r="HR1330" s="0"/>
      <c r="HS1330" s="0"/>
      <c r="HT1330" s="0"/>
      <c r="HU1330" s="0"/>
      <c r="HV1330" s="0"/>
      <c r="HW1330" s="0"/>
      <c r="HX1330" s="0"/>
      <c r="HY1330" s="0"/>
      <c r="HZ1330" s="0"/>
      <c r="IA1330" s="0"/>
      <c r="IB1330" s="0"/>
      <c r="IC1330" s="0"/>
      <c r="ID1330" s="0"/>
      <c r="IE1330" s="0"/>
      <c r="IF1330" s="0"/>
      <c r="IG1330" s="0"/>
      <c r="IH1330" s="0"/>
      <c r="II1330" s="0"/>
      <c r="IJ1330" s="0"/>
      <c r="IK1330" s="0"/>
      <c r="IL1330" s="0"/>
      <c r="IM1330" s="0"/>
      <c r="IN1330" s="0"/>
      <c r="IO1330" s="0"/>
      <c r="IP1330" s="0"/>
      <c r="IQ1330" s="0"/>
      <c r="IR1330" s="0"/>
      <c r="IS1330" s="0"/>
      <c r="IT1330" s="0"/>
      <c r="IU1330" s="0"/>
      <c r="IV1330" s="0"/>
    </row>
    <row r="1331" s="11" customFormat="true" ht="15.75" hidden="false" customHeight="true" outlineLevel="0" collapsed="false">
      <c r="A1331" s="456"/>
      <c r="B1331" s="456"/>
      <c r="C1331" s="456"/>
      <c r="D1331" s="456"/>
      <c r="E1331" s="456"/>
      <c r="F1331" s="456"/>
      <c r="G1331" s="456"/>
      <c r="H1331" s="1332"/>
      <c r="I1331" s="0"/>
      <c r="J1331" s="12"/>
      <c r="K1331" s="55"/>
      <c r="L1331" s="0"/>
      <c r="S1331" s="0"/>
      <c r="T1331" s="0"/>
      <c r="U1331" s="0"/>
      <c r="V1331" s="0"/>
      <c r="W1331" s="0"/>
      <c r="X1331" s="0"/>
      <c r="Y1331" s="0"/>
      <c r="Z1331" s="0"/>
      <c r="AA1331" s="0"/>
      <c r="AB1331" s="0"/>
      <c r="AC1331" s="0"/>
      <c r="AD1331" s="0"/>
      <c r="AE1331" s="0"/>
      <c r="AF1331" s="0"/>
      <c r="AG1331" s="0"/>
      <c r="AH1331" s="0"/>
      <c r="AI1331" s="0"/>
      <c r="AJ1331" s="0"/>
      <c r="AK1331" s="0"/>
      <c r="AL1331" s="0"/>
      <c r="AM1331" s="0"/>
      <c r="AN1331" s="0"/>
      <c r="AO1331" s="0"/>
      <c r="AP1331" s="0"/>
      <c r="AQ1331" s="0"/>
      <c r="AR1331" s="0"/>
      <c r="AS1331" s="0"/>
      <c r="AT1331" s="0"/>
      <c r="AU1331" s="0"/>
      <c r="AV1331" s="0"/>
      <c r="AW1331" s="0"/>
      <c r="AX1331" s="0"/>
      <c r="AY1331" s="0"/>
      <c r="AZ1331" s="0"/>
      <c r="BA1331" s="0"/>
      <c r="BB1331" s="0"/>
      <c r="BC1331" s="0"/>
      <c r="BD1331" s="0"/>
      <c r="BE1331" s="0"/>
      <c r="BF1331" s="0"/>
      <c r="BG1331" s="0"/>
      <c r="BH1331" s="0"/>
      <c r="BI1331" s="0"/>
      <c r="BJ1331" s="0"/>
      <c r="BK1331" s="0"/>
      <c r="BL1331" s="0"/>
      <c r="BM1331" s="0"/>
      <c r="BN1331" s="0"/>
      <c r="BO1331" s="0"/>
      <c r="BP1331" s="0"/>
      <c r="BQ1331" s="0"/>
      <c r="BR1331" s="0"/>
      <c r="BS1331" s="0"/>
      <c r="BT1331" s="0"/>
      <c r="BU1331" s="0"/>
      <c r="BV1331" s="0"/>
      <c r="BW1331" s="0"/>
      <c r="BX1331" s="0"/>
      <c r="BY1331" s="0"/>
      <c r="BZ1331" s="0"/>
      <c r="CA1331" s="0"/>
      <c r="CB1331" s="0"/>
      <c r="CC1331" s="0"/>
      <c r="CD1331" s="0"/>
      <c r="CE1331" s="0"/>
      <c r="CF1331" s="0"/>
      <c r="CG1331" s="0"/>
      <c r="CH1331" s="0"/>
      <c r="CI1331" s="0"/>
      <c r="CJ1331" s="0"/>
      <c r="CK1331" s="0"/>
      <c r="CL1331" s="0"/>
      <c r="CM1331" s="0"/>
      <c r="CN1331" s="0"/>
      <c r="CO1331" s="0"/>
      <c r="CP1331" s="0"/>
      <c r="CQ1331" s="0"/>
      <c r="CR1331" s="0"/>
      <c r="CS1331" s="0"/>
      <c r="CT1331" s="0"/>
      <c r="CU1331" s="0"/>
      <c r="CV1331" s="0"/>
      <c r="CW1331" s="0"/>
      <c r="CX1331" s="0"/>
      <c r="CY1331" s="0"/>
      <c r="CZ1331" s="0"/>
      <c r="DA1331" s="0"/>
      <c r="DB1331" s="0"/>
      <c r="DC1331" s="0"/>
      <c r="DD1331" s="0"/>
      <c r="DE1331" s="0"/>
      <c r="DF1331" s="0"/>
      <c r="DG1331" s="0"/>
      <c r="DH1331" s="0"/>
      <c r="DI1331" s="0"/>
      <c r="DJ1331" s="0"/>
      <c r="DK1331" s="0"/>
      <c r="DL1331" s="0"/>
      <c r="DM1331" s="0"/>
      <c r="DN1331" s="0"/>
      <c r="DO1331" s="0"/>
      <c r="DP1331" s="0"/>
      <c r="DQ1331" s="0"/>
      <c r="DR1331" s="0"/>
      <c r="DS1331" s="0"/>
      <c r="DT1331" s="0"/>
      <c r="DU1331" s="0"/>
      <c r="DV1331" s="0"/>
      <c r="DW1331" s="0"/>
      <c r="DX1331" s="0"/>
      <c r="DY1331" s="0"/>
      <c r="DZ1331" s="0"/>
      <c r="EA1331" s="0"/>
      <c r="EB1331" s="0"/>
      <c r="EC1331" s="0"/>
      <c r="ED1331" s="0"/>
      <c r="EE1331" s="0"/>
      <c r="EF1331" s="0"/>
      <c r="EG1331" s="0"/>
      <c r="EH1331" s="0"/>
      <c r="EI1331" s="0"/>
      <c r="EJ1331" s="0"/>
      <c r="EK1331" s="0"/>
      <c r="EL1331" s="0"/>
      <c r="EM1331" s="0"/>
      <c r="EN1331" s="0"/>
      <c r="EO1331" s="0"/>
      <c r="EP1331" s="0"/>
      <c r="EQ1331" s="0"/>
      <c r="ER1331" s="0"/>
      <c r="ES1331" s="0"/>
      <c r="ET1331" s="0"/>
      <c r="EU1331" s="0"/>
      <c r="EV1331" s="0"/>
      <c r="EW1331" s="0"/>
      <c r="EX1331" s="0"/>
      <c r="EY1331" s="0"/>
      <c r="EZ1331" s="0"/>
      <c r="FA1331" s="0"/>
      <c r="FB1331" s="0"/>
      <c r="FC1331" s="0"/>
      <c r="FD1331" s="0"/>
      <c r="FE1331" s="0"/>
      <c r="FF1331" s="0"/>
      <c r="FG1331" s="0"/>
      <c r="FH1331" s="0"/>
      <c r="FI1331" s="0"/>
      <c r="FJ1331" s="0"/>
      <c r="FK1331" s="0"/>
      <c r="FL1331" s="0"/>
      <c r="FM1331" s="0"/>
      <c r="FN1331" s="0"/>
      <c r="FO1331" s="0"/>
      <c r="FP1331" s="0"/>
      <c r="FQ1331" s="0"/>
      <c r="FR1331" s="0"/>
      <c r="FS1331" s="0"/>
      <c r="FT1331" s="0"/>
      <c r="FU1331" s="0"/>
      <c r="FV1331" s="0"/>
      <c r="FW1331" s="0"/>
      <c r="FX1331" s="0"/>
      <c r="FY1331" s="0"/>
      <c r="FZ1331" s="0"/>
      <c r="GA1331" s="0"/>
      <c r="GB1331" s="0"/>
      <c r="GC1331" s="0"/>
      <c r="GD1331" s="0"/>
      <c r="GE1331" s="0"/>
      <c r="GF1331" s="0"/>
      <c r="GG1331" s="0"/>
      <c r="GH1331" s="0"/>
      <c r="GI1331" s="0"/>
      <c r="GJ1331" s="0"/>
      <c r="GK1331" s="0"/>
      <c r="GL1331" s="0"/>
      <c r="GM1331" s="0"/>
      <c r="GN1331" s="0"/>
      <c r="GO1331" s="0"/>
      <c r="GP1331" s="0"/>
      <c r="GQ1331" s="0"/>
      <c r="GR1331" s="0"/>
      <c r="GS1331" s="0"/>
      <c r="GT1331" s="0"/>
      <c r="GU1331" s="0"/>
      <c r="GV1331" s="0"/>
      <c r="GW1331" s="0"/>
      <c r="GX1331" s="0"/>
      <c r="GY1331" s="0"/>
      <c r="GZ1331" s="0"/>
      <c r="HA1331" s="0"/>
      <c r="HB1331" s="0"/>
      <c r="HC1331" s="0"/>
      <c r="HD1331" s="0"/>
      <c r="HE1331" s="0"/>
      <c r="HF1331" s="0"/>
      <c r="HG1331" s="0"/>
      <c r="HH1331" s="0"/>
      <c r="HI1331" s="0"/>
      <c r="HJ1331" s="0"/>
      <c r="HK1331" s="0"/>
      <c r="HL1331" s="0"/>
      <c r="HM1331" s="0"/>
      <c r="HN1331" s="0"/>
      <c r="HO1331" s="0"/>
      <c r="HP1331" s="0"/>
      <c r="HQ1331" s="0"/>
      <c r="HR1331" s="0"/>
      <c r="HS1331" s="0"/>
      <c r="HT1331" s="0"/>
      <c r="HU1331" s="0"/>
      <c r="HV1331" s="0"/>
      <c r="HW1331" s="0"/>
      <c r="HX1331" s="0"/>
      <c r="HY1331" s="0"/>
      <c r="HZ1331" s="0"/>
      <c r="IA1331" s="0"/>
      <c r="IB1331" s="0"/>
      <c r="IC1331" s="0"/>
      <c r="ID1331" s="0"/>
      <c r="IE1331" s="0"/>
      <c r="IF1331" s="0"/>
      <c r="IG1331" s="0"/>
      <c r="IH1331" s="0"/>
      <c r="II1331" s="0"/>
      <c r="IJ1331" s="0"/>
      <c r="IK1331" s="0"/>
      <c r="IL1331" s="0"/>
      <c r="IM1331" s="0"/>
      <c r="IN1331" s="0"/>
      <c r="IO1331" s="0"/>
      <c r="IP1331" s="0"/>
      <c r="IQ1331" s="0"/>
      <c r="IR1331" s="0"/>
      <c r="IS1331" s="0"/>
      <c r="IT1331" s="0"/>
      <c r="IU1331" s="0"/>
      <c r="IV1331" s="0"/>
    </row>
    <row r="1332" customFormat="false" ht="15.75" hidden="false" customHeight="true" outlineLevel="0" collapsed="false">
      <c r="A1332" s="1489" t="s">
        <v>1799</v>
      </c>
      <c r="B1332" s="1489"/>
      <c r="C1332" s="1489"/>
      <c r="D1332" s="1490" t="n">
        <f aca="false">I1187/C38</f>
        <v>111703.5</v>
      </c>
      <c r="E1332" s="456"/>
      <c r="F1332" s="456"/>
      <c r="G1332" s="456"/>
      <c r="H1332" s="1332"/>
      <c r="J1332" s="0"/>
      <c r="K1332" s="55"/>
    </row>
    <row r="1333" customFormat="false" ht="15.75" hidden="false" customHeight="true" outlineLevel="0" collapsed="false">
      <c r="A1333" s="12"/>
      <c r="C1333" s="1310"/>
      <c r="D1333" s="1480"/>
      <c r="E1333" s="456"/>
      <c r="F1333" s="456"/>
      <c r="G1333" s="456"/>
      <c r="H1333" s="1332"/>
      <c r="J1333" s="0"/>
      <c r="K1333" s="55"/>
    </row>
    <row r="1334" customFormat="false" ht="15.75" hidden="false" customHeight="true" outlineLevel="0" collapsed="false">
      <c r="A1334" s="12"/>
      <c r="C1334" s="1310"/>
      <c r="D1334" s="1480"/>
      <c r="E1334" s="456"/>
      <c r="F1334" s="456"/>
      <c r="G1334" s="456"/>
      <c r="H1334" s="1332"/>
      <c r="I1334" s="19"/>
      <c r="J1334" s="667"/>
      <c r="K1334" s="55"/>
      <c r="M1334" s="0"/>
      <c r="N1334" s="0"/>
      <c r="O1334" s="0"/>
      <c r="P1334" s="0"/>
      <c r="Q1334" s="0"/>
      <c r="R1334" s="0"/>
      <c r="S1334" s="0"/>
      <c r="T1334" s="0"/>
      <c r="U1334" s="0"/>
      <c r="V1334" s="0"/>
      <c r="W1334" s="0"/>
      <c r="X1334" s="0"/>
      <c r="Y1334" s="0"/>
      <c r="Z1334" s="0"/>
      <c r="AA1334" s="0"/>
      <c r="AB1334" s="0"/>
      <c r="AC1334" s="0"/>
      <c r="AD1334" s="0"/>
      <c r="AE1334" s="0"/>
      <c r="AF1334" s="0"/>
      <c r="AG1334" s="0"/>
      <c r="AH1334" s="0"/>
      <c r="AI1334" s="0"/>
      <c r="AJ1334" s="0"/>
      <c r="AK1334" s="0"/>
      <c r="AL1334" s="0"/>
      <c r="AM1334" s="0"/>
      <c r="AN1334" s="0"/>
      <c r="AO1334" s="0"/>
      <c r="AP1334" s="0"/>
      <c r="AQ1334" s="0"/>
      <c r="AR1334" s="0"/>
      <c r="AS1334" s="0"/>
      <c r="AT1334" s="0"/>
      <c r="AU1334" s="0"/>
      <c r="AV1334" s="0"/>
      <c r="AW1334" s="0"/>
      <c r="AX1334" s="0"/>
      <c r="AY1334" s="0"/>
      <c r="AZ1334" s="0"/>
      <c r="BA1334" s="0"/>
      <c r="BB1334" s="0"/>
      <c r="BC1334" s="0"/>
      <c r="BD1334" s="0"/>
      <c r="BE1334" s="0"/>
      <c r="BF1334" s="0"/>
      <c r="BG1334" s="0"/>
      <c r="BH1334" s="0"/>
      <c r="BI1334" s="0"/>
      <c r="BJ1334" s="0"/>
      <c r="BK1334" s="0"/>
      <c r="BL1334" s="0"/>
      <c r="BM1334" s="0"/>
      <c r="BN1334" s="0"/>
      <c r="BO1334" s="0"/>
      <c r="BP1334" s="0"/>
      <c r="BQ1334" s="0"/>
      <c r="BR1334" s="0"/>
      <c r="BS1334" s="0"/>
      <c r="BT1334" s="0"/>
      <c r="BU1334" s="0"/>
      <c r="BV1334" s="0"/>
      <c r="BW1334" s="0"/>
      <c r="BX1334" s="0"/>
      <c r="BY1334" s="0"/>
      <c r="BZ1334" s="0"/>
      <c r="CA1334" s="0"/>
      <c r="CB1334" s="0"/>
      <c r="CC1334" s="0"/>
      <c r="CD1334" s="0"/>
      <c r="CE1334" s="0"/>
      <c r="CF1334" s="0"/>
      <c r="CG1334" s="0"/>
      <c r="CH1334" s="0"/>
      <c r="CI1334" s="0"/>
      <c r="CJ1334" s="0"/>
      <c r="CK1334" s="0"/>
      <c r="CL1334" s="0"/>
      <c r="CM1334" s="0"/>
      <c r="CN1334" s="0"/>
      <c r="CO1334" s="0"/>
      <c r="CP1334" s="0"/>
      <c r="CQ1334" s="0"/>
      <c r="CR1334" s="0"/>
      <c r="CS1334" s="0"/>
      <c r="CT1334" s="0"/>
      <c r="CU1334" s="0"/>
      <c r="CV1334" s="0"/>
      <c r="CW1334" s="0"/>
      <c r="CX1334" s="0"/>
      <c r="CY1334" s="0"/>
      <c r="CZ1334" s="0"/>
      <c r="DA1334" s="0"/>
      <c r="DB1334" s="0"/>
      <c r="DC1334" s="0"/>
      <c r="DD1334" s="0"/>
      <c r="DE1334" s="0"/>
      <c r="DF1334" s="0"/>
      <c r="DG1334" s="0"/>
      <c r="DH1334" s="0"/>
      <c r="DI1334" s="0"/>
      <c r="DJ1334" s="0"/>
      <c r="DK1334" s="0"/>
      <c r="DL1334" s="0"/>
      <c r="DM1334" s="0"/>
      <c r="DN1334" s="0"/>
      <c r="DO1334" s="0"/>
      <c r="DP1334" s="0"/>
      <c r="DQ1334" s="0"/>
      <c r="DR1334" s="0"/>
      <c r="DS1334" s="0"/>
      <c r="DT1334" s="0"/>
      <c r="DU1334" s="0"/>
      <c r="DV1334" s="0"/>
      <c r="DW1334" s="0"/>
      <c r="DX1334" s="0"/>
      <c r="DY1334" s="0"/>
      <c r="DZ1334" s="0"/>
      <c r="EA1334" s="0"/>
      <c r="EB1334" s="0"/>
      <c r="EC1334" s="0"/>
      <c r="ED1334" s="0"/>
      <c r="EE1334" s="0"/>
      <c r="EF1334" s="0"/>
      <c r="EG1334" s="0"/>
      <c r="EH1334" s="0"/>
      <c r="EI1334" s="0"/>
      <c r="EJ1334" s="0"/>
      <c r="EK1334" s="0"/>
      <c r="EL1334" s="0"/>
      <c r="EM1334" s="0"/>
      <c r="EN1334" s="0"/>
      <c r="EO1334" s="0"/>
      <c r="EP1334" s="0"/>
      <c r="EQ1334" s="0"/>
      <c r="ER1334" s="0"/>
      <c r="ES1334" s="0"/>
      <c r="ET1334" s="0"/>
      <c r="EU1334" s="0"/>
      <c r="EV1334" s="0"/>
      <c r="EW1334" s="0"/>
      <c r="EX1334" s="0"/>
      <c r="EY1334" s="0"/>
      <c r="EZ1334" s="0"/>
      <c r="FA1334" s="0"/>
      <c r="FB1334" s="0"/>
      <c r="FC1334" s="0"/>
      <c r="FD1334" s="0"/>
      <c r="FE1334" s="0"/>
      <c r="FF1334" s="0"/>
      <c r="FG1334" s="0"/>
      <c r="FH1334" s="0"/>
      <c r="FI1334" s="0"/>
      <c r="FJ1334" s="0"/>
      <c r="FK1334" s="0"/>
      <c r="FL1334" s="0"/>
      <c r="FM1334" s="0"/>
      <c r="FN1334" s="0"/>
      <c r="FO1334" s="0"/>
      <c r="FP1334" s="0"/>
      <c r="FQ1334" s="0"/>
      <c r="FR1334" s="0"/>
      <c r="FS1334" s="0"/>
      <c r="FT1334" s="0"/>
      <c r="FU1334" s="0"/>
      <c r="FV1334" s="0"/>
      <c r="FW1334" s="0"/>
      <c r="FX1334" s="0"/>
      <c r="FY1334" s="0"/>
      <c r="FZ1334" s="0"/>
      <c r="GA1334" s="0"/>
      <c r="GB1334" s="0"/>
      <c r="GC1334" s="0"/>
      <c r="GD1334" s="0"/>
      <c r="GE1334" s="0"/>
      <c r="GF1334" s="0"/>
      <c r="GG1334" s="0"/>
      <c r="GH1334" s="0"/>
      <c r="GI1334" s="0"/>
      <c r="GJ1334" s="0"/>
      <c r="GK1334" s="0"/>
      <c r="GL1334" s="0"/>
      <c r="GM1334" s="0"/>
      <c r="GN1334" s="0"/>
      <c r="GO1334" s="0"/>
      <c r="GP1334" s="0"/>
      <c r="GQ1334" s="0"/>
      <c r="GR1334" s="0"/>
      <c r="GS1334" s="0"/>
      <c r="GT1334" s="0"/>
      <c r="GU1334" s="0"/>
      <c r="GV1334" s="0"/>
      <c r="GW1334" s="0"/>
      <c r="GX1334" s="0"/>
      <c r="GY1334" s="0"/>
      <c r="GZ1334" s="0"/>
      <c r="HA1334" s="0"/>
      <c r="HB1334" s="0"/>
      <c r="HC1334" s="0"/>
      <c r="HD1334" s="0"/>
      <c r="HE1334" s="0"/>
      <c r="HF1334" s="0"/>
      <c r="HG1334" s="0"/>
      <c r="HH1334" s="0"/>
      <c r="HI1334" s="0"/>
      <c r="HJ1334" s="0"/>
      <c r="HK1334" s="0"/>
      <c r="HL1334" s="0"/>
      <c r="HM1334" s="0"/>
      <c r="HN1334" s="0"/>
      <c r="HO1334" s="0"/>
      <c r="HP1334" s="0"/>
      <c r="HQ1334" s="0"/>
      <c r="HR1334" s="0"/>
      <c r="HS1334" s="0"/>
      <c r="HT1334" s="0"/>
      <c r="HU1334" s="0"/>
      <c r="HV1334" s="0"/>
      <c r="HW1334" s="0"/>
      <c r="HX1334" s="0"/>
      <c r="HY1334" s="0"/>
      <c r="HZ1334" s="0"/>
      <c r="IA1334" s="0"/>
      <c r="IB1334" s="0"/>
      <c r="IC1334" s="0"/>
      <c r="ID1334" s="0"/>
      <c r="IE1334" s="0"/>
      <c r="IF1334" s="0"/>
      <c r="IG1334" s="0"/>
      <c r="IH1334" s="0"/>
      <c r="II1334" s="0"/>
      <c r="IJ1334" s="0"/>
      <c r="IK1334" s="0"/>
      <c r="IL1334" s="0"/>
      <c r="IM1334" s="0"/>
      <c r="IN1334" s="0"/>
      <c r="IO1334" s="0"/>
      <c r="IP1334" s="0"/>
      <c r="IQ1334" s="0"/>
      <c r="IR1334" s="0"/>
      <c r="IS1334" s="0"/>
      <c r="IT1334" s="0"/>
      <c r="IU1334" s="0"/>
      <c r="IV1334" s="0"/>
    </row>
    <row r="1335" customFormat="false" ht="15.75" hidden="false" customHeight="true" outlineLevel="0" collapsed="false">
      <c r="A1335" s="869" t="s">
        <v>1800</v>
      </c>
      <c r="B1335" s="869"/>
      <c r="C1335" s="869"/>
      <c r="D1335" s="869"/>
      <c r="E1335" s="869"/>
      <c r="F1335" s="869"/>
      <c r="G1335" s="869"/>
      <c r="H1335" s="53"/>
      <c r="I1335" s="53"/>
      <c r="J1335" s="53"/>
      <c r="K1335" s="870"/>
      <c r="L1335" s="871" t="s">
        <v>1712</v>
      </c>
      <c r="M1335" s="0"/>
      <c r="N1335" s="0"/>
      <c r="O1335" s="0"/>
      <c r="P1335" s="0"/>
      <c r="Q1335" s="0"/>
      <c r="R1335" s="0"/>
      <c r="S1335" s="0"/>
      <c r="T1335" s="0"/>
      <c r="U1335" s="0"/>
      <c r="V1335" s="0"/>
      <c r="W1335" s="0"/>
      <c r="X1335" s="0"/>
      <c r="Y1335" s="0"/>
      <c r="Z1335" s="0"/>
      <c r="AA1335" s="0"/>
      <c r="AB1335" s="0"/>
      <c r="AC1335" s="0"/>
      <c r="AD1335" s="0"/>
      <c r="AE1335" s="0"/>
      <c r="AF1335" s="0"/>
      <c r="AG1335" s="0"/>
      <c r="AH1335" s="0"/>
      <c r="AI1335" s="0"/>
      <c r="AJ1335" s="0"/>
      <c r="AK1335" s="0"/>
      <c r="AL1335" s="0"/>
      <c r="AM1335" s="0"/>
      <c r="AN1335" s="0"/>
      <c r="AO1335" s="0"/>
      <c r="AP1335" s="0"/>
      <c r="AQ1335" s="0"/>
      <c r="AR1335" s="0"/>
      <c r="AS1335" s="0"/>
      <c r="AT1335" s="0"/>
      <c r="AU1335" s="0"/>
      <c r="AV1335" s="0"/>
      <c r="AW1335" s="0"/>
      <c r="AX1335" s="0"/>
      <c r="AY1335" s="0"/>
      <c r="AZ1335" s="0"/>
      <c r="BA1335" s="0"/>
      <c r="BB1335" s="0"/>
      <c r="BC1335" s="0"/>
      <c r="BD1335" s="0"/>
      <c r="BE1335" s="0"/>
      <c r="BF1335" s="0"/>
      <c r="BG1335" s="0"/>
      <c r="BH1335" s="0"/>
      <c r="BI1335" s="0"/>
      <c r="BJ1335" s="0"/>
      <c r="BK1335" s="0"/>
      <c r="BL1335" s="0"/>
      <c r="BM1335" s="0"/>
      <c r="BN1335" s="0"/>
      <c r="BO1335" s="0"/>
      <c r="BP1335" s="0"/>
      <c r="BQ1335" s="0"/>
      <c r="BR1335" s="0"/>
      <c r="BS1335" s="0"/>
      <c r="BT1335" s="0"/>
      <c r="BU1335" s="0"/>
      <c r="BV1335" s="0"/>
      <c r="BW1335" s="0"/>
      <c r="BX1335" s="0"/>
      <c r="BY1335" s="0"/>
      <c r="BZ1335" s="0"/>
      <c r="CA1335" s="0"/>
      <c r="CB1335" s="0"/>
      <c r="CC1335" s="0"/>
      <c r="CD1335" s="0"/>
      <c r="CE1335" s="0"/>
      <c r="CF1335" s="0"/>
      <c r="CG1335" s="0"/>
      <c r="CH1335" s="0"/>
      <c r="CI1335" s="0"/>
      <c r="CJ1335" s="0"/>
      <c r="CK1335" s="0"/>
      <c r="CL1335" s="0"/>
      <c r="CM1335" s="0"/>
      <c r="CN1335" s="0"/>
      <c r="CO1335" s="0"/>
      <c r="CP1335" s="0"/>
      <c r="CQ1335" s="0"/>
      <c r="CR1335" s="0"/>
      <c r="CS1335" s="0"/>
      <c r="CT1335" s="0"/>
      <c r="CU1335" s="0"/>
      <c r="CV1335" s="0"/>
      <c r="CW1335" s="0"/>
      <c r="CX1335" s="0"/>
      <c r="CY1335" s="0"/>
      <c r="CZ1335" s="0"/>
      <c r="DA1335" s="0"/>
      <c r="DB1335" s="0"/>
      <c r="DC1335" s="0"/>
      <c r="DD1335" s="0"/>
      <c r="DE1335" s="0"/>
      <c r="DF1335" s="0"/>
      <c r="DG1335" s="0"/>
      <c r="DH1335" s="0"/>
      <c r="DI1335" s="0"/>
      <c r="DJ1335" s="0"/>
      <c r="DK1335" s="0"/>
      <c r="DL1335" s="0"/>
      <c r="DM1335" s="0"/>
      <c r="DN1335" s="0"/>
      <c r="DO1335" s="0"/>
      <c r="DP1335" s="0"/>
      <c r="DQ1335" s="0"/>
      <c r="DR1335" s="0"/>
      <c r="DS1335" s="0"/>
      <c r="DT1335" s="0"/>
      <c r="DU1335" s="0"/>
      <c r="DV1335" s="0"/>
      <c r="DW1335" s="0"/>
      <c r="DX1335" s="0"/>
      <c r="DY1335" s="0"/>
      <c r="DZ1335" s="0"/>
      <c r="EA1335" s="0"/>
      <c r="EB1335" s="0"/>
      <c r="EC1335" s="0"/>
      <c r="ED1335" s="0"/>
      <c r="EE1335" s="0"/>
      <c r="EF1335" s="0"/>
      <c r="EG1335" s="0"/>
      <c r="EH1335" s="0"/>
      <c r="EI1335" s="0"/>
      <c r="EJ1335" s="0"/>
      <c r="EK1335" s="0"/>
      <c r="EL1335" s="0"/>
      <c r="EM1335" s="0"/>
      <c r="EN1335" s="0"/>
      <c r="EO1335" s="0"/>
      <c r="EP1335" s="0"/>
      <c r="EQ1335" s="0"/>
      <c r="ER1335" s="0"/>
      <c r="ES1335" s="0"/>
      <c r="ET1335" s="0"/>
      <c r="EU1335" s="0"/>
      <c r="EV1335" s="0"/>
      <c r="EW1335" s="0"/>
      <c r="EX1335" s="0"/>
      <c r="EY1335" s="0"/>
      <c r="EZ1335" s="0"/>
      <c r="FA1335" s="0"/>
      <c r="FB1335" s="0"/>
      <c r="FC1335" s="0"/>
      <c r="FD1335" s="0"/>
      <c r="FE1335" s="0"/>
      <c r="FF1335" s="0"/>
      <c r="FG1335" s="0"/>
      <c r="FH1335" s="0"/>
      <c r="FI1335" s="0"/>
      <c r="FJ1335" s="0"/>
      <c r="FK1335" s="0"/>
      <c r="FL1335" s="0"/>
      <c r="FM1335" s="0"/>
      <c r="FN1335" s="0"/>
      <c r="FO1335" s="0"/>
      <c r="FP1335" s="0"/>
      <c r="FQ1335" s="0"/>
      <c r="FR1335" s="0"/>
      <c r="FS1335" s="0"/>
      <c r="FT1335" s="0"/>
      <c r="FU1335" s="0"/>
      <c r="FV1335" s="0"/>
      <c r="FW1335" s="0"/>
      <c r="FX1335" s="0"/>
      <c r="FY1335" s="0"/>
      <c r="FZ1335" s="0"/>
      <c r="GA1335" s="0"/>
      <c r="GB1335" s="0"/>
      <c r="GC1335" s="0"/>
      <c r="GD1335" s="0"/>
      <c r="GE1335" s="0"/>
      <c r="GF1335" s="0"/>
      <c r="GG1335" s="0"/>
      <c r="GH1335" s="0"/>
      <c r="GI1335" s="0"/>
      <c r="GJ1335" s="0"/>
      <c r="GK1335" s="0"/>
      <c r="GL1335" s="0"/>
      <c r="GM1335" s="0"/>
      <c r="GN1335" s="0"/>
      <c r="GO1335" s="0"/>
      <c r="GP1335" s="0"/>
      <c r="GQ1335" s="0"/>
      <c r="GR1335" s="0"/>
      <c r="GS1335" s="0"/>
      <c r="GT1335" s="0"/>
      <c r="GU1335" s="0"/>
      <c r="GV1335" s="0"/>
      <c r="GW1335" s="0"/>
      <c r="GX1335" s="0"/>
      <c r="GY1335" s="0"/>
      <c r="GZ1335" s="0"/>
      <c r="HA1335" s="0"/>
      <c r="HB1335" s="0"/>
      <c r="HC1335" s="0"/>
      <c r="HD1335" s="0"/>
      <c r="HE1335" s="0"/>
      <c r="HF1335" s="0"/>
      <c r="HG1335" s="0"/>
      <c r="HH1335" s="0"/>
      <c r="HI1335" s="0"/>
      <c r="HJ1335" s="0"/>
      <c r="HK1335" s="0"/>
      <c r="HL1335" s="0"/>
      <c r="HM1335" s="0"/>
      <c r="HN1335" s="0"/>
      <c r="HO1335" s="0"/>
      <c r="HP1335" s="0"/>
      <c r="HQ1335" s="0"/>
      <c r="HR1335" s="0"/>
      <c r="HS1335" s="0"/>
      <c r="HT1335" s="0"/>
      <c r="HU1335" s="0"/>
      <c r="HV1335" s="0"/>
      <c r="HW1335" s="0"/>
      <c r="HX1335" s="0"/>
      <c r="HY1335" s="0"/>
      <c r="HZ1335" s="0"/>
      <c r="IA1335" s="0"/>
      <c r="IB1335" s="0"/>
      <c r="IC1335" s="0"/>
      <c r="ID1335" s="0"/>
      <c r="IE1335" s="0"/>
      <c r="IF1335" s="0"/>
      <c r="IG1335" s="0"/>
      <c r="IH1335" s="0"/>
      <c r="II1335" s="0"/>
      <c r="IJ1335" s="0"/>
      <c r="IK1335" s="0"/>
      <c r="IL1335" s="0"/>
      <c r="IM1335" s="0"/>
      <c r="IN1335" s="0"/>
      <c r="IO1335" s="0"/>
      <c r="IP1335" s="0"/>
      <c r="IQ1335" s="0"/>
      <c r="IR1335" s="0"/>
      <c r="IS1335" s="0"/>
      <c r="IT1335" s="0"/>
      <c r="IU1335" s="0"/>
      <c r="IV1335" s="0"/>
    </row>
    <row r="1336" customFormat="false" ht="15.75" hidden="false" customHeight="true" outlineLevel="0" collapsed="false">
      <c r="A1336" s="1005"/>
      <c r="B1336" s="1005"/>
      <c r="C1336" s="1005"/>
      <c r="D1336" s="1005"/>
      <c r="E1336" s="1005"/>
      <c r="F1336" s="1005"/>
      <c r="G1336" s="1005"/>
      <c r="H1336" s="0"/>
      <c r="I1336" s="0"/>
      <c r="J1336" s="0"/>
      <c r="K1336" s="903"/>
      <c r="L1336" s="877"/>
      <c r="M1336" s="0"/>
      <c r="N1336" s="0"/>
      <c r="O1336" s="0"/>
      <c r="P1336" s="0"/>
      <c r="Q1336" s="0"/>
      <c r="R1336" s="0"/>
      <c r="S1336" s="0"/>
      <c r="T1336" s="0"/>
      <c r="U1336" s="0"/>
      <c r="V1336" s="0"/>
      <c r="W1336" s="0"/>
      <c r="X1336" s="0"/>
      <c r="Y1336" s="0"/>
      <c r="Z1336" s="0"/>
      <c r="AA1336" s="0"/>
      <c r="AB1336" s="0"/>
      <c r="AC1336" s="0"/>
      <c r="AD1336" s="0"/>
      <c r="AE1336" s="0"/>
      <c r="AF1336" s="0"/>
      <c r="AG1336" s="0"/>
      <c r="AH1336" s="0"/>
      <c r="AI1336" s="0"/>
      <c r="AJ1336" s="0"/>
      <c r="AK1336" s="0"/>
      <c r="AL1336" s="0"/>
      <c r="AM1336" s="0"/>
      <c r="AN1336" s="0"/>
      <c r="AO1336" s="0"/>
      <c r="AP1336" s="0"/>
      <c r="AQ1336" s="0"/>
      <c r="AR1336" s="0"/>
      <c r="AS1336" s="0"/>
      <c r="AT1336" s="0"/>
      <c r="AU1336" s="0"/>
      <c r="AV1336" s="0"/>
      <c r="AW1336" s="0"/>
      <c r="AX1336" s="0"/>
      <c r="AY1336" s="0"/>
      <c r="AZ1336" s="0"/>
      <c r="BA1336" s="0"/>
      <c r="BB1336" s="0"/>
      <c r="BC1336" s="0"/>
      <c r="BD1336" s="0"/>
      <c r="BE1336" s="0"/>
      <c r="BF1336" s="0"/>
      <c r="BG1336" s="0"/>
      <c r="BH1336" s="0"/>
      <c r="BI1336" s="0"/>
      <c r="BJ1336" s="0"/>
      <c r="BK1336" s="0"/>
      <c r="BL1336" s="0"/>
      <c r="BM1336" s="0"/>
      <c r="BN1336" s="0"/>
      <c r="BO1336" s="0"/>
      <c r="BP1336" s="0"/>
      <c r="BQ1336" s="0"/>
      <c r="BR1336" s="0"/>
      <c r="BS1336" s="0"/>
      <c r="BT1336" s="0"/>
      <c r="BU1336" s="0"/>
      <c r="BV1336" s="0"/>
      <c r="BW1336" s="0"/>
      <c r="BX1336" s="0"/>
      <c r="BY1336" s="0"/>
      <c r="BZ1336" s="0"/>
      <c r="CA1336" s="0"/>
      <c r="CB1336" s="0"/>
      <c r="CC1336" s="0"/>
      <c r="CD1336" s="0"/>
      <c r="CE1336" s="0"/>
      <c r="CF1336" s="0"/>
      <c r="CG1336" s="0"/>
      <c r="CH1336" s="0"/>
      <c r="CI1336" s="0"/>
      <c r="CJ1336" s="0"/>
      <c r="CK1336" s="0"/>
      <c r="CL1336" s="0"/>
      <c r="CM1336" s="0"/>
      <c r="CN1336" s="0"/>
      <c r="CO1336" s="0"/>
      <c r="CP1336" s="0"/>
      <c r="CQ1336" s="0"/>
      <c r="CR1336" s="0"/>
      <c r="CS1336" s="0"/>
      <c r="CT1336" s="0"/>
      <c r="CU1336" s="0"/>
      <c r="CV1336" s="0"/>
      <c r="CW1336" s="0"/>
      <c r="CX1336" s="0"/>
      <c r="CY1336" s="0"/>
      <c r="CZ1336" s="0"/>
      <c r="DA1336" s="0"/>
      <c r="DB1336" s="0"/>
      <c r="DC1336" s="0"/>
      <c r="DD1336" s="0"/>
      <c r="DE1336" s="0"/>
      <c r="DF1336" s="0"/>
      <c r="DG1336" s="0"/>
      <c r="DH1336" s="0"/>
      <c r="DI1336" s="0"/>
      <c r="DJ1336" s="0"/>
      <c r="DK1336" s="0"/>
      <c r="DL1336" s="0"/>
      <c r="DM1336" s="0"/>
      <c r="DN1336" s="0"/>
      <c r="DO1336" s="0"/>
      <c r="DP1336" s="0"/>
      <c r="DQ1336" s="0"/>
      <c r="DR1336" s="0"/>
      <c r="DS1336" s="0"/>
      <c r="DT1336" s="0"/>
      <c r="DU1336" s="0"/>
      <c r="DV1336" s="0"/>
      <c r="DW1336" s="0"/>
      <c r="DX1336" s="0"/>
      <c r="DY1336" s="0"/>
      <c r="DZ1336" s="0"/>
      <c r="EA1336" s="0"/>
      <c r="EB1336" s="0"/>
      <c r="EC1336" s="0"/>
      <c r="ED1336" s="0"/>
      <c r="EE1336" s="0"/>
      <c r="EF1336" s="0"/>
      <c r="EG1336" s="0"/>
      <c r="EH1336" s="0"/>
      <c r="EI1336" s="0"/>
      <c r="EJ1336" s="0"/>
      <c r="EK1336" s="0"/>
      <c r="EL1336" s="0"/>
      <c r="EM1336" s="0"/>
      <c r="EN1336" s="0"/>
      <c r="EO1336" s="0"/>
      <c r="EP1336" s="0"/>
      <c r="EQ1336" s="0"/>
      <c r="ER1336" s="0"/>
      <c r="ES1336" s="0"/>
      <c r="ET1336" s="0"/>
      <c r="EU1336" s="0"/>
      <c r="EV1336" s="0"/>
      <c r="EW1336" s="0"/>
      <c r="EX1336" s="0"/>
      <c r="EY1336" s="0"/>
      <c r="EZ1336" s="0"/>
      <c r="FA1336" s="0"/>
      <c r="FB1336" s="0"/>
      <c r="FC1336" s="0"/>
      <c r="FD1336" s="0"/>
      <c r="FE1336" s="0"/>
      <c r="FF1336" s="0"/>
      <c r="FG1336" s="0"/>
      <c r="FH1336" s="0"/>
      <c r="FI1336" s="0"/>
      <c r="FJ1336" s="0"/>
      <c r="FK1336" s="0"/>
      <c r="FL1336" s="0"/>
      <c r="FM1336" s="0"/>
      <c r="FN1336" s="0"/>
      <c r="FO1336" s="0"/>
      <c r="FP1336" s="0"/>
      <c r="FQ1336" s="0"/>
      <c r="FR1336" s="0"/>
      <c r="FS1336" s="0"/>
      <c r="FT1336" s="0"/>
      <c r="FU1336" s="0"/>
      <c r="FV1336" s="0"/>
      <c r="FW1336" s="0"/>
      <c r="FX1336" s="0"/>
      <c r="FY1336" s="0"/>
      <c r="FZ1336" s="0"/>
      <c r="GA1336" s="0"/>
      <c r="GB1336" s="0"/>
      <c r="GC1336" s="0"/>
      <c r="GD1336" s="0"/>
      <c r="GE1336" s="0"/>
      <c r="GF1336" s="0"/>
      <c r="GG1336" s="0"/>
      <c r="GH1336" s="0"/>
      <c r="GI1336" s="0"/>
      <c r="GJ1336" s="0"/>
      <c r="GK1336" s="0"/>
      <c r="GL1336" s="0"/>
      <c r="GM1336" s="0"/>
      <c r="GN1336" s="0"/>
      <c r="GO1336" s="0"/>
      <c r="GP1336" s="0"/>
      <c r="GQ1336" s="0"/>
      <c r="GR1336" s="0"/>
      <c r="GS1336" s="0"/>
      <c r="GT1336" s="0"/>
      <c r="GU1336" s="0"/>
      <c r="GV1336" s="0"/>
      <c r="GW1336" s="0"/>
      <c r="GX1336" s="0"/>
      <c r="GY1336" s="0"/>
      <c r="GZ1336" s="0"/>
      <c r="HA1336" s="0"/>
      <c r="HB1336" s="0"/>
      <c r="HC1336" s="0"/>
      <c r="HD1336" s="0"/>
      <c r="HE1336" s="0"/>
      <c r="HF1336" s="0"/>
      <c r="HG1336" s="0"/>
      <c r="HH1336" s="0"/>
      <c r="HI1336" s="0"/>
      <c r="HJ1336" s="0"/>
      <c r="HK1336" s="0"/>
      <c r="HL1336" s="0"/>
      <c r="HM1336" s="0"/>
      <c r="HN1336" s="0"/>
      <c r="HO1336" s="0"/>
      <c r="HP1336" s="0"/>
      <c r="HQ1336" s="0"/>
      <c r="HR1336" s="0"/>
      <c r="HS1336" s="0"/>
      <c r="HT1336" s="0"/>
      <c r="HU1336" s="0"/>
      <c r="HV1336" s="0"/>
      <c r="HW1336" s="0"/>
      <c r="HX1336" s="0"/>
      <c r="HY1336" s="0"/>
      <c r="HZ1336" s="0"/>
      <c r="IA1336" s="0"/>
      <c r="IB1336" s="0"/>
      <c r="IC1336" s="0"/>
      <c r="ID1336" s="0"/>
      <c r="IE1336" s="0"/>
      <c r="IF1336" s="0"/>
      <c r="IG1336" s="0"/>
      <c r="IH1336" s="0"/>
      <c r="II1336" s="0"/>
      <c r="IJ1336" s="0"/>
      <c r="IK1336" s="0"/>
      <c r="IL1336" s="0"/>
      <c r="IM1336" s="0"/>
      <c r="IN1336" s="0"/>
      <c r="IO1336" s="0"/>
      <c r="IP1336" s="0"/>
      <c r="IQ1336" s="0"/>
      <c r="IR1336" s="0"/>
      <c r="IS1336" s="0"/>
      <c r="IT1336" s="0"/>
      <c r="IU1336" s="0"/>
      <c r="IV1336" s="0"/>
    </row>
    <row r="1337" customFormat="false" ht="15.75" hidden="false" customHeight="true" outlineLevel="0" collapsed="false">
      <c r="A1337" s="951" t="s">
        <v>1801</v>
      </c>
      <c r="D1337" s="1491" t="s">
        <v>880</v>
      </c>
      <c r="H1337" s="1492"/>
      <c r="I1337" s="452"/>
      <c r="J1337" s="1143"/>
      <c r="K1337" s="1310"/>
      <c r="L1337" s="1432"/>
      <c r="M1337" s="0"/>
      <c r="N1337" s="0"/>
      <c r="O1337" s="0"/>
      <c r="P1337" s="0"/>
      <c r="Q1337" s="0"/>
      <c r="R1337" s="0"/>
      <c r="S1337" s="0"/>
      <c r="T1337" s="0"/>
      <c r="U1337" s="0"/>
      <c r="V1337" s="0"/>
      <c r="W1337" s="0"/>
      <c r="X1337" s="0"/>
      <c r="Y1337" s="0"/>
      <c r="Z1337" s="0"/>
      <c r="AA1337" s="0"/>
      <c r="AB1337" s="0"/>
      <c r="AC1337" s="0"/>
      <c r="AD1337" s="0"/>
      <c r="AE1337" s="0"/>
      <c r="AF1337" s="0"/>
      <c r="AG1337" s="0"/>
      <c r="AH1337" s="0"/>
      <c r="AI1337" s="0"/>
      <c r="AJ1337" s="0"/>
      <c r="AK1337" s="0"/>
      <c r="AL1337" s="0"/>
      <c r="AM1337" s="0"/>
      <c r="AN1337" s="0"/>
      <c r="AO1337" s="0"/>
      <c r="AP1337" s="0"/>
      <c r="AQ1337" s="0"/>
      <c r="AR1337" s="0"/>
      <c r="AS1337" s="0"/>
      <c r="AT1337" s="0"/>
      <c r="AU1337" s="0"/>
      <c r="AV1337" s="0"/>
      <c r="AW1337" s="0"/>
      <c r="AX1337" s="0"/>
      <c r="AY1337" s="0"/>
      <c r="AZ1337" s="0"/>
      <c r="BA1337" s="0"/>
      <c r="BB1337" s="0"/>
      <c r="BC1337" s="0"/>
      <c r="BD1337" s="0"/>
      <c r="BE1337" s="0"/>
      <c r="BF1337" s="0"/>
      <c r="BG1337" s="0"/>
      <c r="BH1337" s="0"/>
      <c r="BI1337" s="0"/>
      <c r="BJ1337" s="0"/>
      <c r="BK1337" s="0"/>
      <c r="BL1337" s="0"/>
      <c r="BM1337" s="0"/>
      <c r="BN1337" s="0"/>
      <c r="BO1337" s="0"/>
      <c r="BP1337" s="0"/>
      <c r="BQ1337" s="0"/>
      <c r="BR1337" s="0"/>
      <c r="BS1337" s="0"/>
      <c r="BT1337" s="0"/>
      <c r="BU1337" s="0"/>
      <c r="BV1337" s="0"/>
      <c r="BW1337" s="0"/>
      <c r="BX1337" s="0"/>
      <c r="BY1337" s="0"/>
      <c r="BZ1337" s="0"/>
      <c r="CA1337" s="0"/>
      <c r="CB1337" s="0"/>
      <c r="CC1337" s="0"/>
      <c r="CD1337" s="0"/>
      <c r="CE1337" s="0"/>
      <c r="CF1337" s="0"/>
      <c r="CG1337" s="0"/>
      <c r="CH1337" s="0"/>
      <c r="CI1337" s="0"/>
      <c r="CJ1337" s="0"/>
      <c r="CK1337" s="0"/>
      <c r="CL1337" s="0"/>
      <c r="CM1337" s="0"/>
      <c r="CN1337" s="0"/>
      <c r="CO1337" s="0"/>
      <c r="CP1337" s="0"/>
      <c r="CQ1337" s="0"/>
      <c r="CR1337" s="0"/>
      <c r="CS1337" s="0"/>
      <c r="CT1337" s="0"/>
      <c r="CU1337" s="0"/>
      <c r="CV1337" s="0"/>
      <c r="CW1337" s="0"/>
      <c r="CX1337" s="0"/>
      <c r="CY1337" s="0"/>
      <c r="CZ1337" s="0"/>
      <c r="DA1337" s="0"/>
      <c r="DB1337" s="0"/>
      <c r="DC1337" s="0"/>
      <c r="DD1337" s="0"/>
      <c r="DE1337" s="0"/>
      <c r="DF1337" s="0"/>
      <c r="DG1337" s="0"/>
      <c r="DH1337" s="0"/>
      <c r="DI1337" s="0"/>
      <c r="DJ1337" s="0"/>
      <c r="DK1337" s="0"/>
      <c r="DL1337" s="0"/>
      <c r="DM1337" s="0"/>
      <c r="DN1337" s="0"/>
      <c r="DO1337" s="0"/>
      <c r="DP1337" s="0"/>
      <c r="DQ1337" s="0"/>
      <c r="DR1337" s="0"/>
      <c r="DS1337" s="0"/>
      <c r="DT1337" s="0"/>
      <c r="DU1337" s="0"/>
      <c r="DV1337" s="0"/>
      <c r="DW1337" s="0"/>
      <c r="DX1337" s="0"/>
      <c r="DY1337" s="0"/>
      <c r="DZ1337" s="0"/>
      <c r="EA1337" s="0"/>
      <c r="EB1337" s="0"/>
      <c r="EC1337" s="0"/>
      <c r="ED1337" s="0"/>
      <c r="EE1337" s="0"/>
      <c r="EF1337" s="0"/>
      <c r="EG1337" s="0"/>
      <c r="EH1337" s="0"/>
      <c r="EI1337" s="0"/>
      <c r="EJ1337" s="0"/>
      <c r="EK1337" s="0"/>
      <c r="EL1337" s="0"/>
      <c r="EM1337" s="0"/>
      <c r="EN1337" s="0"/>
      <c r="EO1337" s="0"/>
      <c r="EP1337" s="0"/>
      <c r="EQ1337" s="0"/>
      <c r="ER1337" s="0"/>
      <c r="ES1337" s="0"/>
      <c r="ET1337" s="0"/>
      <c r="EU1337" s="0"/>
      <c r="EV1337" s="0"/>
      <c r="EW1337" s="0"/>
      <c r="EX1337" s="0"/>
      <c r="EY1337" s="0"/>
      <c r="EZ1337" s="0"/>
      <c r="FA1337" s="0"/>
      <c r="FB1337" s="0"/>
      <c r="FC1337" s="0"/>
      <c r="FD1337" s="0"/>
      <c r="FE1337" s="0"/>
      <c r="FF1337" s="0"/>
      <c r="FG1337" s="0"/>
      <c r="FH1337" s="0"/>
      <c r="FI1337" s="0"/>
      <c r="FJ1337" s="0"/>
      <c r="FK1337" s="0"/>
      <c r="FL1337" s="0"/>
      <c r="FM1337" s="0"/>
      <c r="FN1337" s="0"/>
      <c r="FO1337" s="0"/>
      <c r="FP1337" s="0"/>
      <c r="FQ1337" s="0"/>
      <c r="FR1337" s="0"/>
      <c r="FS1337" s="0"/>
      <c r="FT1337" s="0"/>
      <c r="FU1337" s="0"/>
      <c r="FV1337" s="0"/>
      <c r="FW1337" s="0"/>
      <c r="FX1337" s="0"/>
      <c r="FY1337" s="0"/>
      <c r="FZ1337" s="0"/>
      <c r="GA1337" s="0"/>
      <c r="GB1337" s="0"/>
      <c r="GC1337" s="0"/>
      <c r="GD1337" s="0"/>
      <c r="GE1337" s="0"/>
      <c r="GF1337" s="0"/>
      <c r="GG1337" s="0"/>
      <c r="GH1337" s="0"/>
      <c r="GI1337" s="0"/>
      <c r="GJ1337" s="0"/>
      <c r="GK1337" s="0"/>
      <c r="GL1337" s="0"/>
      <c r="GM1337" s="0"/>
      <c r="GN1337" s="0"/>
      <c r="GO1337" s="0"/>
      <c r="GP1337" s="0"/>
      <c r="GQ1337" s="0"/>
      <c r="GR1337" s="0"/>
      <c r="GS1337" s="0"/>
      <c r="GT1337" s="0"/>
      <c r="GU1337" s="0"/>
      <c r="GV1337" s="0"/>
      <c r="GW1337" s="0"/>
      <c r="GX1337" s="0"/>
      <c r="GY1337" s="0"/>
      <c r="GZ1337" s="0"/>
      <c r="HA1337" s="0"/>
      <c r="HB1337" s="0"/>
      <c r="HC1337" s="0"/>
      <c r="HD1337" s="0"/>
      <c r="HE1337" s="0"/>
      <c r="HF1337" s="0"/>
      <c r="HG1337" s="0"/>
      <c r="HH1337" s="0"/>
      <c r="HI1337" s="0"/>
      <c r="HJ1337" s="0"/>
      <c r="HK1337" s="0"/>
      <c r="HL1337" s="0"/>
      <c r="HM1337" s="0"/>
      <c r="HN1337" s="0"/>
      <c r="HO1337" s="0"/>
      <c r="HP1337" s="0"/>
      <c r="HQ1337" s="0"/>
      <c r="HR1337" s="0"/>
      <c r="HS1337" s="0"/>
      <c r="HT1337" s="0"/>
      <c r="HU1337" s="0"/>
      <c r="HV1337" s="0"/>
      <c r="HW1337" s="0"/>
      <c r="HX1337" s="0"/>
      <c r="HY1337" s="0"/>
      <c r="HZ1337" s="0"/>
      <c r="IA1337" s="0"/>
      <c r="IB1337" s="0"/>
      <c r="IC1337" s="0"/>
      <c r="ID1337" s="0"/>
      <c r="IE1337" s="0"/>
      <c r="IF1337" s="0"/>
      <c r="IG1337" s="0"/>
      <c r="IH1337" s="0"/>
      <c r="II1337" s="0"/>
      <c r="IJ1337" s="0"/>
      <c r="IK1337" s="0"/>
      <c r="IL1337" s="0"/>
      <c r="IM1337" s="0"/>
      <c r="IN1337" s="0"/>
      <c r="IO1337" s="0"/>
      <c r="IP1337" s="0"/>
      <c r="IQ1337" s="0"/>
      <c r="IR1337" s="0"/>
      <c r="IS1337" s="0"/>
      <c r="IT1337" s="0"/>
      <c r="IU1337" s="0"/>
      <c r="IV1337" s="0"/>
    </row>
    <row r="1338" customFormat="false" ht="15.75" hidden="false" customHeight="true" outlineLevel="0" collapsed="false">
      <c r="A1338" s="951"/>
      <c r="E1338" s="0"/>
      <c r="H1338" s="1492"/>
      <c r="I1338" s="452"/>
      <c r="J1338" s="1143"/>
      <c r="K1338" s="1310"/>
      <c r="L1338" s="1432"/>
    </row>
    <row r="1339" customFormat="false" ht="15" hidden="false" customHeight="true" outlineLevel="0" collapsed="false">
      <c r="A1339" s="951"/>
      <c r="E1339" s="1146"/>
      <c r="F1339" s="0"/>
      <c r="G1339" s="0"/>
      <c r="H1339" s="1492"/>
      <c r="I1339" s="452"/>
      <c r="J1339" s="1143"/>
      <c r="K1339" s="1310"/>
      <c r="L1339" s="1432"/>
      <c r="M1339" s="0"/>
      <c r="N1339" s="0"/>
      <c r="O1339" s="0"/>
      <c r="P1339" s="0"/>
      <c r="Q1339" s="0"/>
      <c r="R1339" s="0"/>
    </row>
    <row r="1340" customFormat="false" ht="15" hidden="false" customHeight="true" outlineLevel="0" collapsed="false">
      <c r="A1340" s="927" t="s">
        <v>884</v>
      </c>
      <c r="B1340" s="927"/>
      <c r="C1340" s="0"/>
      <c r="D1340" s="1491" t="s">
        <v>253</v>
      </c>
      <c r="E1340" s="19"/>
      <c r="F1340" s="0"/>
      <c r="G1340" s="19"/>
      <c r="H1340" s="19"/>
      <c r="I1340" s="19"/>
      <c r="J1340" s="667"/>
      <c r="K1340" s="1317"/>
      <c r="L1340" s="1493"/>
    </row>
    <row r="1341" customFormat="false" ht="15.75" hidden="false" customHeight="true" outlineLevel="0" collapsed="false">
      <c r="A1341" s="1494" t="s">
        <v>885</v>
      </c>
      <c r="B1341" s="667"/>
      <c r="C1341" s="812"/>
      <c r="D1341" s="1484"/>
      <c r="J1341" s="11"/>
      <c r="K1341" s="1317"/>
      <c r="L1341" s="1493"/>
      <c r="M1341" s="0"/>
    </row>
    <row r="1342" customFormat="false" ht="15.75" hidden="false" customHeight="true" outlineLevel="0" collapsed="false">
      <c r="A1342" s="14"/>
      <c r="B1342" s="1495"/>
      <c r="C1342" s="1131"/>
      <c r="D1342" s="19"/>
      <c r="J1342" s="11"/>
      <c r="K1342" s="1310"/>
      <c r="L1342" s="1432"/>
      <c r="M1342" s="0"/>
    </row>
    <row r="1343" customFormat="false" ht="15" hidden="false" customHeight="true" outlineLevel="0" collapsed="false">
      <c r="A1343" s="18" t="s">
        <v>1802</v>
      </c>
      <c r="B1343" s="18"/>
      <c r="C1343" s="1131"/>
      <c r="D1343" s="1491" t="s">
        <v>253</v>
      </c>
      <c r="J1343" s="11"/>
      <c r="K1343" s="1310"/>
      <c r="L1343" s="1432"/>
      <c r="M1343" s="0"/>
    </row>
    <row r="1344" customFormat="false" ht="15" hidden="false" customHeight="true" outlineLevel="0" collapsed="false">
      <c r="A1344" s="1015" t="s">
        <v>1803</v>
      </c>
      <c r="B1344" s="1258"/>
      <c r="C1344" s="1258"/>
      <c r="D1344" s="1258"/>
      <c r="E1344" s="1258"/>
      <c r="F1344" s="1258"/>
      <c r="G1344" s="1258"/>
      <c r="H1344" s="1258"/>
      <c r="I1344" s="1131"/>
      <c r="J1344" s="1496"/>
      <c r="K1344" s="1310"/>
      <c r="L1344" s="1432"/>
      <c r="M1344" s="0"/>
    </row>
    <row r="1345" customFormat="false" ht="15.75" hidden="false" customHeight="true" outlineLevel="0" collapsed="false">
      <c r="F1345" s="0"/>
      <c r="G1345" s="0"/>
      <c r="H1345" s="1131"/>
      <c r="J1345" s="1029"/>
      <c r="K1345" s="1310"/>
      <c r="L1345" s="1432"/>
      <c r="M1345" s="0"/>
    </row>
    <row r="1346" customFormat="false" ht="15.75" hidden="false" customHeight="true" outlineLevel="0" collapsed="false">
      <c r="A1346" s="927" t="s">
        <v>1804</v>
      </c>
      <c r="B1346" s="927"/>
      <c r="D1346" s="1491" t="s">
        <v>893</v>
      </c>
      <c r="F1346" s="0"/>
      <c r="G1346" s="54"/>
      <c r="H1346" s="54"/>
      <c r="I1346" s="54"/>
      <c r="J1346" s="1497"/>
      <c r="K1346" s="1310"/>
      <c r="L1346" s="1432"/>
      <c r="M1346" s="0"/>
    </row>
    <row r="1347" customFormat="false" ht="16.5" hidden="false" customHeight="true" outlineLevel="0" collapsed="false">
      <c r="A1347" s="1494" t="s">
        <v>890</v>
      </c>
      <c r="B1347" s="1498"/>
      <c r="C1347" s="1131"/>
      <c r="D1347" s="1302"/>
      <c r="F1347" s="0"/>
      <c r="G1347" s="1302"/>
      <c r="H1347" s="927"/>
      <c r="I1347" s="927"/>
      <c r="J1347" s="1308"/>
      <c r="K1347" s="1310"/>
      <c r="L1347" s="1432"/>
      <c r="M1347" s="0"/>
    </row>
    <row r="1348" customFormat="false" ht="16.5" hidden="false" customHeight="true" outlineLevel="0" collapsed="false">
      <c r="A1348" s="1494" t="s">
        <v>892</v>
      </c>
      <c r="B1348" s="1498"/>
      <c r="C1348" s="1131"/>
      <c r="D1348" s="1302"/>
      <c r="F1348" s="0"/>
      <c r="G1348" s="1302"/>
      <c r="H1348" s="1131"/>
      <c r="I1348" s="1131"/>
      <c r="J1348" s="1496"/>
      <c r="K1348" s="1310"/>
      <c r="L1348" s="1432"/>
      <c r="M1348" s="0"/>
    </row>
    <row r="1349" customFormat="false" ht="15" hidden="false" customHeight="true" outlineLevel="0" collapsed="false">
      <c r="A1349" s="1494" t="s">
        <v>894</v>
      </c>
      <c r="B1349" s="1499"/>
      <c r="C1349" s="1131"/>
      <c r="D1349" s="1302"/>
      <c r="F1349" s="54"/>
      <c r="G1349" s="54"/>
      <c r="H1349" s="54"/>
      <c r="I1349" s="54"/>
      <c r="J1349" s="836"/>
      <c r="K1349" s="1310"/>
      <c r="L1349" s="1432"/>
      <c r="M1349" s="0"/>
    </row>
    <row r="1350" customFormat="false" ht="15" hidden="false" customHeight="true" outlineLevel="0" collapsed="false">
      <c r="A1350" s="18"/>
      <c r="B1350" s="18"/>
      <c r="C1350" s="1131"/>
      <c r="D1350" s="19"/>
      <c r="E1350" s="28"/>
      <c r="F1350" s="19"/>
      <c r="G1350" s="1302"/>
      <c r="H1350" s="1131"/>
      <c r="I1350" s="1131"/>
      <c r="J1350" s="667"/>
      <c r="K1350" s="1310"/>
      <c r="L1350" s="1432"/>
      <c r="M1350" s="0"/>
    </row>
    <row r="1351" customFormat="false" ht="15" hidden="false" customHeight="true" outlineLevel="0" collapsed="false">
      <c r="A1351" s="18"/>
      <c r="B1351" s="18"/>
      <c r="C1351" s="1131"/>
      <c r="D1351" s="19"/>
      <c r="E1351" s="28"/>
      <c r="F1351" s="19"/>
      <c r="G1351" s="1302"/>
      <c r="H1351" s="1131"/>
      <c r="I1351" s="1131"/>
      <c r="J1351" s="667"/>
      <c r="K1351" s="1310"/>
      <c r="L1351" s="1432"/>
      <c r="M1351" s="0"/>
    </row>
    <row r="1352" customFormat="false" ht="16.5" hidden="false" customHeight="true" outlineLevel="0" collapsed="false">
      <c r="A1352" s="869" t="s">
        <v>1805</v>
      </c>
      <c r="B1352" s="869"/>
      <c r="C1352" s="869"/>
      <c r="D1352" s="869"/>
      <c r="E1352" s="869"/>
      <c r="F1352" s="869"/>
      <c r="G1352" s="869"/>
      <c r="H1352" s="53"/>
      <c r="I1352" s="53"/>
      <c r="J1352" s="53"/>
      <c r="K1352" s="870"/>
      <c r="L1352" s="871"/>
      <c r="M1352" s="0"/>
    </row>
    <row r="1353" customFormat="false" ht="16.5" hidden="false" customHeight="true" outlineLevel="0" collapsed="false">
      <c r="A1353" s="1005"/>
      <c r="B1353" s="1005"/>
      <c r="C1353" s="1005"/>
      <c r="D1353" s="1005"/>
      <c r="E1353" s="1005"/>
      <c r="F1353" s="1005"/>
      <c r="G1353" s="1005"/>
      <c r="H1353" s="54"/>
      <c r="I1353" s="54"/>
      <c r="J1353" s="836"/>
      <c r="K1353" s="1310"/>
      <c r="L1353" s="1432"/>
      <c r="M1353" s="0"/>
    </row>
    <row r="1354" customFormat="false" ht="15.75" hidden="false" customHeight="true" outlineLevel="0" collapsed="false">
      <c r="A1354" s="1436" t="s">
        <v>1806</v>
      </c>
      <c r="B1354" s="1436"/>
      <c r="C1354" s="537" t="s">
        <v>1807</v>
      </c>
      <c r="D1354" s="1490" t="n">
        <f aca="false">(I1183-I1164)/I1183</f>
        <v>0.621708206832508</v>
      </c>
      <c r="F1354" s="19"/>
      <c r="G1354" s="54"/>
      <c r="H1354" s="54"/>
      <c r="I1354" s="54"/>
      <c r="J1354" s="836"/>
      <c r="K1354" s="1310"/>
      <c r="L1354" s="1432"/>
      <c r="M1354" s="0"/>
    </row>
    <row r="1355" customFormat="false" ht="15" hidden="false" customHeight="true" outlineLevel="0" collapsed="false">
      <c r="A1355" s="1439"/>
      <c r="B1355" s="0"/>
      <c r="C1355" s="1310"/>
      <c r="D1355" s="1480"/>
      <c r="E1355" s="1047"/>
      <c r="F1355" s="0"/>
      <c r="G1355" s="0"/>
      <c r="H1355" s="0"/>
      <c r="I1355" s="0"/>
      <c r="J1355" s="0"/>
      <c r="K1355" s="0"/>
      <c r="L1355" s="0"/>
    </row>
    <row r="1356" customFormat="false" ht="25.5" hidden="false" customHeight="true" outlineLevel="0" collapsed="false">
      <c r="A1356" s="0"/>
      <c r="B1356" s="0"/>
      <c r="C1356" s="0"/>
      <c r="D1356" s="0"/>
      <c r="E1356" s="0"/>
      <c r="F1356" s="0"/>
      <c r="G1356" s="0"/>
      <c r="H1356" s="0"/>
      <c r="I1356" s="0"/>
      <c r="J1356" s="0"/>
      <c r="K1356" s="0"/>
      <c r="L1356" s="0"/>
    </row>
    <row r="1357" customFormat="false" ht="15" hidden="false" customHeight="true" outlineLevel="0" collapsed="false">
      <c r="A1357" s="869" t="s">
        <v>1808</v>
      </c>
      <c r="B1357" s="869"/>
      <c r="C1357" s="869"/>
      <c r="D1357" s="869"/>
      <c r="E1357" s="869"/>
      <c r="F1357" s="869"/>
      <c r="G1357" s="869"/>
      <c r="H1357" s="53"/>
      <c r="I1357" s="53"/>
      <c r="J1357" s="53"/>
      <c r="K1357" s="870"/>
      <c r="L1357" s="871"/>
    </row>
    <row r="1358" customFormat="false" ht="15" hidden="false" customHeight="true" outlineLevel="0" collapsed="false">
      <c r="A1358" s="1005"/>
      <c r="B1358" s="1005"/>
      <c r="C1358" s="1005"/>
      <c r="D1358" s="1005"/>
      <c r="E1358" s="1005"/>
      <c r="F1358" s="1005"/>
      <c r="G1358" s="1005"/>
    </row>
    <row r="1359" customFormat="false" ht="15" hidden="false" customHeight="true" outlineLevel="0" collapsed="false">
      <c r="A1359" s="1436" t="s">
        <v>1809</v>
      </c>
      <c r="B1359" s="1436"/>
      <c r="C1359" s="537" t="s">
        <v>1810</v>
      </c>
      <c r="D1359" s="1500" t="n">
        <f aca="false">I1166/B24</f>
        <v>1970.54545454545</v>
      </c>
      <c r="F1359" s="0"/>
      <c r="G1359" s="0"/>
    </row>
    <row r="1360" customFormat="false" ht="24.75" hidden="false" customHeight="true" outlineLevel="0" collapsed="false"/>
    <row r="1362" customFormat="false" ht="15.75" hidden="false" customHeight="true" outlineLevel="0" collapsed="false"/>
  </sheetData>
  <mergeCells count="822">
    <mergeCell ref="A1:L1"/>
    <mergeCell ref="H14:J28"/>
    <mergeCell ref="A38:B38"/>
    <mergeCell ref="A39:B39"/>
    <mergeCell ref="A40:B40"/>
    <mergeCell ref="D42:G42"/>
    <mergeCell ref="A48:A49"/>
    <mergeCell ref="B48:C49"/>
    <mergeCell ref="D48:D49"/>
    <mergeCell ref="E48:F48"/>
    <mergeCell ref="G48:G49"/>
    <mergeCell ref="H48:H49"/>
    <mergeCell ref="I48:I49"/>
    <mergeCell ref="J48:J49"/>
    <mergeCell ref="B51:C51"/>
    <mergeCell ref="A52:A54"/>
    <mergeCell ref="B52:C52"/>
    <mergeCell ref="B53:C53"/>
    <mergeCell ref="B54:C54"/>
    <mergeCell ref="B55:C55"/>
    <mergeCell ref="A56:A60"/>
    <mergeCell ref="B56:C56"/>
    <mergeCell ref="B57:C57"/>
    <mergeCell ref="B58:C58"/>
    <mergeCell ref="B59:C59"/>
    <mergeCell ref="B60:C60"/>
    <mergeCell ref="B61:C61"/>
    <mergeCell ref="A62:A66"/>
    <mergeCell ref="B62:C62"/>
    <mergeCell ref="B63:C63"/>
    <mergeCell ref="B64:C64"/>
    <mergeCell ref="B65:C65"/>
    <mergeCell ref="B66:C66"/>
    <mergeCell ref="B67:C67"/>
    <mergeCell ref="A68:A72"/>
    <mergeCell ref="B68:C68"/>
    <mergeCell ref="B69:C69"/>
    <mergeCell ref="B70:C70"/>
    <mergeCell ref="B71:C71"/>
    <mergeCell ref="B72:C72"/>
    <mergeCell ref="B73:C73"/>
    <mergeCell ref="A74:A87"/>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4:C94"/>
    <mergeCell ref="B95:C95"/>
    <mergeCell ref="A105:A108"/>
    <mergeCell ref="K110:L110"/>
    <mergeCell ref="K111:L111"/>
    <mergeCell ref="K112:L112"/>
    <mergeCell ref="K113:L113"/>
    <mergeCell ref="K114:L114"/>
    <mergeCell ref="K115:L115"/>
    <mergeCell ref="K116:L116"/>
    <mergeCell ref="K117:L117"/>
    <mergeCell ref="K118:L118"/>
    <mergeCell ref="K119:L119"/>
    <mergeCell ref="K120:L120"/>
    <mergeCell ref="K121:L121"/>
    <mergeCell ref="K122:L122"/>
    <mergeCell ref="K123:L123"/>
    <mergeCell ref="K124:L124"/>
    <mergeCell ref="K125:L125"/>
    <mergeCell ref="K126:L126"/>
    <mergeCell ref="K127:L127"/>
    <mergeCell ref="K128:L128"/>
    <mergeCell ref="K129:L129"/>
    <mergeCell ref="K130:L130"/>
    <mergeCell ref="K131:L131"/>
    <mergeCell ref="K132:L132"/>
    <mergeCell ref="K133:L133"/>
    <mergeCell ref="K134:L134"/>
    <mergeCell ref="K135:L135"/>
    <mergeCell ref="K136:L136"/>
    <mergeCell ref="K137:L137"/>
    <mergeCell ref="K138:L138"/>
    <mergeCell ref="K139:L139"/>
    <mergeCell ref="K140:L140"/>
    <mergeCell ref="K141:L141"/>
    <mergeCell ref="K142:L142"/>
    <mergeCell ref="K143:L143"/>
    <mergeCell ref="K144:L144"/>
    <mergeCell ref="K145:L145"/>
    <mergeCell ref="K146:L146"/>
    <mergeCell ref="K147:L147"/>
    <mergeCell ref="K148:L148"/>
    <mergeCell ref="A156:B156"/>
    <mergeCell ref="A157:B157"/>
    <mergeCell ref="F178:H178"/>
    <mergeCell ref="G179:H179"/>
    <mergeCell ref="G180:H180"/>
    <mergeCell ref="B202:D202"/>
    <mergeCell ref="B203:D203"/>
    <mergeCell ref="C204:D204"/>
    <mergeCell ref="C205:D205"/>
    <mergeCell ref="B212:F212"/>
    <mergeCell ref="G212:I212"/>
    <mergeCell ref="J212:L212"/>
    <mergeCell ref="H213:I213"/>
    <mergeCell ref="K213:L213"/>
    <mergeCell ref="H214:I214"/>
    <mergeCell ref="K214:L214"/>
    <mergeCell ref="H215:I215"/>
    <mergeCell ref="K215:L215"/>
    <mergeCell ref="H216:I216"/>
    <mergeCell ref="K216:L216"/>
    <mergeCell ref="H217:I217"/>
    <mergeCell ref="K217:L217"/>
    <mergeCell ref="H218:I218"/>
    <mergeCell ref="K218:L218"/>
    <mergeCell ref="H219:I219"/>
    <mergeCell ref="K219:L219"/>
    <mergeCell ref="H220:I220"/>
    <mergeCell ref="K220:L220"/>
    <mergeCell ref="H221:I221"/>
    <mergeCell ref="K221:L221"/>
    <mergeCell ref="H222:I222"/>
    <mergeCell ref="K222:L222"/>
    <mergeCell ref="H223:I223"/>
    <mergeCell ref="K223:L223"/>
    <mergeCell ref="H224:I224"/>
    <mergeCell ref="K224:L224"/>
    <mergeCell ref="H225:I225"/>
    <mergeCell ref="K225:L225"/>
    <mergeCell ref="H226:I226"/>
    <mergeCell ref="K226:L226"/>
    <mergeCell ref="H227:I227"/>
    <mergeCell ref="K227:L227"/>
    <mergeCell ref="H228:I228"/>
    <mergeCell ref="K228:L228"/>
    <mergeCell ref="H229:I229"/>
    <mergeCell ref="K229:L229"/>
    <mergeCell ref="H230:I230"/>
    <mergeCell ref="K230:L230"/>
    <mergeCell ref="H231:I231"/>
    <mergeCell ref="K231:L231"/>
    <mergeCell ref="H232:I232"/>
    <mergeCell ref="K232:L232"/>
    <mergeCell ref="H233:I233"/>
    <mergeCell ref="K233:L233"/>
    <mergeCell ref="H234:I234"/>
    <mergeCell ref="K234:L234"/>
    <mergeCell ref="H235:I235"/>
    <mergeCell ref="K235:L235"/>
    <mergeCell ref="H236:I236"/>
    <mergeCell ref="K236:L236"/>
    <mergeCell ref="H237:I237"/>
    <mergeCell ref="K237:L237"/>
    <mergeCell ref="H238:I238"/>
    <mergeCell ref="K238:L238"/>
    <mergeCell ref="H239:I239"/>
    <mergeCell ref="K239:L239"/>
    <mergeCell ref="H240:I240"/>
    <mergeCell ref="K240:L240"/>
    <mergeCell ref="H241:I241"/>
    <mergeCell ref="K241:L241"/>
    <mergeCell ref="H242:I242"/>
    <mergeCell ref="K242:L242"/>
    <mergeCell ref="H243:I243"/>
    <mergeCell ref="K243:L243"/>
    <mergeCell ref="H244:I244"/>
    <mergeCell ref="K244:L244"/>
    <mergeCell ref="H245:I245"/>
    <mergeCell ref="K245:L245"/>
    <mergeCell ref="H246:I246"/>
    <mergeCell ref="K246:L246"/>
    <mergeCell ref="H247:I247"/>
    <mergeCell ref="K247:L247"/>
    <mergeCell ref="H248:I248"/>
    <mergeCell ref="K248:L248"/>
    <mergeCell ref="H249:I249"/>
    <mergeCell ref="K249:L249"/>
    <mergeCell ref="H250:I250"/>
    <mergeCell ref="K250:L250"/>
    <mergeCell ref="H251:I251"/>
    <mergeCell ref="K251:L251"/>
    <mergeCell ref="H252:I252"/>
    <mergeCell ref="K252:L252"/>
    <mergeCell ref="E254:F254"/>
    <mergeCell ref="E255:F255"/>
    <mergeCell ref="E256:F256"/>
    <mergeCell ref="E257:F257"/>
    <mergeCell ref="B261:F261"/>
    <mergeCell ref="G261:I261"/>
    <mergeCell ref="J261:L261"/>
    <mergeCell ref="H262:I262"/>
    <mergeCell ref="K262:L262"/>
    <mergeCell ref="H263:I263"/>
    <mergeCell ref="K263:L263"/>
    <mergeCell ref="H264:I264"/>
    <mergeCell ref="K264:L264"/>
    <mergeCell ref="H265:I265"/>
    <mergeCell ref="K265:L265"/>
    <mergeCell ref="H266:I266"/>
    <mergeCell ref="K266:L266"/>
    <mergeCell ref="H267:I267"/>
    <mergeCell ref="K267:L267"/>
    <mergeCell ref="H268:I268"/>
    <mergeCell ref="K268:L268"/>
    <mergeCell ref="H269:I269"/>
    <mergeCell ref="K269:L269"/>
    <mergeCell ref="H270:I270"/>
    <mergeCell ref="K270:L270"/>
    <mergeCell ref="H271:I271"/>
    <mergeCell ref="K271:L271"/>
    <mergeCell ref="H272:I272"/>
    <mergeCell ref="K272:L272"/>
    <mergeCell ref="H273:I273"/>
    <mergeCell ref="K273:L273"/>
    <mergeCell ref="H274:I274"/>
    <mergeCell ref="K274:L274"/>
    <mergeCell ref="H275:I275"/>
    <mergeCell ref="K275:L275"/>
    <mergeCell ref="H276:I276"/>
    <mergeCell ref="K276:L276"/>
    <mergeCell ref="H277:I277"/>
    <mergeCell ref="K277:L277"/>
    <mergeCell ref="H278:I278"/>
    <mergeCell ref="K278:L278"/>
    <mergeCell ref="H279:I279"/>
    <mergeCell ref="K279:L279"/>
    <mergeCell ref="H280:I280"/>
    <mergeCell ref="K280:L280"/>
    <mergeCell ref="H281:I281"/>
    <mergeCell ref="K281:L281"/>
    <mergeCell ref="H282:I282"/>
    <mergeCell ref="K282:L282"/>
    <mergeCell ref="H283:I283"/>
    <mergeCell ref="K283:L283"/>
    <mergeCell ref="H284:I284"/>
    <mergeCell ref="K284:L284"/>
    <mergeCell ref="H285:I285"/>
    <mergeCell ref="K285:L285"/>
    <mergeCell ref="H286:I286"/>
    <mergeCell ref="K286:L286"/>
    <mergeCell ref="H287:I287"/>
    <mergeCell ref="K287:L287"/>
    <mergeCell ref="H289:I289"/>
    <mergeCell ref="K289:L289"/>
    <mergeCell ref="H291:I291"/>
    <mergeCell ref="K291:L291"/>
    <mergeCell ref="H292:I292"/>
    <mergeCell ref="K292:L292"/>
    <mergeCell ref="H293:I293"/>
    <mergeCell ref="K293:L293"/>
    <mergeCell ref="H294:I294"/>
    <mergeCell ref="K294:L294"/>
    <mergeCell ref="H295:I295"/>
    <mergeCell ref="K295:L295"/>
    <mergeCell ref="H297:I297"/>
    <mergeCell ref="K297:L297"/>
    <mergeCell ref="H298:I298"/>
    <mergeCell ref="K298:L298"/>
    <mergeCell ref="H299:I299"/>
    <mergeCell ref="K299:L299"/>
    <mergeCell ref="H300:I300"/>
    <mergeCell ref="K300:L300"/>
    <mergeCell ref="H301:I301"/>
    <mergeCell ref="K301:L301"/>
    <mergeCell ref="H302:I302"/>
    <mergeCell ref="K302:L302"/>
    <mergeCell ref="H303:I303"/>
    <mergeCell ref="K303:L303"/>
    <mergeCell ref="H305:I305"/>
    <mergeCell ref="K305:L305"/>
    <mergeCell ref="H306:I306"/>
    <mergeCell ref="K306:L306"/>
    <mergeCell ref="H307:I307"/>
    <mergeCell ref="K307:L307"/>
    <mergeCell ref="H308:I308"/>
    <mergeCell ref="K308:L308"/>
    <mergeCell ref="H309:I309"/>
    <mergeCell ref="K309:L309"/>
    <mergeCell ref="B320:E320"/>
    <mergeCell ref="B321:C321"/>
    <mergeCell ref="D321:E321"/>
    <mergeCell ref="G321:J321"/>
    <mergeCell ref="B322:C322"/>
    <mergeCell ref="D322:E322"/>
    <mergeCell ref="G322:J322"/>
    <mergeCell ref="B323:C323"/>
    <mergeCell ref="D323:E323"/>
    <mergeCell ref="G323:J323"/>
    <mergeCell ref="B324:C324"/>
    <mergeCell ref="D324:E324"/>
    <mergeCell ref="G324:J324"/>
    <mergeCell ref="B325:C325"/>
    <mergeCell ref="D325:E325"/>
    <mergeCell ref="G325:J325"/>
    <mergeCell ref="B326:C326"/>
    <mergeCell ref="D326:E326"/>
    <mergeCell ref="G326:J326"/>
    <mergeCell ref="B327:C327"/>
    <mergeCell ref="D327:E327"/>
    <mergeCell ref="G327:J327"/>
    <mergeCell ref="A372:D372"/>
    <mergeCell ref="A373:D373"/>
    <mergeCell ref="A377:J377"/>
    <mergeCell ref="A380:G380"/>
    <mergeCell ref="B382:C382"/>
    <mergeCell ref="F386:H386"/>
    <mergeCell ref="D388:D391"/>
    <mergeCell ref="F388:F391"/>
    <mergeCell ref="A391:B391"/>
    <mergeCell ref="B394:C394"/>
    <mergeCell ref="D394:G394"/>
    <mergeCell ref="D396:G396"/>
    <mergeCell ref="D398:G398"/>
    <mergeCell ref="E399:G399"/>
    <mergeCell ref="A402:C402"/>
    <mergeCell ref="A405:G405"/>
    <mergeCell ref="A407:I407"/>
    <mergeCell ref="B411:C411"/>
    <mergeCell ref="A412:E412"/>
    <mergeCell ref="D415:E416"/>
    <mergeCell ref="B417:C417"/>
    <mergeCell ref="B418:C418"/>
    <mergeCell ref="B419:C419"/>
    <mergeCell ref="B420:C420"/>
    <mergeCell ref="B421:C421"/>
    <mergeCell ref="B422:C422"/>
    <mergeCell ref="B423:C423"/>
    <mergeCell ref="B424:C424"/>
    <mergeCell ref="C427:D427"/>
    <mergeCell ref="B428:D428"/>
    <mergeCell ref="A430:D430"/>
    <mergeCell ref="C432:F432"/>
    <mergeCell ref="B433:B436"/>
    <mergeCell ref="D433:E433"/>
    <mergeCell ref="D434:E434"/>
    <mergeCell ref="D435:E435"/>
    <mergeCell ref="D436:E436"/>
    <mergeCell ref="B437:F437"/>
    <mergeCell ref="G437:H437"/>
    <mergeCell ref="D440:E441"/>
    <mergeCell ref="F443:G443"/>
    <mergeCell ref="F444:H444"/>
    <mergeCell ref="C447:F447"/>
    <mergeCell ref="B448:B451"/>
    <mergeCell ref="D448:E448"/>
    <mergeCell ref="D449:E449"/>
    <mergeCell ref="D450:E450"/>
    <mergeCell ref="D451:E451"/>
    <mergeCell ref="B452:F452"/>
    <mergeCell ref="G452:H452"/>
    <mergeCell ref="D455:E456"/>
    <mergeCell ref="D457:E457"/>
    <mergeCell ref="A459:E459"/>
    <mergeCell ref="A461:E461"/>
    <mergeCell ref="G461:H461"/>
    <mergeCell ref="D464:E465"/>
    <mergeCell ref="C466:E466"/>
    <mergeCell ref="A468:E468"/>
    <mergeCell ref="G468:H468"/>
    <mergeCell ref="B471:C471"/>
    <mergeCell ref="C472:E472"/>
    <mergeCell ref="F476:I476"/>
    <mergeCell ref="A479:G479"/>
    <mergeCell ref="D481:E484"/>
    <mergeCell ref="F481:H481"/>
    <mergeCell ref="I481:J481"/>
    <mergeCell ref="F483:I483"/>
    <mergeCell ref="D487:E491"/>
    <mergeCell ref="F487:I487"/>
    <mergeCell ref="F489:I489"/>
    <mergeCell ref="F491:I491"/>
    <mergeCell ref="D494:E498"/>
    <mergeCell ref="F494:I494"/>
    <mergeCell ref="F496:I496"/>
    <mergeCell ref="F498:I498"/>
    <mergeCell ref="A501:G501"/>
    <mergeCell ref="D503:E503"/>
    <mergeCell ref="F503:I503"/>
    <mergeCell ref="D506:E506"/>
    <mergeCell ref="F506:I506"/>
    <mergeCell ref="D508:E508"/>
    <mergeCell ref="F508:I508"/>
    <mergeCell ref="D511:E513"/>
    <mergeCell ref="F511:I511"/>
    <mergeCell ref="F513:I513"/>
    <mergeCell ref="A515:I515"/>
    <mergeCell ref="B519:C519"/>
    <mergeCell ref="B520:C520"/>
    <mergeCell ref="B521:C521"/>
    <mergeCell ref="H521:I522"/>
    <mergeCell ref="J521:J522"/>
    <mergeCell ref="B522:C522"/>
    <mergeCell ref="B523:C523"/>
    <mergeCell ref="B524:C524"/>
    <mergeCell ref="B526:C526"/>
    <mergeCell ref="B527:C527"/>
    <mergeCell ref="B528:C528"/>
    <mergeCell ref="B529:C529"/>
    <mergeCell ref="B530:C530"/>
    <mergeCell ref="B531:C531"/>
    <mergeCell ref="A535:G535"/>
    <mergeCell ref="G537:I537"/>
    <mergeCell ref="E540:G540"/>
    <mergeCell ref="E542:G542"/>
    <mergeCell ref="E545:I545"/>
    <mergeCell ref="A548:G548"/>
    <mergeCell ref="C550:G550"/>
    <mergeCell ref="H550:J550"/>
    <mergeCell ref="D553:G553"/>
    <mergeCell ref="D554:G554"/>
    <mergeCell ref="D555:G555"/>
    <mergeCell ref="D559:I559"/>
    <mergeCell ref="A562:G562"/>
    <mergeCell ref="B564:C564"/>
    <mergeCell ref="E565:F565"/>
    <mergeCell ref="D567:E567"/>
    <mergeCell ref="H567:I567"/>
    <mergeCell ref="D570:E570"/>
    <mergeCell ref="H570:I570"/>
    <mergeCell ref="M570:N572"/>
    <mergeCell ref="O570:P572"/>
    <mergeCell ref="A575:G575"/>
    <mergeCell ref="I577:I579"/>
    <mergeCell ref="J577:J579"/>
    <mergeCell ref="A582:D582"/>
    <mergeCell ref="H582:I582"/>
    <mergeCell ref="A583:D583"/>
    <mergeCell ref="A584:D584"/>
    <mergeCell ref="A588:G588"/>
    <mergeCell ref="C593:F593"/>
    <mergeCell ref="D594:E594"/>
    <mergeCell ref="A595:A596"/>
    <mergeCell ref="C595:C596"/>
    <mergeCell ref="D595:E595"/>
    <mergeCell ref="F595:F596"/>
    <mergeCell ref="D596:E596"/>
    <mergeCell ref="C600:F600"/>
    <mergeCell ref="D601:E601"/>
    <mergeCell ref="A602:A605"/>
    <mergeCell ref="D602:E602"/>
    <mergeCell ref="D603:E603"/>
    <mergeCell ref="G603:G605"/>
    <mergeCell ref="H603:H605"/>
    <mergeCell ref="D604:E604"/>
    <mergeCell ref="D605:E605"/>
    <mergeCell ref="A608:G608"/>
    <mergeCell ref="D610:E610"/>
    <mergeCell ref="K610:L610"/>
    <mergeCell ref="A613:G613"/>
    <mergeCell ref="A615:F615"/>
    <mergeCell ref="A616:B616"/>
    <mergeCell ref="A617:B617"/>
    <mergeCell ref="A618:B618"/>
    <mergeCell ref="G618:G621"/>
    <mergeCell ref="A619:B619"/>
    <mergeCell ref="A620:B620"/>
    <mergeCell ref="A621:B621"/>
    <mergeCell ref="A622:B622"/>
    <mergeCell ref="A623:B623"/>
    <mergeCell ref="A624:B624"/>
    <mergeCell ref="A625:B625"/>
    <mergeCell ref="A626:B626"/>
    <mergeCell ref="A627:B627"/>
    <mergeCell ref="C628:E628"/>
    <mergeCell ref="A629:F629"/>
    <mergeCell ref="A630:B630"/>
    <mergeCell ref="I630:I631"/>
    <mergeCell ref="J630:J631"/>
    <mergeCell ref="A632:B632"/>
    <mergeCell ref="A633:B633"/>
    <mergeCell ref="A634:B634"/>
    <mergeCell ref="A635:B635"/>
    <mergeCell ref="H635:I635"/>
    <mergeCell ref="A636:B636"/>
    <mergeCell ref="A637:B637"/>
    <mergeCell ref="A638:B638"/>
    <mergeCell ref="A639:B639"/>
    <mergeCell ref="A640:B640"/>
    <mergeCell ref="K640:L640"/>
    <mergeCell ref="A644:G644"/>
    <mergeCell ref="A646:C646"/>
    <mergeCell ref="D648:E648"/>
    <mergeCell ref="A653:C653"/>
    <mergeCell ref="A654:E654"/>
    <mergeCell ref="A662:C662"/>
    <mergeCell ref="A673:G673"/>
    <mergeCell ref="A676:C676"/>
    <mergeCell ref="A679:C679"/>
    <mergeCell ref="A681:C681"/>
    <mergeCell ref="A684:C684"/>
    <mergeCell ref="A685:C685"/>
    <mergeCell ref="A686:C686"/>
    <mergeCell ref="A688:C688"/>
    <mergeCell ref="G691:J693"/>
    <mergeCell ref="A692:E693"/>
    <mergeCell ref="A696:G696"/>
    <mergeCell ref="A698:C698"/>
    <mergeCell ref="D698:E698"/>
    <mergeCell ref="A699:C699"/>
    <mergeCell ref="A700:C700"/>
    <mergeCell ref="A702:C702"/>
    <mergeCell ref="A704:B704"/>
    <mergeCell ref="D704:E704"/>
    <mergeCell ref="D705:E705"/>
    <mergeCell ref="B706:C706"/>
    <mergeCell ref="G706:G708"/>
    <mergeCell ref="H706:H708"/>
    <mergeCell ref="B707:C707"/>
    <mergeCell ref="D707:D708"/>
    <mergeCell ref="B708:C708"/>
    <mergeCell ref="A711:G711"/>
    <mergeCell ref="A713:E713"/>
    <mergeCell ref="A714:D714"/>
    <mergeCell ref="G714:L714"/>
    <mergeCell ref="B715:C716"/>
    <mergeCell ref="G715:L715"/>
    <mergeCell ref="G716:L716"/>
    <mergeCell ref="G717:L717"/>
    <mergeCell ref="A720:E720"/>
    <mergeCell ref="A721:D721"/>
    <mergeCell ref="G721:L721"/>
    <mergeCell ref="G722:L722"/>
    <mergeCell ref="G723:L723"/>
    <mergeCell ref="G724:L724"/>
    <mergeCell ref="I728:I730"/>
    <mergeCell ref="J728:J730"/>
    <mergeCell ref="A733:G733"/>
    <mergeCell ref="A735:C735"/>
    <mergeCell ref="A737:C737"/>
    <mergeCell ref="A738:C738"/>
    <mergeCell ref="A741:C741"/>
    <mergeCell ref="A743:C743"/>
    <mergeCell ref="H747:I747"/>
    <mergeCell ref="A749:E749"/>
    <mergeCell ref="A750:E750"/>
    <mergeCell ref="A751:E751"/>
    <mergeCell ref="A752:E752"/>
    <mergeCell ref="A753:E753"/>
    <mergeCell ref="A754:E754"/>
    <mergeCell ref="A757:G757"/>
    <mergeCell ref="A759:D759"/>
    <mergeCell ref="A760:E760"/>
    <mergeCell ref="A761:E761"/>
    <mergeCell ref="A763:D763"/>
    <mergeCell ref="A764:E764"/>
    <mergeCell ref="A765:E765"/>
    <mergeCell ref="A766:B766"/>
    <mergeCell ref="D767:E767"/>
    <mergeCell ref="E768:G768"/>
    <mergeCell ref="C770:C771"/>
    <mergeCell ref="I770:I772"/>
    <mergeCell ref="J770:J772"/>
    <mergeCell ref="C772:D772"/>
    <mergeCell ref="E772:G772"/>
    <mergeCell ref="A775:G775"/>
    <mergeCell ref="A778:A782"/>
    <mergeCell ref="A783:A785"/>
    <mergeCell ref="C784:C785"/>
    <mergeCell ref="D784:D785"/>
    <mergeCell ref="A786:A788"/>
    <mergeCell ref="C786:C787"/>
    <mergeCell ref="D786:D787"/>
    <mergeCell ref="A789:G789"/>
    <mergeCell ref="A790:A793"/>
    <mergeCell ref="A794:G794"/>
    <mergeCell ref="K795:L795"/>
    <mergeCell ref="A799:G799"/>
    <mergeCell ref="A801:G801"/>
    <mergeCell ref="A820:C820"/>
    <mergeCell ref="B823:D823"/>
    <mergeCell ref="B824:D824"/>
    <mergeCell ref="B825:D825"/>
    <mergeCell ref="B826:D826"/>
    <mergeCell ref="A829:G829"/>
    <mergeCell ref="A830:C830"/>
    <mergeCell ref="A831:B831"/>
    <mergeCell ref="E831:F831"/>
    <mergeCell ref="A833:E833"/>
    <mergeCell ref="A834:E834"/>
    <mergeCell ref="A836:E836"/>
    <mergeCell ref="A837:E837"/>
    <mergeCell ref="A840:J840"/>
    <mergeCell ref="K840:L840"/>
    <mergeCell ref="A843:G843"/>
    <mergeCell ref="A845:C845"/>
    <mergeCell ref="E847:I847"/>
    <mergeCell ref="G849:I849"/>
    <mergeCell ref="A852:G852"/>
    <mergeCell ref="A856:C856"/>
    <mergeCell ref="H856:I856"/>
    <mergeCell ref="A860:C860"/>
    <mergeCell ref="G860:I860"/>
    <mergeCell ref="A864:G864"/>
    <mergeCell ref="A867:C867"/>
    <mergeCell ref="F867:H867"/>
    <mergeCell ref="A869:C869"/>
    <mergeCell ref="F869:H869"/>
    <mergeCell ref="A870:C870"/>
    <mergeCell ref="F870:H870"/>
    <mergeCell ref="A871:C871"/>
    <mergeCell ref="A874:G874"/>
    <mergeCell ref="A882:E882"/>
    <mergeCell ref="A888:G888"/>
    <mergeCell ref="A890:D890"/>
    <mergeCell ref="A891:F891"/>
    <mergeCell ref="A893:D893"/>
    <mergeCell ref="A894:F894"/>
    <mergeCell ref="H894:J894"/>
    <mergeCell ref="A896:D897"/>
    <mergeCell ref="A899:G899"/>
    <mergeCell ref="A902:F902"/>
    <mergeCell ref="A905:D905"/>
    <mergeCell ref="H905:I905"/>
    <mergeCell ref="A906:F906"/>
    <mergeCell ref="A909:G909"/>
    <mergeCell ref="A912:B912"/>
    <mergeCell ref="E912:F912"/>
    <mergeCell ref="A913:B913"/>
    <mergeCell ref="A914:B914"/>
    <mergeCell ref="A915:B915"/>
    <mergeCell ref="A917:G917"/>
    <mergeCell ref="G919:I919"/>
    <mergeCell ref="F922:G923"/>
    <mergeCell ref="A925:D925"/>
    <mergeCell ref="G925:H925"/>
    <mergeCell ref="A928:G928"/>
    <mergeCell ref="B938:G938"/>
    <mergeCell ref="A956:G956"/>
    <mergeCell ref="A958:C958"/>
    <mergeCell ref="A959:C959"/>
    <mergeCell ref="F959:I959"/>
    <mergeCell ref="A960:C960"/>
    <mergeCell ref="F960:I960"/>
    <mergeCell ref="F961:I961"/>
    <mergeCell ref="G964:H964"/>
    <mergeCell ref="F967:H967"/>
    <mergeCell ref="I967:J967"/>
    <mergeCell ref="F968:H968"/>
    <mergeCell ref="I968:J968"/>
    <mergeCell ref="A971:G971"/>
    <mergeCell ref="A976:G976"/>
    <mergeCell ref="F978:F979"/>
    <mergeCell ref="G978:G979"/>
    <mergeCell ref="B979:E979"/>
    <mergeCell ref="B980:B985"/>
    <mergeCell ref="C980:E980"/>
    <mergeCell ref="C981:E983"/>
    <mergeCell ref="F981:F983"/>
    <mergeCell ref="G981:G983"/>
    <mergeCell ref="H981:H983"/>
    <mergeCell ref="I981:I983"/>
    <mergeCell ref="J982:J984"/>
    <mergeCell ref="K982:K984"/>
    <mergeCell ref="C984:E985"/>
    <mergeCell ref="F984:F985"/>
    <mergeCell ref="G984:G985"/>
    <mergeCell ref="H984:H985"/>
    <mergeCell ref="I984:I985"/>
    <mergeCell ref="C986:E986"/>
    <mergeCell ref="A993:G993"/>
    <mergeCell ref="A996:G996"/>
    <mergeCell ref="B997:F997"/>
    <mergeCell ref="A1002:G1002"/>
    <mergeCell ref="A1004:B1004"/>
    <mergeCell ref="A1007:D1007"/>
    <mergeCell ref="A1019:G1019"/>
    <mergeCell ref="F1027:J1027"/>
    <mergeCell ref="A1028:E1028"/>
    <mergeCell ref="A1031:G1031"/>
    <mergeCell ref="A1034:D1034"/>
    <mergeCell ref="A1036:B1036"/>
    <mergeCell ref="A1038:D1038"/>
    <mergeCell ref="A1041:G1041"/>
    <mergeCell ref="A1043:D1043"/>
    <mergeCell ref="A1045:D1045"/>
    <mergeCell ref="A1046:E1046"/>
    <mergeCell ref="A1054:G1054"/>
    <mergeCell ref="A1056:C1056"/>
    <mergeCell ref="A1058:C1058"/>
    <mergeCell ref="A1060:C1060"/>
    <mergeCell ref="A1063:G1063"/>
    <mergeCell ref="F1073:H1073"/>
    <mergeCell ref="D1075:F1075"/>
    <mergeCell ref="G1075:J1075"/>
    <mergeCell ref="A1080:G1080"/>
    <mergeCell ref="A1082:B1082"/>
    <mergeCell ref="E1082:F1082"/>
    <mergeCell ref="A1085:B1085"/>
    <mergeCell ref="E1085:F1085"/>
    <mergeCell ref="A1089:G1089"/>
    <mergeCell ref="A1094:G1094"/>
    <mergeCell ref="A1096:D1096"/>
    <mergeCell ref="A1097:D1097"/>
    <mergeCell ref="A1101:G1101"/>
    <mergeCell ref="A1105:I1105"/>
    <mergeCell ref="A1109:C1109"/>
    <mergeCell ref="A1110:C1111"/>
    <mergeCell ref="D1110:D1111"/>
    <mergeCell ref="E1110:E1111"/>
    <mergeCell ref="A1124:I1124"/>
    <mergeCell ref="F1127:H1128"/>
    <mergeCell ref="I1127:I1128"/>
    <mergeCell ref="J1127:J1128"/>
    <mergeCell ref="A1128:C1129"/>
    <mergeCell ref="D1128:D1129"/>
    <mergeCell ref="E1128:E1129"/>
    <mergeCell ref="F1129:H1130"/>
    <mergeCell ref="I1129:I1130"/>
    <mergeCell ref="J1129:J1130"/>
    <mergeCell ref="A1130:C1130"/>
    <mergeCell ref="A1132:C1133"/>
    <mergeCell ref="D1132:D1133"/>
    <mergeCell ref="E1132:E1133"/>
    <mergeCell ref="F1133:H1134"/>
    <mergeCell ref="I1133:I1134"/>
    <mergeCell ref="J1133:J1134"/>
    <mergeCell ref="A1140:L1140"/>
    <mergeCell ref="A1143:G1143"/>
    <mergeCell ref="A1145:E1146"/>
    <mergeCell ref="F1145:H1145"/>
    <mergeCell ref="I1145:I1146"/>
    <mergeCell ref="A1147:E1147"/>
    <mergeCell ref="A1148:E1148"/>
    <mergeCell ref="A1149:E1149"/>
    <mergeCell ref="A1150:E1150"/>
    <mergeCell ref="A1152:E1152"/>
    <mergeCell ref="A1153:E1153"/>
    <mergeCell ref="A1154:E1154"/>
    <mergeCell ref="A1155:E1155"/>
    <mergeCell ref="A1156:E1156"/>
    <mergeCell ref="A1157:E1157"/>
    <mergeCell ref="A1159:E1159"/>
    <mergeCell ref="A1160:E1160"/>
    <mergeCell ref="A1161:E1161"/>
    <mergeCell ref="A1162:E1162"/>
    <mergeCell ref="A1164:E1164"/>
    <mergeCell ref="A1165:E1165"/>
    <mergeCell ref="A1166:E1166"/>
    <mergeCell ref="A1167:E1167"/>
    <mergeCell ref="A1169:E1169"/>
    <mergeCell ref="A1170:E1170"/>
    <mergeCell ref="A1173:G1173"/>
    <mergeCell ref="A1175:E1176"/>
    <mergeCell ref="F1175:H1175"/>
    <mergeCell ref="I1175:I1176"/>
    <mergeCell ref="A1177:E1177"/>
    <mergeCell ref="A1178:E1178"/>
    <mergeCell ref="A1179:E1179"/>
    <mergeCell ref="A1180:E1180"/>
    <mergeCell ref="A1181:E1181"/>
    <mergeCell ref="A1182:E1182"/>
    <mergeCell ref="A1183:E1183"/>
    <mergeCell ref="A1185:E1185"/>
    <mergeCell ref="A1186:E1186"/>
    <mergeCell ref="A1187:E1187"/>
    <mergeCell ref="A1188:E1188"/>
    <mergeCell ref="A1189:E1189"/>
    <mergeCell ref="A1191:G1191"/>
    <mergeCell ref="A1193:E1194"/>
    <mergeCell ref="F1193:H1193"/>
    <mergeCell ref="I1193:I1194"/>
    <mergeCell ref="A1195:E1195"/>
    <mergeCell ref="A1196:E1196"/>
    <mergeCell ref="A1197:E1197"/>
    <mergeCell ref="A1198:E1198"/>
    <mergeCell ref="A1199:E1199"/>
    <mergeCell ref="A1200:E1200"/>
    <mergeCell ref="A1203:G1203"/>
    <mergeCell ref="A1205:E1206"/>
    <mergeCell ref="F1205:H1205"/>
    <mergeCell ref="I1205:I1206"/>
    <mergeCell ref="A1207:E1207"/>
    <mergeCell ref="A1208:E1208"/>
    <mergeCell ref="A1210:E1210"/>
    <mergeCell ref="A1211:E1211"/>
    <mergeCell ref="A1212:E1212"/>
    <mergeCell ref="A1213:E1213"/>
    <mergeCell ref="A1216:G1216"/>
    <mergeCell ref="A1220:B1220"/>
    <mergeCell ref="A1222:B1222"/>
    <mergeCell ref="F1222:G1222"/>
    <mergeCell ref="C1224:C1225"/>
    <mergeCell ref="D1224:D1225"/>
    <mergeCell ref="A1228:C1228"/>
    <mergeCell ref="A1231:G1231"/>
    <mergeCell ref="A1233:B1233"/>
    <mergeCell ref="A1236:G1236"/>
    <mergeCell ref="A1238:B1238"/>
    <mergeCell ref="A1241:G1241"/>
    <mergeCell ref="A1250:D1250"/>
    <mergeCell ref="I1250:I1256"/>
    <mergeCell ref="J1250:J1256"/>
    <mergeCell ref="G1251:G1255"/>
    <mergeCell ref="G1257:G1260"/>
    <mergeCell ref="I1261:I1265"/>
    <mergeCell ref="J1261:J1265"/>
    <mergeCell ref="G1283:G1286"/>
    <mergeCell ref="G1288:G1291"/>
    <mergeCell ref="G1293:G1294"/>
    <mergeCell ref="G1296:G1298"/>
    <mergeCell ref="A1307:G1307"/>
    <mergeCell ref="B1310:E1310"/>
    <mergeCell ref="B1313:E1313"/>
    <mergeCell ref="A1318:G1318"/>
    <mergeCell ref="A1323:G1323"/>
    <mergeCell ref="A1328:G1328"/>
    <mergeCell ref="A1330:C1330"/>
    <mergeCell ref="A1332:C1332"/>
    <mergeCell ref="A1335:G1335"/>
    <mergeCell ref="A1352:G1352"/>
    <mergeCell ref="A1354:B1354"/>
    <mergeCell ref="A1357:G1357"/>
    <mergeCell ref="A1359:B1359"/>
  </mergeCells>
  <dataValidations count="55">
    <dataValidation allowBlank="true" operator="equal" showDropDown="false" showErrorMessage="true" showInputMessage="false" sqref="F17" type="list">
      <formula1>"Individuel,EARL,GAEC,SCEA,GFA,Autre"</formula1>
      <formula2>0</formula2>
    </dataValidation>
    <dataValidation allowBlank="true" operator="equal" showDropDown="false" showErrorMessage="true" showInputMessage="false" sqref="H396 H398 E427:E428 D443 F459 F461 F468 J483 J496 J498 J513 I518:I520 I523:I526 J545 D651 D653 D657 D660 D662 D664 D666 H670 D681 E691 D738 D743 F819 E823:E826 F833:F834 F836:F837 J847 J849 D871 F884 E905 C912 C914:C915 D922:D923 E925 D951:D953 D964 J973 F980:F986 B989 D995 D999 E1006:E1007 D1022:D1025 D1027 C1036 E1036 E1045 E1049 E1051 D1058 G1071 D1073 C1075 C1077 C1085 D1315 D1325 D1340 D1343 F1350:F1351" type="list">
      <formula1>"oui,non"</formula1>
      <formula2>0</formula2>
    </dataValidation>
    <dataValidation allowBlank="true" operator="equal" showDropDown="false" showErrorMessage="true" showInputMessage="false" sqref="E113:E120 E122:E125 E127:E131 E133:E142 E144:E148 J158:J172 D159:D162 D164:D171 D173:D187 D189:D197" type="list">
      <formula1>"Locale,non-locale"</formula1>
      <formula2>0</formula2>
    </dataValidation>
    <dataValidation allowBlank="true" operator="equal" showDropDown="false" showErrorMessage="true" showInputMessage="false" sqref="F372 J407 F412 D679 J708 D867:D870 F877:F883 B973 E973 E1010 E1016 D1108:D1110 I1108:I1113 D1112 I1114:I1116 B1120 D1120 F1120 H1120 D1127:D1128 I1127 I1129 D1130:D1132 I1131:I1133 D1134:D1135 I1137" type="list">
      <formula1>"oui,non,NC"</formula1>
      <formula2>0</formula2>
    </dataValidation>
    <dataValidation allowBlank="true" operator="equal" showDropDown="false" showErrorMessage="true" showInputMessage="false" sqref="J476" type="list">
      <formula1>"oui,critère principal,non,critère secondaire ou absent"</formula1>
      <formula2>0</formula2>
    </dataValidation>
    <dataValidation allowBlank="true" operator="equal" showDropDown="false" showErrorMessage="true" showInputMessage="false" sqref="B427" type="list">
      <formula1>"Critères principaux,Critères secondaires,Pas pris en compte,NC"</formula1>
      <formula2>0</formula2>
    </dataValidation>
    <dataValidation allowBlank="true" operator="equal" showDropDown="false" showErrorMessage="true" showInputMessage="false" sqref="E1033" type="list">
      <formula1>"0,1,2,3,4"</formula1>
      <formula2>0</formula2>
    </dataValidation>
    <dataValidation allowBlank="true" operator="equal" showDropDown="false" showErrorMessage="true" showInputMessage="false" sqref="F457 I461 F466 I468 H557 B1103" type="none">
      <formula1>0</formula1>
      <formula2>0</formula2>
    </dataValidation>
    <dataValidation allowBlank="true" operator="equal" showDropDown="false" showErrorMessage="true" showInputMessage="false" sqref="J537" type="list">
      <formula1>"sans phyto entretien écologique,sans phyto entretien intensif,présence phyto,aucune zone non productive"</formula1>
      <formula2>0</formula2>
    </dataValidation>
    <dataValidation allowBlank="true" operator="equal" showDropDown="false" showErrorMessage="true" showInputMessage="false" sqref="H553:H555" type="list">
      <formula1>"Oui,Non"</formula1>
      <formula2>0</formula2>
    </dataValidation>
    <dataValidation allowBlank="true" operator="equal" showDropDown="false" showErrorMessage="true" showInputMessage="false" sqref="B564:C564" type="list">
      <formula1>"pas d'élevage,herbivore,monogastrique"</formula1>
      <formula2>0</formula2>
    </dataValidation>
    <dataValidation allowBlank="true" operator="equal" showDropDown="false" showErrorMessage="true" showInputMessage="false" sqref="D590" type="list">
      <formula1>"Oui,Non"</formula1>
      <formula2>0</formula2>
    </dataValidation>
    <dataValidation allowBlank="true" operator="equal" showDropDown="false" showErrorMessage="true" showInputMessage="false" sqref="D700" type="list">
      <formula1>"Totale et systématique,Partielle ou occasionnelle,Aucune alternance"</formula1>
      <formula2>0</formula2>
    </dataValidation>
    <dataValidation allowBlank="true" operator="equal" showDropDown="false" showErrorMessage="true" showInputMessage="false" sqref="C704" type="list">
      <formula1>"Alternance,Pas d'alternance"</formula1>
      <formula2>0</formula2>
    </dataValidation>
    <dataValidation allowBlank="true" operator="equal" showDropDown="false" showErrorMessage="true" showInputMessage="false" sqref="F704" type="list">
      <formula1>"Application systématique,Traitement au cas par cas"</formula1>
      <formula2>0</formula2>
    </dataValidation>
    <dataValidation allowBlank="true" operator="equal" showDropDown="false" showErrorMessage="true" showInputMessage="false" sqref="H706:H708" type="list">
      <formula1>"0,2,4"</formula1>
      <formula2>0</formula2>
    </dataValidation>
    <dataValidation allowBlank="true" operator="equal" showDropDown="false" showErrorMessage="true" showInputMessage="false" sqref="D727" type="list">
      <formula1>"Concerné par cet item,Non concerné"</formula1>
      <formula2>0</formula2>
    </dataValidation>
    <dataValidation allowBlank="true" operator="equal" showDropDown="false" showErrorMessage="true" showInputMessage="false" sqref="H603:H605" type="list">
      <formula1>"0,2,4,6,8"</formula1>
      <formula2>0</formula2>
    </dataValidation>
    <dataValidation allowBlank="true" operator="equal" showDropDown="false" showErrorMessage="true" showInputMessage="false" sqref="J770:J772" type="list">
      <formula1>"0,1,2,3"</formula1>
      <formula2>0</formula2>
    </dataValidation>
    <dataValidation allowBlank="true" operator="equal" showDropDown="false" showErrorMessage="true" showInputMessage="false" sqref="E890 E893 E897" type="list">
      <formula1>"oui ,non"</formula1>
      <formula2>0</formula2>
    </dataValidation>
    <dataValidation allowBlank="true" operator="equal" showDropDown="false" showErrorMessage="true" showInputMessage="false" sqref="D959:D960 J959:J962 D967" type="list">
      <formula1>"oui,non "</formula1>
      <formula2>0</formula2>
    </dataValidation>
    <dataValidation allowBlank="true" operator="equal" showDropDown="false" showErrorMessage="true" showInputMessage="false" sqref="G980:G981 G986" type="list">
      <formula1>"tri ou recyclage,autre (pas de tri,brulage),pas concerné"</formula1>
      <formula2>0</formula2>
    </dataValidation>
    <dataValidation allowBlank="true" operator="equal" showDropDown="false" showErrorMessage="true" showInputMessage="false" sqref="G982:G983 G985" type="list">
      <formula1>"tri ou recyclage,autre"</formula1>
      <formula2>0</formula2>
    </dataValidation>
    <dataValidation allowBlank="true" operator="equal" showDropDown="false" showErrorMessage="true" showInputMessage="false" sqref="G984" type="list">
      <formula1>"tri ou recyclage,autre (pas de tri,brulage),pas concerné"</formula1>
      <formula2>0</formula2>
    </dataValidation>
    <dataValidation allowBlank="true" operator="equal" showDropDown="false" showErrorMessage="true" showInputMessage="false" sqref="E1015" type="list">
      <formula1>"variées,répétitives,NC"</formula1>
      <formula2>0</formula2>
    </dataValidation>
    <dataValidation allowBlank="true" operator="equal" showDropDown="false" showErrorMessage="true" showInputMessage="false" sqref="E1038" type="list">
      <formula1>"0,-1,-2,-3,-4"</formula1>
      <formula2>0</formula2>
    </dataValidation>
    <dataValidation allowBlank="true" operator="equal" showDropDown="false" showErrorMessage="true" showInputMessage="false" sqref="E1043" type="list">
      <formula1>"0,1,2"</formula1>
      <formula2>0</formula2>
    </dataValidation>
    <dataValidation allowBlank="true" operator="equal" showDropDown="false" showErrorMessage="true" showInputMessage="false" sqref="C1082" type="list">
      <formula1>"oui démarche certifiée,oui démarche non certifiée,non"</formula1>
      <formula2>0</formula2>
    </dataValidation>
    <dataValidation allowBlank="true" operator="equal" showDropDown="false" showErrorMessage="true" showInputMessage="false" sqref="C1091" type="list">
      <formula1>"0,1,2,3,4,5,6"</formula1>
      <formula2>0</formula2>
    </dataValidation>
    <dataValidation allowBlank="true" operator="equal" showDropDown="false" showErrorMessage="true" showInputMessage="false" sqref="D1228" type="list">
      <formula1>"0,1,2,3,4,5"</formula1>
      <formula2>0</formula2>
    </dataValidation>
    <dataValidation allowBlank="true" operator="equal" showDropDown="false" showErrorMessage="true" showInputMessage="false" sqref="D1312" type="list">
      <formula1>"absence de contrat,adhésion coop,contrat longue durée,contrat solidaire"</formula1>
      <formula2>0</formula2>
    </dataValidation>
    <dataValidation allowBlank="true" operator="equal" showDropDown="false" showErrorMessage="true" showInputMessage="false" sqref="D1337" type="list">
      <formula1>"Existence quasi-certaine,Existence probable,Existence souhaitée si possible,Disparition probable "</formula1>
      <formula2>0</formula2>
    </dataValidation>
    <dataValidation allowBlank="true" operator="equal" showDropDown="false" showErrorMessage="true" showInputMessage="false" sqref="D1346" type="list">
      <formula1>"Difficile,Normale,Bonne"</formula1>
      <formula2>0</formula2>
    </dataValidation>
    <dataValidation allowBlank="true" operator="equal" showDropDown="false" showErrorMessage="true" showInputMessage="false" sqref="I437 I452 E1096:E1097" type="list">
      <formula1>"0,1,2,3"</formula1>
      <formula2>0</formula2>
    </dataValidation>
    <dataValidation allowBlank="true" operator="equal" showDropDown="false" showErrorMessage="true" showInputMessage="false" sqref="J487" type="list">
      <formula1>"0 à 2 ans,3 à 5 ans,6 à 7 ans,plus de 7 ans,NC"</formula1>
      <formula2>0</formula2>
    </dataValidation>
    <dataValidation allowBlank="true" operator="equal" showDropDown="false" showErrorMessage="true" showInputMessage="false" sqref="J489" type="list">
      <formula1>"0 à 1 an,1 à 2 ans,2 à 3 ans,3 ans et +,NC"</formula1>
      <formula2>0</formula2>
    </dataValidation>
    <dataValidation allowBlank="true" operator="equal" showDropDown="false" showErrorMessage="true" showInputMessage="false" sqref="J491" type="list">
      <formula1>"Sol nu ou jachère,Couvert à vocation agronomique,NC"</formula1>
      <formula2>0</formula2>
    </dataValidation>
    <dataValidation allowBlank="true" operator="equal" showDropDown="false" showErrorMessage="true" showInputMessage="false" sqref="H550:J550" type="list">
      <formula1>"Oui de manière significative,Oui de manière non significative,Non"</formula1>
      <formula2>0</formula2>
    </dataValidation>
    <dataValidation allowBlank="false" operator="between" showDropDown="false" showErrorMessage="true" showInputMessage="false" sqref="D648" type="list">
      <formula1>"Maraichage sous serres - Cultures florales sous serres - Arboriculture,Systèmes en grandes cultures avec cultures irriguées dominantes de maïs,soja,pomme de terre ou légumes plein champ,Autres cultures irriguées,Pas de culture irriguée - Non concerné"</formula1>
      <formula2>0</formula2>
    </dataValidation>
    <dataValidation allowBlank="true" operator="equal" showDropDown="false" showErrorMessage="true" showInputMessage="false" sqref="E901" type="list">
      <formula1>"Oui sur plus de 50% de la SAU,Oui sur moins de 50% de la SAU,Non"</formula1>
      <formula2>0</formula2>
    </dataValidation>
    <dataValidation allowBlank="true" operator="equal" showDropDown="false" showErrorMessage="true" showInputMessage="false" sqref="H394" type="list">
      <formula1>"1 famille,2 ou 3 familles,4 ou 5 familles,6 familles et +"</formula1>
      <formula2>0</formula2>
    </dataValidation>
    <dataValidation allowBlank="true" operator="between" showDropDown="false" showErrorMessage="true" showInputMessage="false" sqref="F720" type="list">
      <formula1>$F$721:$F$724</formula1>
      <formula2>0</formula2>
    </dataValidation>
    <dataValidation allowBlank="true" operator="between" showDropDown="false" showErrorMessage="true" showInputMessage="false" sqref="F713" type="list">
      <formula1>$F$714:$F$717</formula1>
      <formula2>0</formula2>
    </dataValidation>
    <dataValidation allowBlank="true" operator="equal" showDropDown="false" showErrorMessage="true" showInputMessage="false" sqref="B804:B815" type="list">
      <formula1>"Fongicide (F),Herbicide (H),Insecticide (I)"</formula1>
      <formula2>0</formula2>
    </dataValidation>
    <dataValidation allowBlank="true" operator="equal" showDropDown="false" showErrorMessage="true" showInputMessage="false" sqref="B322:C327" type="list">
      <formula1>"rotation courte (=&lt;3 ans),rotation longues,NC"</formula1>
      <formula2>0</formula2>
    </dataValidation>
    <dataValidation allowBlank="true" operator="equal" showDropDown="false" showErrorMessage="true" showInputMessage="false" sqref="D322:E327 B770 E1014 E1048" type="list">
      <formula1>"oui,non,NC"</formula1>
      <formula2>0</formula2>
    </dataValidation>
    <dataValidation allowBlank="true" operator="equal" showDropDown="false" showErrorMessage="true" showInputMessage="false" sqref="F19 B21 F21 F472 D688 D934 D937 E944:E945 E947:E948" type="list">
      <formula1>"oui,non"</formula1>
      <formula2>0</formula2>
    </dataValidation>
    <dataValidation allowBlank="true" operator="equal" showDropDown="false" showErrorMessage="true" showInputMessage="false" sqref="G1065 G1068" type="list">
      <formula1>"Non,Oui,en tant que simple adhérent,Oui,en tant que responsable"</formula1>
      <formula2>0</formula2>
    </dataValidation>
    <dataValidation allowBlank="true" operator="between" showDropDown="false" showErrorMessage="true" showInputMessage="false" sqref="J391" type="list">
      <formula1>"0,1,2,3,4,5"</formula1>
      <formula2>0</formula2>
    </dataValidation>
    <dataValidation allowBlank="true" operator="equal" showDropDown="false" showErrorMessage="true" showInputMessage="false" sqref="J494" type="list">
      <formula1>"1 famille,2 familles,3 familles,4 familles et +"</formula1>
      <formula2>0</formula2>
    </dataValidation>
    <dataValidation allowBlank="true" operator="equal" showDropDown="false" showErrorMessage="true" showInputMessage="false" sqref="D698" type="list">
      <formula1>"Oui les 2,Oui seulement des produits phyto,Oui seulement des produits véto,Non"</formula1>
      <formula2>0</formula2>
    </dataValidation>
    <dataValidation allowBlank="true" operator="equal" showDropDown="false" showErrorMessage="true" showInputMessage="false" sqref="B19" type="list">
      <formula1>"0 - pas d'élevage,1 - monogastrique,2 - herbivore"</formula1>
      <formula2>0</formula2>
    </dataValidation>
    <dataValidation allowBlank="true" operator="between" showDropDown="false" showErrorMessage="true" showInputMessage="false" sqref="F38" type="list">
      <formula1>"0-25,26-35,36-45,46-55,56-65,66+"</formula1>
      <formula2>0</formula2>
    </dataValidation>
    <dataValidation allowBlank="true" error="Le code exploitation doit être un code à 6 chiffres qui ne commence pas par 0." errorTitle="ERREUR DE CODIFICATION" operator="between" prompt="Indiquer un code à 6 chiffres pour identifier l'exploitation dans les bases de données" showDropDown="false" showErrorMessage="true" showInputMessage="true" sqref="B5" type="whole">
      <formula1>100000</formula1>
      <formula2>999999</formula2>
    </dataValidation>
    <dataValidation allowBlank="true" operator="between" showDropDown="false" showErrorMessage="true" showInputMessage="false" sqref="F8" type="whole">
      <formula1>2000</formula1>
      <formula2>9999</formula2>
    </dataValidation>
  </dataValidations>
  <hyperlinks>
    <hyperlink ref="I50" location="'Tables de conversion'!A5" display="Réfèrence UGB"/>
    <hyperlink ref="E230" location="'Tables de conversion'!A47" display="reference"/>
    <hyperlink ref="G335" location="'Tables de conversion'!A69" display="référence"/>
    <hyperlink ref="L346" r:id="rId2" display="https://occitanie.chambre-agriculture.fr/fileadmin/user_upload/National/FAL_commun/publications/Occitanie/18_Teneur_Azote_tab.pdf"/>
    <hyperlink ref="G395" location="'Tables de conversion'!A870" display="Référence"/>
    <hyperlink ref="G397" location="'Tables de conversion'!A870" display="Référence"/>
    <hyperlink ref="G400" location="'Tables de conversion'!A870" display="Référence"/>
    <hyperlink ref="E467" location="'Tables de conversion'!A870" display="Référence"/>
    <hyperlink ref="I495" location="'Tables de conversion'!A870" display="Référence"/>
    <hyperlink ref="I497" location="'Tables de conversion'!A870" display="Référence"/>
    <hyperlink ref="C516" location="'Tables de conversion'!A104" display="Référence"/>
    <hyperlink ref="A823" location="'Tables de conversion'!A1100" display="Référence"/>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3"/>
</worksheet>
</file>

<file path=xl/worksheets/sheet6.xml><?xml version="1.0" encoding="utf-8"?>
<worksheet xmlns="http://schemas.openxmlformats.org/spreadsheetml/2006/main" xmlns:r="http://schemas.openxmlformats.org/officeDocument/2006/relationships">
  <sheetPr filterMode="false">
    <tabColor rgb="FF333333"/>
    <pageSetUpPr fitToPage="true"/>
  </sheetPr>
  <dimension ref="A1:X483"/>
  <sheetViews>
    <sheetView showFormulas="false" showGridLines="true" showRowColHeaders="true" showZeros="true" rightToLeft="false" tabSelected="false" showOutlineSymbols="true" defaultGridColor="true" view="normal" topLeftCell="A463" colorId="64" zoomScale="100" zoomScaleNormal="100" zoomScalePageLayoutView="100" workbookViewId="0">
      <selection pane="topLeft" activeCell="D479" activeCellId="0" sqref="D479"/>
    </sheetView>
  </sheetViews>
  <sheetFormatPr defaultRowHeight="12.75" zeroHeight="false" outlineLevelRow="0" outlineLevelCol="0"/>
  <cols>
    <col collapsed="false" customWidth="true" hidden="false" outlineLevel="0" max="1" min="1" style="0" width="24.53"/>
    <col collapsed="false" customWidth="true" hidden="false" outlineLevel="0" max="2" min="2" style="0" width="28.83"/>
    <col collapsed="false" customWidth="true" hidden="false" outlineLevel="0" max="3" min="3" style="0" width="12.83"/>
    <col collapsed="false" customWidth="true" hidden="false" outlineLevel="0" max="4" min="4" style="0" width="12.4"/>
    <col collapsed="false" customWidth="true" hidden="false" outlineLevel="0" max="5" min="5" style="0" width="10.98"/>
    <col collapsed="false" customWidth="true" hidden="false" outlineLevel="0" max="10" min="6" style="0" width="10.69"/>
    <col collapsed="false" customWidth="true" hidden="false" outlineLevel="0" max="11" min="11" style="0" width="7.84"/>
    <col collapsed="false" customWidth="true" hidden="false" outlineLevel="0" max="12" min="12" style="0" width="10.69"/>
    <col collapsed="false" customWidth="true" hidden="false" outlineLevel="0" max="13" min="13" style="0" width="10.27"/>
    <col collapsed="false" customWidth="true" hidden="false" outlineLevel="0" max="14" min="14" style="0" width="10.69"/>
    <col collapsed="false" customWidth="true" hidden="false" outlineLevel="0" max="15" min="15" style="0" width="82.89"/>
    <col collapsed="false" customWidth="true" hidden="false" outlineLevel="0" max="1025" min="16" style="0" width="10.69"/>
  </cols>
  <sheetData>
    <row r="1" customFormat="false" ht="18" hidden="false" customHeight="true" outlineLevel="0" collapsed="false">
      <c r="A1" s="1501" t="s">
        <v>1811</v>
      </c>
      <c r="B1" s="1502"/>
      <c r="C1" s="1503"/>
      <c r="D1" s="1502"/>
      <c r="E1" s="1502"/>
      <c r="F1" s="1502"/>
      <c r="G1" s="1502"/>
      <c r="H1" s="1502"/>
      <c r="I1" s="1502"/>
      <c r="J1" s="1502"/>
      <c r="K1" s="1502"/>
      <c r="L1" s="1502"/>
      <c r="M1" s="1504"/>
      <c r="N1" s="1504"/>
      <c r="O1" s="1504"/>
    </row>
    <row r="2" customFormat="false" ht="12.75" hidden="false" customHeight="true" outlineLevel="0" collapsed="false">
      <c r="A2" s="1502" t="s">
        <v>1812</v>
      </c>
      <c r="B2" s="1502"/>
      <c r="C2" s="1502"/>
      <c r="D2" s="1502"/>
      <c r="E2" s="1503"/>
      <c r="F2" s="1502"/>
      <c r="G2" s="1502"/>
      <c r="H2" s="1502"/>
      <c r="I2" s="1502"/>
      <c r="J2" s="1502"/>
      <c r="K2" s="1502"/>
      <c r="L2" s="1502"/>
      <c r="M2" s="1504"/>
      <c r="N2" s="1505" t="s">
        <v>1813</v>
      </c>
      <c r="O2" s="1505"/>
    </row>
    <row r="3" customFormat="false" ht="12.75" hidden="false" customHeight="true" outlineLevel="0" collapsed="false">
      <c r="A3" s="1502"/>
      <c r="B3" s="1502"/>
      <c r="C3" s="1502"/>
      <c r="D3" s="1502"/>
      <c r="E3" s="1503"/>
      <c r="F3" s="1502"/>
      <c r="G3" s="1502"/>
      <c r="H3" s="1502"/>
      <c r="I3" s="1502"/>
      <c r="J3" s="1502"/>
      <c r="K3" s="1502"/>
      <c r="L3" s="1502"/>
      <c r="M3" s="1504"/>
      <c r="N3" s="1504"/>
      <c r="O3" s="1504"/>
    </row>
    <row r="4" customFormat="false" ht="12.75" hidden="false" customHeight="true" outlineLevel="0" collapsed="false">
      <c r="A4" s="1502" t="s">
        <v>1814</v>
      </c>
      <c r="B4" s="1506" t="s">
        <v>22</v>
      </c>
      <c r="C4" s="1506"/>
      <c r="D4" s="1506"/>
      <c r="E4" s="1503"/>
      <c r="F4" s="1502"/>
      <c r="G4" s="1502"/>
      <c r="H4" s="1502"/>
      <c r="I4" s="1502"/>
      <c r="J4" s="1502"/>
      <c r="K4" s="1502"/>
      <c r="L4" s="1502"/>
      <c r="M4" s="1504"/>
      <c r="N4" s="1504" t="s">
        <v>1815</v>
      </c>
      <c r="O4" s="1504" t="s">
        <v>1261</v>
      </c>
    </row>
    <row r="5" customFormat="false" ht="12.75" hidden="false" customHeight="true" outlineLevel="0" collapsed="false">
      <c r="A5" s="1502"/>
      <c r="B5" s="1507" t="s">
        <v>25</v>
      </c>
      <c r="C5" s="1507"/>
      <c r="D5" s="1507"/>
      <c r="E5" s="1502"/>
      <c r="F5" s="1502"/>
      <c r="G5" s="1502"/>
      <c r="H5" s="1502"/>
      <c r="I5" s="1502"/>
      <c r="J5" s="1502"/>
      <c r="K5" s="1502"/>
      <c r="L5" s="1502"/>
      <c r="M5" s="1504"/>
      <c r="N5" s="1504" t="n">
        <v>0</v>
      </c>
      <c r="O5" s="1504" t="s">
        <v>1816</v>
      </c>
    </row>
    <row r="6" customFormat="false" ht="12.75" hidden="false" customHeight="true" outlineLevel="0" collapsed="false">
      <c r="A6" s="1502"/>
      <c r="B6" s="1508" t="s">
        <v>28</v>
      </c>
      <c r="C6" s="1508"/>
      <c r="D6" s="1508"/>
      <c r="E6" s="1502"/>
      <c r="F6" s="1502"/>
      <c r="G6" s="1502"/>
      <c r="H6" s="1502"/>
      <c r="I6" s="1502"/>
      <c r="J6" s="1502"/>
      <c r="K6" s="1502"/>
      <c r="L6" s="1502"/>
      <c r="M6" s="1504"/>
      <c r="N6" s="1504" t="n">
        <v>1</v>
      </c>
      <c r="O6" s="1504" t="s">
        <v>1817</v>
      </c>
    </row>
    <row r="7" customFormat="false" ht="12.75" hidden="false" customHeight="true" outlineLevel="0" collapsed="false">
      <c r="A7" s="1502"/>
      <c r="B7" s="1509" t="s">
        <v>31</v>
      </c>
      <c r="C7" s="1509"/>
      <c r="D7" s="1509"/>
      <c r="E7" s="1502"/>
      <c r="F7" s="1502"/>
      <c r="G7" s="1502"/>
      <c r="H7" s="1502"/>
      <c r="I7" s="1502"/>
      <c r="J7" s="1502"/>
      <c r="K7" s="1502"/>
      <c r="L7" s="1502"/>
      <c r="M7" s="1504"/>
      <c r="N7" s="1504" t="n">
        <v>2</v>
      </c>
      <c r="O7" s="1504" t="s">
        <v>1818</v>
      </c>
    </row>
    <row r="8" customFormat="false" ht="12.75" hidden="false" customHeight="true" outlineLevel="0" collapsed="false">
      <c r="A8" s="1502"/>
      <c r="B8" s="1510" t="s">
        <v>1819</v>
      </c>
      <c r="C8" s="1510"/>
      <c r="D8" s="1510"/>
      <c r="E8" s="1502"/>
      <c r="F8" s="1502"/>
      <c r="G8" s="1502"/>
      <c r="H8" s="1502"/>
      <c r="I8" s="1502"/>
      <c r="J8" s="1502"/>
      <c r="K8" s="1502"/>
      <c r="L8" s="1502"/>
      <c r="M8" s="1504"/>
      <c r="N8" s="1504" t="n">
        <v>3</v>
      </c>
      <c r="O8" s="1504" t="s">
        <v>1820</v>
      </c>
    </row>
    <row r="9" customFormat="false" ht="12.75" hidden="false" customHeight="true" outlineLevel="0" collapsed="false">
      <c r="A9" s="1502"/>
      <c r="B9" s="1502"/>
      <c r="C9" s="1502"/>
      <c r="D9" s="1502"/>
      <c r="E9" s="1502"/>
      <c r="F9" s="1502"/>
      <c r="G9" s="1502"/>
      <c r="H9" s="1502"/>
      <c r="I9" s="1502"/>
      <c r="J9" s="1502"/>
      <c r="K9" s="1502"/>
      <c r="L9" s="1502"/>
      <c r="M9" s="1504"/>
      <c r="N9" s="1504" t="n">
        <v>4</v>
      </c>
      <c r="O9" s="1504" t="s">
        <v>1821</v>
      </c>
    </row>
    <row r="10" customFormat="false" ht="20.25" hidden="false" customHeight="true" outlineLevel="0" collapsed="false">
      <c r="A10" s="1511" t="s">
        <v>1822</v>
      </c>
      <c r="B10" s="1511"/>
      <c r="C10" s="1511"/>
      <c r="D10" s="1511"/>
      <c r="E10" s="1511"/>
      <c r="F10" s="1511"/>
      <c r="G10" s="1511"/>
      <c r="H10" s="1511"/>
      <c r="I10" s="1511"/>
      <c r="J10" s="1512"/>
      <c r="K10" s="1512"/>
      <c r="L10" s="1512"/>
      <c r="M10" s="1504"/>
      <c r="N10" s="1504" t="n">
        <v>5</v>
      </c>
      <c r="O10" s="1504" t="s">
        <v>1823</v>
      </c>
    </row>
    <row r="11" customFormat="false" ht="12.75" hidden="false" customHeight="true" outlineLevel="0" collapsed="false">
      <c r="A11" s="1513"/>
      <c r="B11" s="1502"/>
      <c r="C11" s="1502"/>
      <c r="D11" s="1502"/>
      <c r="E11" s="1502"/>
      <c r="F11" s="1502"/>
      <c r="G11" s="1502"/>
      <c r="H11" s="1502"/>
      <c r="I11" s="1502"/>
      <c r="J11" s="1502"/>
      <c r="K11" s="1502"/>
      <c r="L11" s="1502"/>
      <c r="M11" s="1504"/>
      <c r="N11" s="1504" t="n">
        <v>6</v>
      </c>
      <c r="O11" s="1504" t="s">
        <v>1824</v>
      </c>
    </row>
    <row r="12" customFormat="false" ht="12.75" hidden="false" customHeight="true" outlineLevel="0" collapsed="false">
      <c r="A12" s="1503" t="s">
        <v>1825</v>
      </c>
      <c r="B12" s="1502"/>
      <c r="C12" s="1502"/>
      <c r="D12" s="1502"/>
      <c r="E12" s="1502"/>
      <c r="F12" s="1502"/>
      <c r="G12" s="1502"/>
      <c r="H12" s="1502"/>
      <c r="I12" s="1502"/>
      <c r="J12" s="1502"/>
      <c r="K12" s="1502"/>
      <c r="L12" s="1502" t="s">
        <v>1192</v>
      </c>
      <c r="M12" s="1504"/>
      <c r="N12" s="1504" t="n">
        <v>7</v>
      </c>
      <c r="O12" s="1504" t="s">
        <v>1826</v>
      </c>
    </row>
    <row r="13" customFormat="false" ht="26.25" hidden="false" customHeight="true" outlineLevel="0" collapsed="false">
      <c r="A13" s="1514" t="s">
        <v>416</v>
      </c>
      <c r="B13" s="468" t="s">
        <v>382</v>
      </c>
      <c r="C13" s="1515" t="s">
        <v>406</v>
      </c>
      <c r="D13" s="1516" t="s">
        <v>407</v>
      </c>
      <c r="E13" s="1516" t="s">
        <v>408</v>
      </c>
      <c r="F13" s="924" t="s">
        <v>406</v>
      </c>
      <c r="G13" s="924" t="s">
        <v>407</v>
      </c>
      <c r="H13" s="924" t="s">
        <v>408</v>
      </c>
      <c r="I13" s="1517" t="s">
        <v>1827</v>
      </c>
      <c r="J13" s="1502"/>
      <c r="K13" s="1504"/>
      <c r="N13" s="1504" t="s">
        <v>697</v>
      </c>
      <c r="O13" s="1504" t="s">
        <v>697</v>
      </c>
    </row>
    <row r="14" customFormat="false" ht="25.5" hidden="false" customHeight="true" outlineLevel="0" collapsed="false">
      <c r="A14" s="1518"/>
      <c r="B14" s="1519" t="s">
        <v>383</v>
      </c>
      <c r="C14" s="1520" t="s">
        <v>410</v>
      </c>
      <c r="D14" s="1520" t="s">
        <v>410</v>
      </c>
      <c r="E14" s="1520" t="s">
        <v>410</v>
      </c>
      <c r="F14" s="1521" t="s">
        <v>1223</v>
      </c>
      <c r="G14" s="1520" t="s">
        <v>1223</v>
      </c>
      <c r="H14" s="1520" t="s">
        <v>1223</v>
      </c>
      <c r="I14" s="1522"/>
      <c r="J14" s="1502"/>
      <c r="K14" s="1504"/>
      <c r="L14" s="1504"/>
      <c r="M14" s="1504"/>
      <c r="N14" s="1504" t="s">
        <v>1828</v>
      </c>
      <c r="O14" s="1504" t="s">
        <v>1829</v>
      </c>
    </row>
    <row r="15" customFormat="false" ht="12.75" hidden="false" customHeight="true" outlineLevel="0" collapsed="false">
      <c r="A15" s="1523" t="s">
        <v>384</v>
      </c>
      <c r="B15" s="1524" t="n">
        <f aca="false">0.18*69</f>
        <v>12.42</v>
      </c>
      <c r="C15" s="1525" t="n">
        <v>0</v>
      </c>
      <c r="D15" s="1525" t="n">
        <v>0</v>
      </c>
      <c r="E15" s="1525" t="n">
        <v>600</v>
      </c>
      <c r="F15" s="738" t="n">
        <f aca="false">($B15)*C15</f>
        <v>0</v>
      </c>
      <c r="G15" s="738" t="n">
        <f aca="false">($B15)*D15</f>
        <v>0</v>
      </c>
      <c r="H15" s="738" t="n">
        <f aca="false">($B15)*E15</f>
        <v>7452</v>
      </c>
      <c r="I15" s="1526" t="s">
        <v>1828</v>
      </c>
      <c r="J15" s="1504"/>
      <c r="K15" s="1504"/>
      <c r="L15" s="1504"/>
      <c r="M15" s="1504"/>
      <c r="N15" s="1504"/>
      <c r="O15" s="1504"/>
    </row>
    <row r="16" customFormat="false" ht="12.75" hidden="false" customHeight="true" outlineLevel="0" collapsed="false">
      <c r="A16" s="1523" t="s">
        <v>385</v>
      </c>
      <c r="B16" s="1527"/>
      <c r="C16" s="1525" t="n">
        <v>0</v>
      </c>
      <c r="D16" s="1525" t="n">
        <v>0</v>
      </c>
      <c r="E16" s="1525" t="n">
        <v>300</v>
      </c>
      <c r="F16" s="738" t="n">
        <f aca="false">($B16)*C16</f>
        <v>0</v>
      </c>
      <c r="G16" s="738" t="n">
        <f aca="false">($B16)*D16</f>
        <v>0</v>
      </c>
      <c r="H16" s="738" t="n">
        <f aca="false">($B16)*E16</f>
        <v>0</v>
      </c>
      <c r="I16" s="1526" t="n">
        <v>0</v>
      </c>
      <c r="J16" s="1504"/>
      <c r="K16" s="1504"/>
      <c r="L16" s="1504"/>
      <c r="M16" s="1504"/>
      <c r="N16" s="1504"/>
      <c r="O16" s="1504"/>
    </row>
    <row r="17" customFormat="false" ht="12.75" hidden="false" customHeight="true" outlineLevel="0" collapsed="false">
      <c r="A17" s="1523" t="s">
        <v>386</v>
      </c>
      <c r="B17" s="1527"/>
      <c r="C17" s="1525" t="n">
        <v>0</v>
      </c>
      <c r="D17" s="1525" t="n">
        <v>0</v>
      </c>
      <c r="E17" s="1525" t="n">
        <v>500</v>
      </c>
      <c r="F17" s="738" t="n">
        <f aca="false">($B17)*C17</f>
        <v>0</v>
      </c>
      <c r="G17" s="738" t="n">
        <f aca="false">($B17)*D17</f>
        <v>0</v>
      </c>
      <c r="H17" s="738" t="n">
        <f aca="false">($B17)*E17</f>
        <v>0</v>
      </c>
      <c r="I17" s="1526" t="s">
        <v>1828</v>
      </c>
      <c r="J17" s="1504"/>
      <c r="K17" s="1504"/>
      <c r="L17" s="1504"/>
      <c r="M17" s="1504"/>
      <c r="N17" s="1504"/>
      <c r="O17" s="1504"/>
    </row>
    <row r="18" customFormat="false" ht="12.75" hidden="false" customHeight="true" outlineLevel="0" collapsed="false">
      <c r="A18" s="1523" t="s">
        <v>387</v>
      </c>
      <c r="B18" s="1527" t="n">
        <f aca="false">0.4*30</f>
        <v>12</v>
      </c>
      <c r="C18" s="1525" t="n">
        <v>335</v>
      </c>
      <c r="D18" s="1525" t="n">
        <v>0</v>
      </c>
      <c r="E18" s="1525" t="n">
        <v>0</v>
      </c>
      <c r="F18" s="738" t="n">
        <f aca="false">($B18)*C18</f>
        <v>4020</v>
      </c>
      <c r="G18" s="738" t="n">
        <f aca="false">($B18)*D18</f>
        <v>0</v>
      </c>
      <c r="H18" s="738" t="n">
        <f aca="false">($B18)*E18</f>
        <v>0</v>
      </c>
      <c r="I18" s="1526" t="s">
        <v>1828</v>
      </c>
      <c r="J18" s="1504"/>
      <c r="K18" s="1504"/>
      <c r="L18" s="1504"/>
      <c r="M18" s="1504"/>
      <c r="N18" s="1504"/>
      <c r="O18" s="1504"/>
    </row>
    <row r="19" customFormat="false" ht="12.75" hidden="false" customHeight="true" outlineLevel="0" collapsed="false">
      <c r="A19" s="1523" t="s">
        <v>388</v>
      </c>
      <c r="B19" s="1527"/>
      <c r="C19" s="1525" t="n">
        <v>200</v>
      </c>
      <c r="D19" s="1525" t="n">
        <v>0</v>
      </c>
      <c r="E19" s="1525" t="n">
        <v>0</v>
      </c>
      <c r="F19" s="738" t="n">
        <f aca="false">($B19)*C19</f>
        <v>0</v>
      </c>
      <c r="G19" s="738" t="n">
        <f aca="false">($B19)*D19</f>
        <v>0</v>
      </c>
      <c r="H19" s="738" t="n">
        <f aca="false">($B19)*E19</f>
        <v>0</v>
      </c>
      <c r="I19" s="1526" t="n">
        <v>1</v>
      </c>
      <c r="J19" s="1504"/>
      <c r="K19" s="1504"/>
      <c r="L19" s="1504"/>
      <c r="M19" s="1504"/>
      <c r="N19" s="1504"/>
      <c r="O19" s="1504"/>
    </row>
    <row r="20" customFormat="false" ht="12.75" hidden="false" customHeight="true" outlineLevel="0" collapsed="false">
      <c r="A20" s="1523" t="s">
        <v>389</v>
      </c>
      <c r="B20" s="1527"/>
      <c r="C20" s="1525" t="n">
        <v>155</v>
      </c>
      <c r="D20" s="1525" t="n">
        <v>0</v>
      </c>
      <c r="E20" s="1525" t="n">
        <v>0</v>
      </c>
      <c r="F20" s="738" t="n">
        <f aca="false">($B20)*C20</f>
        <v>0</v>
      </c>
      <c r="G20" s="738" t="n">
        <f aca="false">($B20)*D20</f>
        <v>0</v>
      </c>
      <c r="H20" s="738" t="n">
        <f aca="false">($B20)*E20</f>
        <v>0</v>
      </c>
      <c r="I20" s="1526" t="n">
        <v>1</v>
      </c>
      <c r="J20" s="1504"/>
      <c r="K20" s="1504"/>
      <c r="L20" s="1504"/>
      <c r="M20" s="1504"/>
      <c r="N20" s="1504"/>
      <c r="O20" s="1504"/>
    </row>
    <row r="21" customFormat="false" ht="25.5" hidden="false" customHeight="true" outlineLevel="0" collapsed="false">
      <c r="A21" s="1523" t="s">
        <v>390</v>
      </c>
      <c r="B21" s="1527"/>
      <c r="C21" s="1525" t="n">
        <v>150</v>
      </c>
      <c r="D21" s="1525" t="n">
        <v>0</v>
      </c>
      <c r="E21" s="1525" t="n">
        <v>0</v>
      </c>
      <c r="F21" s="738" t="n">
        <f aca="false">($B21)*C21</f>
        <v>0</v>
      </c>
      <c r="G21" s="738" t="n">
        <f aca="false">($B21)*D21</f>
        <v>0</v>
      </c>
      <c r="H21" s="738" t="n">
        <f aca="false">($B21)*E21</f>
        <v>0</v>
      </c>
      <c r="I21" s="1526" t="n">
        <v>0</v>
      </c>
      <c r="J21" s="1504"/>
      <c r="K21" s="1504"/>
      <c r="L21" s="1504"/>
      <c r="M21" s="1504"/>
      <c r="N21" s="1504"/>
      <c r="O21" s="1504"/>
    </row>
    <row r="22" customFormat="false" ht="12.75" hidden="false" customHeight="true" outlineLevel="0" collapsed="false">
      <c r="A22" s="1523" t="s">
        <v>391</v>
      </c>
      <c r="B22" s="1527"/>
      <c r="C22" s="1525" t="n">
        <v>160</v>
      </c>
      <c r="D22" s="1525" t="n">
        <v>0</v>
      </c>
      <c r="E22" s="1525" t="n">
        <v>0</v>
      </c>
      <c r="F22" s="738" t="n">
        <f aca="false">($B22)*C22</f>
        <v>0</v>
      </c>
      <c r="G22" s="738" t="n">
        <f aca="false">($B22)*D22</f>
        <v>0</v>
      </c>
      <c r="H22" s="738" t="n">
        <f aca="false">($B22)*E22</f>
        <v>0</v>
      </c>
      <c r="I22" s="1526" t="n">
        <v>0</v>
      </c>
      <c r="J22" s="1504"/>
      <c r="K22" s="1504"/>
      <c r="L22" s="1504"/>
      <c r="M22" s="1504"/>
      <c r="N22" s="1504"/>
      <c r="O22" s="1504"/>
    </row>
    <row r="23" customFormat="false" ht="12.75" hidden="false" customHeight="true" outlineLevel="0" collapsed="false">
      <c r="A23" s="1523" t="s">
        <v>392</v>
      </c>
      <c r="B23" s="1527"/>
      <c r="C23" s="1525" t="n">
        <v>100</v>
      </c>
      <c r="D23" s="1525" t="n">
        <v>0</v>
      </c>
      <c r="E23" s="1525" t="n">
        <v>0</v>
      </c>
      <c r="F23" s="738" t="n">
        <f aca="false">($B23)*C23</f>
        <v>0</v>
      </c>
      <c r="G23" s="738" t="n">
        <f aca="false">($B23)*D23</f>
        <v>0</v>
      </c>
      <c r="H23" s="738" t="n">
        <f aca="false">($B23)*E23</f>
        <v>0</v>
      </c>
      <c r="I23" s="1526" t="n">
        <v>0</v>
      </c>
      <c r="J23" s="1504"/>
      <c r="K23" s="1504"/>
      <c r="L23" s="1504"/>
      <c r="M23" s="1504"/>
      <c r="N23" s="1504"/>
      <c r="O23" s="1504"/>
    </row>
    <row r="24" customFormat="false" ht="12.75" hidden="false" customHeight="true" outlineLevel="0" collapsed="false">
      <c r="A24" s="1523" t="s">
        <v>393</v>
      </c>
      <c r="B24" s="1527"/>
      <c r="C24" s="1525" t="n">
        <v>210</v>
      </c>
      <c r="D24" s="1525" t="n">
        <v>0</v>
      </c>
      <c r="E24" s="1525" t="n">
        <v>0</v>
      </c>
      <c r="F24" s="738" t="n">
        <f aca="false">($B24)*C24</f>
        <v>0</v>
      </c>
      <c r="G24" s="738" t="n">
        <f aca="false">($B24)*D24</f>
        <v>0</v>
      </c>
      <c r="H24" s="738" t="n">
        <f aca="false">($B24)*E24</f>
        <v>0</v>
      </c>
      <c r="I24" s="1526" t="n">
        <v>1</v>
      </c>
      <c r="J24" s="1504"/>
      <c r="K24" s="1504"/>
      <c r="L24" s="1504"/>
      <c r="M24" s="1504"/>
      <c r="N24" s="1504"/>
      <c r="O24" s="1504"/>
    </row>
    <row r="25" customFormat="false" ht="12.75" hidden="false" customHeight="true" outlineLevel="0" collapsed="false">
      <c r="A25" s="1523" t="s">
        <v>394</v>
      </c>
      <c r="B25" s="1527"/>
      <c r="C25" s="1525" t="n">
        <v>260</v>
      </c>
      <c r="D25" s="1525" t="n">
        <v>0</v>
      </c>
      <c r="E25" s="1525" t="n">
        <v>0</v>
      </c>
      <c r="F25" s="738" t="n">
        <f aca="false">($B25)*C25</f>
        <v>0</v>
      </c>
      <c r="G25" s="738" t="n">
        <f aca="false">($B25)*D25</f>
        <v>0</v>
      </c>
      <c r="H25" s="738" t="n">
        <f aca="false">($B25)*E25</f>
        <v>0</v>
      </c>
      <c r="I25" s="1526" t="n">
        <v>0</v>
      </c>
      <c r="J25" s="1504"/>
      <c r="K25" s="1504"/>
      <c r="L25" s="1504"/>
      <c r="M25" s="1504"/>
      <c r="N25" s="1504"/>
      <c r="O25" s="1504"/>
    </row>
    <row r="26" customFormat="false" ht="12.75" hidden="false" customHeight="true" outlineLevel="0" collapsed="false">
      <c r="A26" s="1523" t="s">
        <v>395</v>
      </c>
      <c r="B26" s="1527" t="n">
        <f aca="false">0.4*39</f>
        <v>15.6</v>
      </c>
      <c r="C26" s="1525" t="n">
        <v>460</v>
      </c>
      <c r="D26" s="1525" t="n">
        <v>0</v>
      </c>
      <c r="E26" s="1525" t="n">
        <v>0</v>
      </c>
      <c r="F26" s="738" t="n">
        <f aca="false">($B26)*C26</f>
        <v>7176</v>
      </c>
      <c r="G26" s="738" t="n">
        <f aca="false">($B26)*D26</f>
        <v>0</v>
      </c>
      <c r="H26" s="738" t="n">
        <f aca="false">($B26)*E26</f>
        <v>0</v>
      </c>
      <c r="I26" s="1526" t="n">
        <v>1</v>
      </c>
      <c r="J26" s="1504"/>
      <c r="K26" s="1504"/>
      <c r="L26" s="1504"/>
      <c r="M26" s="1504"/>
      <c r="N26" s="1504"/>
      <c r="O26" s="1504"/>
    </row>
    <row r="27" customFormat="false" ht="12.75" hidden="false" customHeight="true" outlineLevel="0" collapsed="false">
      <c r="A27" s="1523" t="s">
        <v>396</v>
      </c>
      <c r="B27" s="1527"/>
      <c r="C27" s="1525" t="n">
        <v>130</v>
      </c>
      <c r="D27" s="1525" t="n">
        <v>0</v>
      </c>
      <c r="E27" s="1525" t="n">
        <v>440</v>
      </c>
      <c r="F27" s="738" t="n">
        <f aca="false">($B27)*C27</f>
        <v>0</v>
      </c>
      <c r="G27" s="738" t="n">
        <f aca="false">($B27)*D27</f>
        <v>0</v>
      </c>
      <c r="H27" s="738" t="n">
        <f aca="false">($B27)*E27</f>
        <v>0</v>
      </c>
      <c r="I27" s="1526" t="n">
        <v>1</v>
      </c>
      <c r="J27" s="1504"/>
      <c r="K27" s="1504"/>
      <c r="L27" s="1504"/>
      <c r="M27" s="1504"/>
      <c r="N27" s="1504"/>
      <c r="O27" s="1504"/>
    </row>
    <row r="28" customFormat="false" ht="25.5" hidden="false" customHeight="true" outlineLevel="0" collapsed="false">
      <c r="A28" s="1523" t="s">
        <v>397</v>
      </c>
      <c r="B28" s="1527"/>
      <c r="C28" s="1525" t="n">
        <v>180</v>
      </c>
      <c r="D28" s="1525" t="n">
        <v>460</v>
      </c>
      <c r="E28" s="1525" t="n">
        <v>0</v>
      </c>
      <c r="F28" s="738" t="n">
        <f aca="false">($B28)*C28</f>
        <v>0</v>
      </c>
      <c r="G28" s="738" t="n">
        <f aca="false">($B28)*D28</f>
        <v>0</v>
      </c>
      <c r="H28" s="738" t="n">
        <f aca="false">($B28)*E28</f>
        <v>0</v>
      </c>
      <c r="I28" s="1526" t="s">
        <v>1828</v>
      </c>
      <c r="J28" s="1504"/>
      <c r="K28" s="1504"/>
      <c r="L28" s="1504"/>
      <c r="M28" s="1504"/>
      <c r="N28" s="1504"/>
      <c r="O28" s="1504"/>
    </row>
    <row r="29" customFormat="false" ht="12.75" hidden="false" customHeight="true" outlineLevel="0" collapsed="false">
      <c r="A29" s="1523" t="s">
        <v>398</v>
      </c>
      <c r="B29" s="1527"/>
      <c r="C29" s="1525" t="n">
        <v>110</v>
      </c>
      <c r="D29" s="1525" t="n">
        <v>60</v>
      </c>
      <c r="E29" s="1525" t="n">
        <v>20</v>
      </c>
      <c r="F29" s="738" t="n">
        <f aca="false">($B29)*C29</f>
        <v>0</v>
      </c>
      <c r="G29" s="738" t="n">
        <f aca="false">($B29)*D29</f>
        <v>0</v>
      </c>
      <c r="H29" s="738" t="n">
        <f aca="false">($B29)*E29</f>
        <v>0</v>
      </c>
      <c r="I29" s="1526" t="n">
        <v>0</v>
      </c>
      <c r="J29" s="1504"/>
      <c r="K29" s="1504"/>
      <c r="L29" s="1504"/>
      <c r="M29" s="1504"/>
      <c r="N29" s="1504"/>
      <c r="O29" s="1504"/>
    </row>
    <row r="30" customFormat="false" ht="12.75" hidden="false" customHeight="true" outlineLevel="0" collapsed="false">
      <c r="A30" s="1523" t="s">
        <v>399</v>
      </c>
      <c r="B30" s="1527"/>
      <c r="C30" s="1525" t="n">
        <v>100</v>
      </c>
      <c r="D30" s="1525" t="n">
        <v>10</v>
      </c>
      <c r="E30" s="1525" t="n">
        <v>50</v>
      </c>
      <c r="F30" s="738" t="n">
        <f aca="false">($B30)*C30</f>
        <v>0</v>
      </c>
      <c r="G30" s="738" t="n">
        <f aca="false">($B30)*D30</f>
        <v>0</v>
      </c>
      <c r="H30" s="738" t="n">
        <f aca="false">($B30)*E30</f>
        <v>0</v>
      </c>
      <c r="I30" s="1526" t="n">
        <v>0</v>
      </c>
      <c r="J30" s="1504"/>
      <c r="K30" s="1504"/>
      <c r="L30" s="1504"/>
      <c r="M30" s="1504"/>
      <c r="N30" s="1504"/>
      <c r="O30" s="1504"/>
    </row>
    <row r="31" customFormat="false" ht="12.75" hidden="false" customHeight="true" outlineLevel="0" collapsed="false">
      <c r="A31" s="1523" t="s">
        <v>400</v>
      </c>
      <c r="B31" s="1527"/>
      <c r="C31" s="1525" t="n">
        <v>5</v>
      </c>
      <c r="D31" s="1525" t="n">
        <v>4</v>
      </c>
      <c r="E31" s="1525" t="n">
        <v>4.5</v>
      </c>
      <c r="F31" s="738" t="n">
        <f aca="false">($B31)*C31</f>
        <v>0</v>
      </c>
      <c r="G31" s="738" t="n">
        <f aca="false">($B31)*D31</f>
        <v>0</v>
      </c>
      <c r="H31" s="738" t="n">
        <f aca="false">($B31)*E31</f>
        <v>0</v>
      </c>
      <c r="I31" s="1526" t="n">
        <v>1</v>
      </c>
      <c r="J31" s="1504"/>
      <c r="K31" s="1504"/>
      <c r="L31" s="1504"/>
      <c r="M31" s="1504"/>
      <c r="N31" s="1504"/>
      <c r="O31" s="1504"/>
    </row>
    <row r="32" customFormat="false" ht="25.5" hidden="false" customHeight="true" outlineLevel="0" collapsed="false">
      <c r="A32" s="1523" t="s">
        <v>401</v>
      </c>
      <c r="B32" s="1527"/>
      <c r="C32" s="1525" t="n">
        <v>140</v>
      </c>
      <c r="D32" s="1525" t="n">
        <v>80</v>
      </c>
      <c r="E32" s="1525" t="n">
        <v>200</v>
      </c>
      <c r="F32" s="738" t="n">
        <f aca="false">($B32)*C32</f>
        <v>0</v>
      </c>
      <c r="G32" s="738" t="n">
        <f aca="false">($B32)*D32</f>
        <v>0</v>
      </c>
      <c r="H32" s="738" t="n">
        <f aca="false">($B32)*E32</f>
        <v>0</v>
      </c>
      <c r="I32" s="1526" t="s">
        <v>1828</v>
      </c>
      <c r="J32" s="1504"/>
      <c r="K32" s="1504"/>
      <c r="L32" s="1504"/>
      <c r="M32" s="1504"/>
      <c r="N32" s="1504"/>
      <c r="O32" s="1504"/>
    </row>
    <row r="33" customFormat="false" ht="12.75" hidden="false" customHeight="true" outlineLevel="0" collapsed="false">
      <c r="A33" s="1523" t="s">
        <v>402</v>
      </c>
      <c r="B33" s="1527"/>
      <c r="C33" s="1525" t="n">
        <v>100</v>
      </c>
      <c r="D33" s="1525" t="n">
        <v>40</v>
      </c>
      <c r="E33" s="1525" t="n">
        <v>20</v>
      </c>
      <c r="F33" s="738" t="n">
        <f aca="false">($B33)*C33</f>
        <v>0</v>
      </c>
      <c r="G33" s="738" t="n">
        <f aca="false">($B33)*D33</f>
        <v>0</v>
      </c>
      <c r="H33" s="738" t="n">
        <f aca="false">($B33)*E33</f>
        <v>0</v>
      </c>
      <c r="I33" s="1526" t="n">
        <v>0</v>
      </c>
      <c r="J33" s="1504"/>
      <c r="K33" s="1504"/>
      <c r="L33" s="1504"/>
      <c r="M33" s="1504"/>
      <c r="N33" s="1504"/>
      <c r="O33" s="1504"/>
    </row>
    <row r="34" customFormat="false" ht="12.75" hidden="false" customHeight="true" outlineLevel="0" collapsed="false">
      <c r="A34" s="1523" t="s">
        <v>403</v>
      </c>
      <c r="B34" s="1527"/>
      <c r="C34" s="1525" t="n">
        <v>0</v>
      </c>
      <c r="D34" s="1525" t="n">
        <v>180</v>
      </c>
      <c r="E34" s="1525" t="n">
        <v>0</v>
      </c>
      <c r="F34" s="738" t="n">
        <f aca="false">($B34)*C34</f>
        <v>0</v>
      </c>
      <c r="G34" s="738" t="n">
        <f aca="false">($B34)*D34</f>
        <v>0</v>
      </c>
      <c r="H34" s="738" t="n">
        <f aca="false">($B34)*E34</f>
        <v>0</v>
      </c>
      <c r="I34" s="1526" t="n">
        <v>0</v>
      </c>
      <c r="J34" s="1504"/>
      <c r="K34" s="1504"/>
      <c r="L34" s="1504"/>
      <c r="M34" s="1504"/>
      <c r="N34" s="1504"/>
      <c r="O34" s="1504"/>
    </row>
    <row r="35" customFormat="false" ht="12.75" hidden="false" customHeight="true" outlineLevel="0" collapsed="false">
      <c r="A35" s="1523" t="s">
        <v>404</v>
      </c>
      <c r="B35" s="1527"/>
      <c r="C35" s="1525" t="n">
        <v>0</v>
      </c>
      <c r="D35" s="1525" t="n">
        <v>180</v>
      </c>
      <c r="E35" s="1525" t="n">
        <v>0</v>
      </c>
      <c r="F35" s="738" t="n">
        <f aca="false">($B35)*C35</f>
        <v>0</v>
      </c>
      <c r="G35" s="738" t="n">
        <f aca="false">($B35)*D35</f>
        <v>0</v>
      </c>
      <c r="H35" s="738" t="n">
        <f aca="false">($B35)*E35</f>
        <v>0</v>
      </c>
      <c r="I35" s="1526" t="s">
        <v>1828</v>
      </c>
      <c r="J35" s="1504"/>
      <c r="K35" s="1504"/>
      <c r="L35" s="1504"/>
      <c r="M35" s="1504"/>
      <c r="N35" s="1504"/>
      <c r="O35" s="1504"/>
    </row>
    <row r="36" customFormat="false" ht="12.75" hidden="false" customHeight="true" outlineLevel="0" collapsed="false">
      <c r="A36" s="1523" t="s">
        <v>405</v>
      </c>
      <c r="B36" s="1527"/>
      <c r="C36" s="1525" t="n">
        <v>0</v>
      </c>
      <c r="D36" s="1525" t="n">
        <v>450</v>
      </c>
      <c r="E36" s="1525" t="n">
        <v>0</v>
      </c>
      <c r="F36" s="738" t="n">
        <f aca="false">($B36)*C36</f>
        <v>0</v>
      </c>
      <c r="G36" s="738" t="n">
        <f aca="false">($B36)*D36</f>
        <v>0</v>
      </c>
      <c r="H36" s="738" t="n">
        <f aca="false">($B36)*E36</f>
        <v>0</v>
      </c>
      <c r="I36" s="1526" t="s">
        <v>1828</v>
      </c>
      <c r="J36" s="1504"/>
      <c r="K36" s="1504"/>
      <c r="L36" s="1504"/>
      <c r="M36" s="1504"/>
      <c r="N36" s="1504"/>
      <c r="O36" s="1504"/>
    </row>
    <row r="37" customFormat="false" ht="12.75" hidden="false" customHeight="true" outlineLevel="0" collapsed="false">
      <c r="A37" s="1523" t="s">
        <v>409</v>
      </c>
      <c r="B37" s="1527"/>
      <c r="C37" s="1525" t="n">
        <v>0</v>
      </c>
      <c r="D37" s="1525" t="n">
        <v>150</v>
      </c>
      <c r="E37" s="1525" t="n">
        <v>250</v>
      </c>
      <c r="F37" s="738" t="n">
        <f aca="false">($B37)*C37</f>
        <v>0</v>
      </c>
      <c r="G37" s="738" t="n">
        <f aca="false">($B37)*D37</f>
        <v>0</v>
      </c>
      <c r="H37" s="738" t="n">
        <f aca="false">($B37)*E37</f>
        <v>0</v>
      </c>
      <c r="I37" s="1526" t="s">
        <v>1828</v>
      </c>
      <c r="J37" s="1504"/>
      <c r="K37" s="1504"/>
      <c r="L37" s="1504"/>
      <c r="M37" s="1504"/>
      <c r="N37" s="1504"/>
      <c r="O37" s="1504"/>
    </row>
    <row r="38" customFormat="false" ht="12.75" hidden="false" customHeight="true" outlineLevel="0" collapsed="false">
      <c r="A38" s="1523" t="s">
        <v>411</v>
      </c>
      <c r="B38" s="1527"/>
      <c r="C38" s="1525" t="n">
        <v>9</v>
      </c>
      <c r="D38" s="1525" t="n">
        <v>0</v>
      </c>
      <c r="E38" s="1525" t="n">
        <v>0</v>
      </c>
      <c r="F38" s="738" t="n">
        <f aca="false">($B38)*C38</f>
        <v>0</v>
      </c>
      <c r="G38" s="738" t="n">
        <f aca="false">($B38)*D38</f>
        <v>0</v>
      </c>
      <c r="H38" s="738" t="n">
        <f aca="false">($B38)*E38</f>
        <v>0</v>
      </c>
      <c r="I38" s="1526" t="n">
        <v>0</v>
      </c>
      <c r="J38" s="1504"/>
      <c r="K38" s="1504"/>
      <c r="L38" s="1504"/>
      <c r="M38" s="1504"/>
      <c r="N38" s="1504"/>
      <c r="O38" s="1504"/>
    </row>
    <row r="39" customFormat="false" ht="12.75" hidden="false" customHeight="true" outlineLevel="0" collapsed="false">
      <c r="A39" s="1528" t="s">
        <v>1830</v>
      </c>
      <c r="B39" s="1527" t="n">
        <f aca="false">0.24*39</f>
        <v>9.36</v>
      </c>
      <c r="C39" s="1527" t="n">
        <v>120</v>
      </c>
      <c r="D39" s="1527" t="n">
        <v>240</v>
      </c>
      <c r="E39" s="1527" t="n">
        <v>120</v>
      </c>
      <c r="F39" s="738" t="n">
        <f aca="false">($B39)*C39</f>
        <v>1123.2</v>
      </c>
      <c r="G39" s="738" t="n">
        <f aca="false">($B39)*D39</f>
        <v>2246.4</v>
      </c>
      <c r="H39" s="738" t="n">
        <f aca="false">($B39)*E39</f>
        <v>1123.2</v>
      </c>
      <c r="I39" s="1526" t="s">
        <v>697</v>
      </c>
      <c r="J39" s="1504"/>
      <c r="K39" s="1504"/>
      <c r="L39" s="1504"/>
      <c r="M39" s="1504"/>
      <c r="N39" s="1504"/>
      <c r="O39" s="1504"/>
    </row>
    <row r="40" customFormat="false" ht="12.75" hidden="false" customHeight="true" outlineLevel="0" collapsed="false">
      <c r="A40" s="1528" t="s">
        <v>1831</v>
      </c>
      <c r="B40" s="1527" t="n">
        <f aca="false">0.23*30</f>
        <v>6.9</v>
      </c>
      <c r="C40" s="1527"/>
      <c r="D40" s="1527"/>
      <c r="E40" s="1527" t="n">
        <v>400</v>
      </c>
      <c r="F40" s="738" t="n">
        <f aca="false">($B40)*C40</f>
        <v>0</v>
      </c>
      <c r="G40" s="738" t="n">
        <f aca="false">($B40)*D40</f>
        <v>0</v>
      </c>
      <c r="H40" s="738" t="n">
        <f aca="false">($B40)*E40</f>
        <v>2760</v>
      </c>
      <c r="I40" s="1526" t="s">
        <v>697</v>
      </c>
      <c r="J40" s="1504"/>
      <c r="K40" s="1504"/>
      <c r="L40" s="1504"/>
      <c r="M40" s="1504"/>
      <c r="N40" s="1504"/>
      <c r="O40" s="1504"/>
    </row>
    <row r="41" customFormat="false" ht="12.75" hidden="false" customHeight="true" outlineLevel="0" collapsed="false">
      <c r="A41" s="1528" t="s">
        <v>1136</v>
      </c>
      <c r="B41" s="1527"/>
      <c r="C41" s="1527"/>
      <c r="D41" s="1527"/>
      <c r="E41" s="1527"/>
      <c r="F41" s="738" t="n">
        <f aca="false">($B41)*C41</f>
        <v>0</v>
      </c>
      <c r="G41" s="738" t="n">
        <f aca="false">($B41)*D41</f>
        <v>0</v>
      </c>
      <c r="H41" s="738" t="n">
        <f aca="false">($B41)*E41</f>
        <v>0</v>
      </c>
      <c r="I41" s="1526" t="s">
        <v>697</v>
      </c>
      <c r="J41" s="1504"/>
      <c r="K41" s="1504"/>
      <c r="L41" s="1504"/>
      <c r="M41" s="1504"/>
      <c r="N41" s="1504"/>
      <c r="O41" s="1504"/>
    </row>
    <row r="42" customFormat="false" ht="12.75" hidden="false" customHeight="true" outlineLevel="0" collapsed="false">
      <c r="A42" s="982"/>
      <c r="B42" s="1529"/>
      <c r="C42" s="1530"/>
      <c r="D42" s="1530"/>
      <c r="E42" s="1530"/>
      <c r="F42" s="1531" t="s">
        <v>406</v>
      </c>
      <c r="G42" s="1531" t="s">
        <v>407</v>
      </c>
      <c r="H42" s="1531" t="s">
        <v>408</v>
      </c>
      <c r="I42" s="1502"/>
      <c r="J42" s="1502"/>
      <c r="K42" s="1504"/>
      <c r="L42" s="1504"/>
      <c r="M42" s="1504"/>
      <c r="N42" s="1504"/>
      <c r="O42" s="1504"/>
    </row>
    <row r="43" customFormat="false" ht="12.75" hidden="false" customHeight="true" outlineLevel="0" collapsed="false">
      <c r="A43" s="982"/>
      <c r="B43" s="1529"/>
      <c r="C43" s="1504"/>
      <c r="D43" s="1532" t="s">
        <v>1832</v>
      </c>
      <c r="E43" s="1533" t="s">
        <v>551</v>
      </c>
      <c r="F43" s="738" t="n">
        <f aca="false">SUM(F15:F41)</f>
        <v>12319.2</v>
      </c>
      <c r="G43" s="738" t="n">
        <f aca="false">SUM(G15:G41)</f>
        <v>2246.4</v>
      </c>
      <c r="H43" s="738" t="n">
        <f aca="false">SUM(H15:H41)</f>
        <v>11335.2</v>
      </c>
      <c r="I43" s="1502"/>
      <c r="J43" s="1502"/>
      <c r="K43" s="1504"/>
      <c r="L43" s="1504"/>
      <c r="M43" s="1504"/>
      <c r="N43" s="1504"/>
      <c r="O43" s="1504"/>
    </row>
    <row r="44" customFormat="false" ht="12.75" hidden="false" customHeight="true" outlineLevel="0" collapsed="false">
      <c r="A44" s="982"/>
      <c r="B44" s="1529"/>
      <c r="C44" s="1504"/>
      <c r="D44" s="1534" t="s">
        <v>1833</v>
      </c>
      <c r="E44" s="1534"/>
      <c r="F44" s="1535" t="n">
        <v>1</v>
      </c>
      <c r="G44" s="1535" t="n">
        <v>0.437</v>
      </c>
      <c r="H44" s="1535" t="n">
        <v>0.83</v>
      </c>
      <c r="I44" s="1502"/>
      <c r="J44" s="1502"/>
      <c r="K44" s="1504"/>
      <c r="L44" s="1504"/>
      <c r="M44" s="1504"/>
      <c r="N44" s="1504"/>
      <c r="O44" s="1504"/>
    </row>
    <row r="45" customFormat="false" ht="12.75" hidden="false" customHeight="true" outlineLevel="0" collapsed="false">
      <c r="A45" s="982"/>
      <c r="B45" s="1529"/>
      <c r="C45" s="1504"/>
      <c r="D45" s="1536"/>
      <c r="E45" s="1537"/>
      <c r="F45" s="1531" t="s">
        <v>406</v>
      </c>
      <c r="G45" s="1531" t="s">
        <v>1834</v>
      </c>
      <c r="H45" s="1531" t="s">
        <v>1835</v>
      </c>
      <c r="I45" s="1502"/>
      <c r="J45" s="1502"/>
      <c r="K45" s="1504"/>
      <c r="L45" s="1504"/>
      <c r="M45" s="1504"/>
      <c r="N45" s="1504"/>
      <c r="O45" s="1504"/>
    </row>
    <row r="46" customFormat="false" ht="27.4" hidden="false" customHeight="true" outlineLevel="0" collapsed="false">
      <c r="A46" s="982"/>
      <c r="B46" s="1529"/>
      <c r="C46" s="924" t="s">
        <v>1836</v>
      </c>
      <c r="D46" s="924"/>
      <c r="E46" s="1533" t="s">
        <v>551</v>
      </c>
      <c r="F46" s="822" t="n">
        <f aca="false">(F43)*F44</f>
        <v>12319.2</v>
      </c>
      <c r="G46" s="1211" t="n">
        <f aca="false">(G43)*G44</f>
        <v>981.6768</v>
      </c>
      <c r="H46" s="1211" t="n">
        <f aca="false">(H43)*H44</f>
        <v>9408.216</v>
      </c>
      <c r="I46" s="1502"/>
      <c r="J46" s="1502"/>
      <c r="K46" s="1504"/>
      <c r="L46" s="1504"/>
      <c r="M46" s="1504"/>
      <c r="N46" s="1504"/>
      <c r="O46" s="1504"/>
    </row>
    <row r="47" customFormat="false" ht="12.75" hidden="false" customHeight="true" outlineLevel="0" collapsed="false">
      <c r="A47" s="982"/>
      <c r="B47" s="1529"/>
      <c r="C47" s="1530"/>
      <c r="D47" s="1538"/>
      <c r="E47" s="1538"/>
      <c r="F47" s="1538"/>
      <c r="G47" s="1538"/>
      <c r="H47" s="1538"/>
      <c r="I47" s="1502"/>
      <c r="J47" s="1502"/>
      <c r="K47" s="1502"/>
      <c r="L47" s="1502"/>
      <c r="M47" s="1504"/>
      <c r="N47" s="1504"/>
      <c r="O47" s="1504"/>
    </row>
    <row r="48" customFormat="false" ht="12.75" hidden="false" customHeight="true" outlineLevel="0" collapsed="false">
      <c r="A48" s="982"/>
      <c r="B48" s="1529"/>
      <c r="C48" s="1530"/>
      <c r="D48" s="1538"/>
      <c r="E48" s="1538"/>
      <c r="F48" s="1538"/>
      <c r="G48" s="1538"/>
      <c r="H48" s="1538"/>
      <c r="I48" s="1502"/>
      <c r="J48" s="1502"/>
      <c r="K48" s="1502"/>
      <c r="L48" s="1502"/>
      <c r="M48" s="1504"/>
      <c r="N48" s="1504"/>
      <c r="O48" s="1504"/>
    </row>
    <row r="49" customFormat="false" ht="20.25" hidden="false" customHeight="true" outlineLevel="0" collapsed="false">
      <c r="A49" s="1511" t="s">
        <v>1837</v>
      </c>
      <c r="B49" s="1511"/>
      <c r="C49" s="1511"/>
      <c r="D49" s="1511"/>
      <c r="E49" s="1511"/>
      <c r="F49" s="1511"/>
      <c r="G49" s="1511"/>
      <c r="H49" s="1511"/>
      <c r="I49" s="1511"/>
      <c r="J49" s="1502"/>
      <c r="K49" s="1502"/>
      <c r="L49" s="1502"/>
      <c r="M49" s="1504"/>
      <c r="N49" s="1504"/>
      <c r="O49" s="1504"/>
    </row>
    <row r="50" customFormat="false" ht="20.25" hidden="false" customHeight="true" outlineLevel="0" collapsed="false">
      <c r="A50" s="1513"/>
      <c r="B50" s="1512"/>
      <c r="C50" s="1512"/>
      <c r="D50" s="1512"/>
      <c r="E50" s="1512"/>
      <c r="F50" s="1512"/>
      <c r="G50" s="1512"/>
      <c r="H50" s="1512"/>
      <c r="I50" s="1502"/>
      <c r="J50" s="1502"/>
      <c r="K50" s="1502"/>
      <c r="L50" s="1502"/>
      <c r="M50" s="1504"/>
      <c r="N50" s="1504"/>
      <c r="O50" s="1504"/>
    </row>
    <row r="51" customFormat="false" ht="12.75" hidden="false" customHeight="true" outlineLevel="0" collapsed="false">
      <c r="A51" s="1539" t="s">
        <v>1838</v>
      </c>
      <c r="B51" s="1540"/>
      <c r="C51" s="1540"/>
      <c r="D51" s="1540"/>
      <c r="E51" s="1540"/>
      <c r="F51" s="1540"/>
      <c r="G51" s="1541"/>
      <c r="H51" s="1502"/>
      <c r="I51" s="1502"/>
      <c r="J51" s="1502"/>
      <c r="K51" s="1502"/>
      <c r="L51" s="1502"/>
      <c r="M51" s="1504"/>
      <c r="N51" s="1504"/>
      <c r="O51" s="1504"/>
    </row>
    <row r="52" customFormat="false" ht="25.5" hidden="false" customHeight="true" outlineLevel="0" collapsed="false">
      <c r="B52" s="1542" t="s">
        <v>416</v>
      </c>
      <c r="C52" s="1516" t="s">
        <v>1091</v>
      </c>
      <c r="D52" s="1516" t="s">
        <v>406</v>
      </c>
      <c r="E52" s="924" t="s">
        <v>406</v>
      </c>
      <c r="F52" s="1543" t="s">
        <v>1827</v>
      </c>
      <c r="G52" s="1504"/>
      <c r="H52" s="1504"/>
      <c r="I52" s="1504"/>
      <c r="J52" s="1504"/>
      <c r="K52" s="1504"/>
      <c r="L52" s="1504"/>
      <c r="M52" s="1504"/>
      <c r="N52" s="1504"/>
      <c r="O52" s="1504"/>
    </row>
    <row r="53" customFormat="false" ht="25.5" hidden="false" customHeight="true" outlineLevel="0" collapsed="false">
      <c r="B53" s="1544"/>
      <c r="C53" s="1545" t="s">
        <v>1839</v>
      </c>
      <c r="D53" s="1545" t="s">
        <v>1840</v>
      </c>
      <c r="E53" s="1546" t="s">
        <v>1223</v>
      </c>
      <c r="F53" s="1522"/>
      <c r="G53" s="1504"/>
      <c r="H53" s="1504"/>
      <c r="I53" s="1504"/>
      <c r="J53" s="1504"/>
      <c r="K53" s="1504"/>
      <c r="L53" s="1504"/>
      <c r="M53" s="1504"/>
      <c r="N53" s="1504"/>
      <c r="O53" s="1504"/>
    </row>
    <row r="54" customFormat="false" ht="25.5" hidden="false" customHeight="true" outlineLevel="0" collapsed="false">
      <c r="A54" s="1532" t="s">
        <v>1841</v>
      </c>
      <c r="B54" s="1523" t="s">
        <v>418</v>
      </c>
      <c r="C54" s="1547" t="n">
        <v>0</v>
      </c>
      <c r="D54" s="1525" t="n">
        <v>5.8</v>
      </c>
      <c r="E54" s="1548" t="n">
        <f aca="false">C54*D54</f>
        <v>0</v>
      </c>
      <c r="F54" s="1526" t="n">
        <v>7</v>
      </c>
      <c r="G54" s="1504"/>
      <c r="H54" s="1504"/>
      <c r="I54" s="1504"/>
      <c r="J54" s="1504"/>
      <c r="K54" s="1504"/>
      <c r="L54" s="1504"/>
      <c r="M54" s="1504"/>
      <c r="N54" s="1504"/>
      <c r="O54" s="1504"/>
    </row>
    <row r="55" customFormat="false" ht="12.75" hidden="false" customHeight="true" outlineLevel="0" collapsed="false">
      <c r="A55" s="1532"/>
      <c r="B55" s="1523" t="s">
        <v>419</v>
      </c>
      <c r="C55" s="1547" t="n">
        <f aca="false">'Saisie et Calculateur'!D337</f>
        <v>0</v>
      </c>
      <c r="D55" s="1525" t="n">
        <v>5</v>
      </c>
      <c r="E55" s="1548" t="n">
        <f aca="false">C55*D55</f>
        <v>0</v>
      </c>
      <c r="F55" s="1526" t="n">
        <v>7</v>
      </c>
      <c r="G55" s="1504"/>
      <c r="H55" s="1504"/>
      <c r="I55" s="1504"/>
      <c r="J55" s="1504"/>
      <c r="K55" s="1504"/>
      <c r="L55" s="1504"/>
      <c r="M55" s="1504"/>
      <c r="N55" s="1504"/>
      <c r="O55" s="1504"/>
    </row>
    <row r="56" customFormat="false" ht="12.75" hidden="false" customHeight="true" outlineLevel="0" collapsed="false">
      <c r="A56" s="1532"/>
      <c r="B56" s="1523" t="s">
        <v>420</v>
      </c>
      <c r="C56" s="1547" t="n">
        <f aca="false">'Saisie et Calculateur'!D338</f>
        <v>0</v>
      </c>
      <c r="D56" s="1525" t="n">
        <v>5.1</v>
      </c>
      <c r="E56" s="1548" t="n">
        <f aca="false">C56*D56</f>
        <v>0</v>
      </c>
      <c r="F56" s="1526" t="n">
        <v>7</v>
      </c>
      <c r="G56" s="1504"/>
      <c r="H56" s="1504"/>
      <c r="I56" s="1504"/>
      <c r="J56" s="1504"/>
      <c r="K56" s="1504"/>
      <c r="L56" s="1504"/>
      <c r="M56" s="1504"/>
      <c r="N56" s="1504"/>
      <c r="O56" s="1504"/>
    </row>
    <row r="57" customFormat="false" ht="12.75" hidden="false" customHeight="true" outlineLevel="0" collapsed="false">
      <c r="A57" s="1532"/>
      <c r="B57" s="1523" t="s">
        <v>421</v>
      </c>
      <c r="C57" s="1547" t="n">
        <f aca="false">'Saisie et Calculateur'!D339</f>
        <v>0</v>
      </c>
      <c r="D57" s="1525" t="n">
        <v>5.2</v>
      </c>
      <c r="E57" s="1548" t="n">
        <f aca="false">C57*D57</f>
        <v>0</v>
      </c>
      <c r="F57" s="1526" t="n">
        <v>7</v>
      </c>
      <c r="G57" s="1504"/>
      <c r="H57" s="1504"/>
      <c r="I57" s="1504"/>
      <c r="J57" s="1504"/>
      <c r="K57" s="1504"/>
      <c r="L57" s="1504"/>
      <c r="M57" s="1504"/>
      <c r="N57" s="1504"/>
      <c r="O57" s="1504"/>
    </row>
    <row r="58" customFormat="false" ht="12.75" hidden="false" customHeight="true" outlineLevel="0" collapsed="false">
      <c r="A58" s="1532"/>
      <c r="B58" s="1523" t="s">
        <v>422</v>
      </c>
      <c r="C58" s="1547" t="n">
        <f aca="false">'Saisie et Calculateur'!D340</f>
        <v>0</v>
      </c>
      <c r="D58" s="1525" t="n">
        <v>3.5</v>
      </c>
      <c r="E58" s="1548" t="n">
        <f aca="false">C58*D58</f>
        <v>0</v>
      </c>
      <c r="F58" s="1526" t="n">
        <v>7</v>
      </c>
      <c r="G58" s="1504"/>
      <c r="H58" s="1504"/>
      <c r="I58" s="1504"/>
      <c r="J58" s="1504"/>
      <c r="K58" s="1504"/>
      <c r="L58" s="1504"/>
      <c r="M58" s="1504"/>
      <c r="N58" s="1504"/>
      <c r="O58" s="1504"/>
    </row>
    <row r="59" customFormat="false" ht="12.75" hidden="false" customHeight="true" outlineLevel="0" collapsed="false">
      <c r="A59" s="1532"/>
      <c r="B59" s="1523" t="s">
        <v>423</v>
      </c>
      <c r="C59" s="1547" t="n">
        <f aca="false">'Saisie et Calculateur'!D341</f>
        <v>0</v>
      </c>
      <c r="D59" s="1525" t="n">
        <v>2.7</v>
      </c>
      <c r="E59" s="1548" t="n">
        <f aca="false">C59*D59</f>
        <v>0</v>
      </c>
      <c r="F59" s="1526" t="n">
        <v>7</v>
      </c>
      <c r="G59" s="1504"/>
      <c r="H59" s="1504"/>
      <c r="I59" s="1504"/>
      <c r="J59" s="1504"/>
      <c r="K59" s="1504"/>
      <c r="L59" s="1504"/>
      <c r="M59" s="1504"/>
      <c r="N59" s="1504"/>
      <c r="O59" s="1504"/>
    </row>
    <row r="60" customFormat="false" ht="12.75" hidden="false" customHeight="true" outlineLevel="0" collapsed="false">
      <c r="A60" s="1532"/>
      <c r="B60" s="1523" t="s">
        <v>424</v>
      </c>
      <c r="C60" s="1547" t="n">
        <f aca="false">'Saisie et Calculateur'!D342</f>
        <v>0</v>
      </c>
      <c r="D60" s="1525" t="n">
        <v>1.6</v>
      </c>
      <c r="E60" s="1548" t="n">
        <f aca="false">C60*D60</f>
        <v>0</v>
      </c>
      <c r="F60" s="1526" t="n">
        <v>7</v>
      </c>
      <c r="G60" s="1504"/>
      <c r="H60" s="1504"/>
      <c r="I60" s="1504"/>
      <c r="J60" s="1504"/>
      <c r="K60" s="1504"/>
      <c r="L60" s="1504"/>
      <c r="M60" s="1504"/>
      <c r="N60" s="1504"/>
      <c r="O60" s="1504"/>
    </row>
    <row r="61" customFormat="false" ht="12.75" hidden="false" customHeight="true" outlineLevel="0" collapsed="false">
      <c r="A61" s="1532"/>
      <c r="B61" s="1523" t="s">
        <v>425</v>
      </c>
      <c r="C61" s="1547" t="n">
        <f aca="false">'Saisie et Calculateur'!D343</f>
        <v>0</v>
      </c>
      <c r="D61" s="1525" t="n">
        <v>3</v>
      </c>
      <c r="E61" s="1548" t="n">
        <f aca="false">C61*D61</f>
        <v>0</v>
      </c>
      <c r="F61" s="1526" t="n">
        <v>7</v>
      </c>
      <c r="G61" s="1504"/>
      <c r="H61" s="1504"/>
      <c r="I61" s="1504"/>
      <c r="J61" s="1504"/>
      <c r="K61" s="1504"/>
      <c r="L61" s="1504"/>
      <c r="M61" s="1504"/>
      <c r="N61" s="1504"/>
      <c r="O61" s="1504"/>
    </row>
    <row r="62" customFormat="false" ht="25.5" hidden="false" customHeight="true" outlineLevel="0" collapsed="false">
      <c r="A62" s="1532"/>
      <c r="B62" s="1523" t="s">
        <v>426</v>
      </c>
      <c r="C62" s="1547" t="n">
        <f aca="false">'Saisie et Calculateur'!D342</f>
        <v>0</v>
      </c>
      <c r="D62" s="1525" t="n">
        <v>0.4</v>
      </c>
      <c r="E62" s="1548" t="n">
        <f aca="false">C62*D62</f>
        <v>0</v>
      </c>
      <c r="F62" s="1526" t="n">
        <v>7</v>
      </c>
      <c r="G62" s="1504"/>
      <c r="H62" s="1504"/>
      <c r="I62" s="1504"/>
      <c r="J62" s="1504"/>
      <c r="K62" s="1504"/>
      <c r="L62" s="1504"/>
      <c r="M62" s="1504"/>
      <c r="N62" s="1504"/>
      <c r="O62" s="1504"/>
    </row>
    <row r="63" customFormat="false" ht="22.9" hidden="false" customHeight="true" outlineLevel="0" collapsed="false">
      <c r="A63" s="1532"/>
      <c r="B63" s="1523" t="s">
        <v>443</v>
      </c>
      <c r="C63" s="1547" t="n">
        <f aca="false">'Saisie et Calculateur'!D362</f>
        <v>0</v>
      </c>
      <c r="D63" s="1525" t="n">
        <v>6.5</v>
      </c>
      <c r="E63" s="1548" t="n">
        <f aca="false">C63*D63</f>
        <v>0</v>
      </c>
      <c r="F63" s="1526" t="n">
        <v>0</v>
      </c>
      <c r="G63" s="1504"/>
      <c r="H63" s="1504"/>
      <c r="I63" s="1504"/>
      <c r="J63" s="1504"/>
      <c r="K63" s="1504"/>
      <c r="L63" s="1504"/>
      <c r="M63" s="1504"/>
      <c r="N63" s="1504"/>
      <c r="O63" s="1504"/>
    </row>
    <row r="64" customFormat="false" ht="12.75" hidden="false" customHeight="true" outlineLevel="0" collapsed="false">
      <c r="A64" s="1532" t="s">
        <v>1842</v>
      </c>
      <c r="B64" s="1549" t="s">
        <v>1843</v>
      </c>
      <c r="C64" s="1550" t="n">
        <v>0</v>
      </c>
      <c r="D64" s="1551"/>
      <c r="E64" s="1552" t="n">
        <f aca="false">C64*D64</f>
        <v>0</v>
      </c>
      <c r="F64" s="1553"/>
      <c r="G64" s="1504"/>
      <c r="H64" s="1504"/>
      <c r="I64" s="1504"/>
      <c r="J64" s="1504"/>
      <c r="K64" s="1504"/>
      <c r="L64" s="1504"/>
      <c r="M64" s="1504"/>
      <c r="N64" s="1504"/>
      <c r="O64" s="1504"/>
    </row>
    <row r="65" customFormat="false" ht="13.15" hidden="false" customHeight="true" outlineLevel="0" collapsed="false">
      <c r="A65" s="1532" t="s">
        <v>1844</v>
      </c>
      <c r="B65" s="1549" t="s">
        <v>1845</v>
      </c>
      <c r="C65" s="1550" t="n">
        <f aca="false">'Saisie et Calculateur'!D344</f>
        <v>0</v>
      </c>
      <c r="D65" s="1551"/>
      <c r="E65" s="1552" t="n">
        <f aca="false">C65*D65</f>
        <v>0</v>
      </c>
      <c r="F65" s="1553"/>
      <c r="G65" s="1504"/>
      <c r="H65" s="1504"/>
      <c r="I65" s="1504"/>
      <c r="J65" s="1504"/>
      <c r="K65" s="1504"/>
      <c r="L65" s="1504"/>
      <c r="M65" s="1504"/>
      <c r="N65" s="1504"/>
      <c r="O65" s="1504"/>
    </row>
    <row r="66" customFormat="false" ht="12.75" hidden="false" customHeight="true" outlineLevel="0" collapsed="false">
      <c r="A66" s="1532" t="s">
        <v>1846</v>
      </c>
      <c r="B66" s="1523" t="s">
        <v>427</v>
      </c>
      <c r="C66" s="1547" t="n">
        <f aca="false">'Saisie et Calculateur'!D345</f>
        <v>0</v>
      </c>
      <c r="D66" s="1525" t="n">
        <v>6.8</v>
      </c>
      <c r="E66" s="1548" t="n">
        <f aca="false">C66*D66</f>
        <v>0</v>
      </c>
      <c r="F66" s="1526" t="n">
        <v>7</v>
      </c>
      <c r="G66" s="1504"/>
      <c r="H66" s="1504"/>
      <c r="I66" s="1504"/>
      <c r="J66" s="1504"/>
      <c r="K66" s="1504"/>
      <c r="L66" s="1504"/>
      <c r="M66" s="1504"/>
      <c r="N66" s="1504"/>
      <c r="O66" s="1504"/>
    </row>
    <row r="67" customFormat="false" ht="12.75" hidden="false" customHeight="true" outlineLevel="0" collapsed="false">
      <c r="A67" s="1532"/>
      <c r="B67" s="1523" t="s">
        <v>428</v>
      </c>
      <c r="C67" s="1547" t="n">
        <f aca="false">'Saisie et Calculateur'!D347</f>
        <v>0</v>
      </c>
      <c r="D67" s="1525" t="n">
        <v>22</v>
      </c>
      <c r="E67" s="1548" t="n">
        <f aca="false">C67*D67</f>
        <v>0</v>
      </c>
      <c r="F67" s="1526" t="n">
        <v>7</v>
      </c>
      <c r="G67" s="1504"/>
      <c r="H67" s="1504"/>
      <c r="I67" s="1504"/>
      <c r="J67" s="1504"/>
      <c r="K67" s="1504"/>
      <c r="L67" s="1504"/>
      <c r="M67" s="1504"/>
      <c r="N67" s="1504"/>
      <c r="O67" s="1504"/>
    </row>
    <row r="68" customFormat="false" ht="12.75" hidden="false" customHeight="true" outlineLevel="0" collapsed="false">
      <c r="A68" s="1532"/>
      <c r="B68" s="1523" t="s">
        <v>446</v>
      </c>
      <c r="C68" s="1547" t="n">
        <f aca="false">'Saisie et Calculateur'!D365</f>
        <v>0</v>
      </c>
      <c r="D68" s="1525" t="n">
        <v>20</v>
      </c>
      <c r="E68" s="1548" t="n">
        <f aca="false">C68*D68</f>
        <v>0</v>
      </c>
      <c r="F68" s="1526" t="n">
        <v>0</v>
      </c>
      <c r="G68" s="1504"/>
      <c r="H68" s="1504"/>
      <c r="I68" s="1504"/>
      <c r="J68" s="1504"/>
      <c r="K68" s="1504"/>
      <c r="L68" s="1504"/>
      <c r="M68" s="1504"/>
      <c r="N68" s="1504"/>
      <c r="O68" s="1504"/>
    </row>
    <row r="69" customFormat="false" ht="25.5" hidden="false" customHeight="true" outlineLevel="0" collapsed="false">
      <c r="A69" s="1532"/>
      <c r="B69" s="1523" t="s">
        <v>429</v>
      </c>
      <c r="C69" s="1547" t="n">
        <f aca="false">'Saisie et Calculateur'!D348</f>
        <v>0</v>
      </c>
      <c r="D69" s="1525" t="n">
        <v>40</v>
      </c>
      <c r="E69" s="1548" t="n">
        <f aca="false">C69*D69</f>
        <v>0</v>
      </c>
      <c r="F69" s="1526" t="n">
        <v>7</v>
      </c>
      <c r="G69" s="1504"/>
      <c r="H69" s="1504"/>
      <c r="I69" s="1504"/>
      <c r="J69" s="1504"/>
      <c r="K69" s="1504"/>
      <c r="L69" s="1504"/>
      <c r="M69" s="1504"/>
      <c r="N69" s="1504"/>
      <c r="O69" s="1504"/>
    </row>
    <row r="70" customFormat="false" ht="25.5" hidden="false" customHeight="true" outlineLevel="0" collapsed="false">
      <c r="A70" s="1532"/>
      <c r="B70" s="1523" t="s">
        <v>430</v>
      </c>
      <c r="C70" s="1547" t="n">
        <f aca="false">'Saisie et Calculateur'!D349</f>
        <v>0</v>
      </c>
      <c r="D70" s="1525" t="n">
        <v>22</v>
      </c>
      <c r="E70" s="1548" t="n">
        <f aca="false">C70*D70</f>
        <v>0</v>
      </c>
      <c r="F70" s="1526" t="n">
        <v>7</v>
      </c>
      <c r="G70" s="1504"/>
      <c r="H70" s="1504"/>
      <c r="I70" s="1504"/>
      <c r="J70" s="1504"/>
      <c r="K70" s="1504"/>
      <c r="L70" s="1504"/>
      <c r="M70" s="1504"/>
      <c r="N70" s="1504"/>
      <c r="O70" s="1504"/>
    </row>
    <row r="71" customFormat="false" ht="25.5" hidden="false" customHeight="true" outlineLevel="0" collapsed="false">
      <c r="A71" s="1532" t="s">
        <v>1847</v>
      </c>
      <c r="B71" s="1523" t="s">
        <v>431</v>
      </c>
      <c r="C71" s="1547" t="n">
        <f aca="false">'Saisie et Calculateur'!D350</f>
        <v>0</v>
      </c>
      <c r="D71" s="1525" t="n">
        <v>9.6</v>
      </c>
      <c r="E71" s="1548" t="n">
        <f aca="false">C71*D71</f>
        <v>0</v>
      </c>
      <c r="F71" s="1526" t="n">
        <v>7</v>
      </c>
      <c r="G71" s="1504"/>
      <c r="H71" s="1504"/>
      <c r="I71" s="1504"/>
      <c r="J71" s="1504"/>
      <c r="K71" s="1504"/>
      <c r="L71" s="1504"/>
      <c r="M71" s="1504"/>
      <c r="N71" s="1504"/>
      <c r="O71" s="1504"/>
    </row>
    <row r="72" customFormat="false" ht="25.5" hidden="false" customHeight="true" outlineLevel="0" collapsed="false">
      <c r="A72" s="1532"/>
      <c r="B72" s="1523" t="s">
        <v>432</v>
      </c>
      <c r="C72" s="1547" t="n">
        <f aca="false">'Saisie et Calculateur'!D351</f>
        <v>0</v>
      </c>
      <c r="D72" s="1525" t="n">
        <v>4.3</v>
      </c>
      <c r="E72" s="1548" t="n">
        <f aca="false">C72*D72</f>
        <v>0</v>
      </c>
      <c r="F72" s="1526" t="n">
        <v>7</v>
      </c>
      <c r="G72" s="1504"/>
      <c r="H72" s="1504"/>
      <c r="I72" s="1504"/>
      <c r="J72" s="1504"/>
      <c r="K72" s="1504"/>
      <c r="L72" s="1504"/>
      <c r="M72" s="1504"/>
      <c r="N72" s="1504"/>
      <c r="O72" s="1504"/>
    </row>
    <row r="73" customFormat="false" ht="25.5" hidden="false" customHeight="true" outlineLevel="0" collapsed="false">
      <c r="A73" s="1532"/>
      <c r="B73" s="1523" t="s">
        <v>433</v>
      </c>
      <c r="C73" s="1547" t="n">
        <f aca="false">'Saisie et Calculateur'!D352</f>
        <v>0</v>
      </c>
      <c r="D73" s="1525" t="n">
        <v>7.2</v>
      </c>
      <c r="E73" s="1548" t="n">
        <f aca="false">C73*D73</f>
        <v>0</v>
      </c>
      <c r="F73" s="1526" t="n">
        <v>7</v>
      </c>
      <c r="G73" s="1504"/>
      <c r="H73" s="1504"/>
      <c r="I73" s="1504"/>
      <c r="J73" s="1504"/>
      <c r="K73" s="1504"/>
      <c r="L73" s="1504"/>
      <c r="M73" s="1504"/>
      <c r="N73" s="1504"/>
      <c r="O73" s="1504"/>
    </row>
    <row r="74" customFormat="false" ht="25.5" hidden="false" customHeight="true" outlineLevel="0" collapsed="false">
      <c r="A74" s="1532"/>
      <c r="B74" s="1523" t="s">
        <v>434</v>
      </c>
      <c r="C74" s="1547" t="n">
        <f aca="false">'Saisie et Calculateur'!D351</f>
        <v>0</v>
      </c>
      <c r="D74" s="1525" t="n">
        <v>9.1</v>
      </c>
      <c r="E74" s="1548" t="n">
        <f aca="false">C74*D74</f>
        <v>0</v>
      </c>
      <c r="F74" s="1526" t="n">
        <v>7</v>
      </c>
      <c r="G74" s="1504"/>
      <c r="H74" s="1504"/>
      <c r="I74" s="1504"/>
      <c r="J74" s="1504"/>
      <c r="K74" s="1504"/>
      <c r="L74" s="1504"/>
      <c r="M74" s="1504"/>
      <c r="N74" s="1504"/>
      <c r="O74" s="1504"/>
    </row>
    <row r="75" customFormat="false" ht="25.5" hidden="false" customHeight="true" outlineLevel="0" collapsed="false">
      <c r="A75" s="1532"/>
      <c r="B75" s="1523" t="s">
        <v>444</v>
      </c>
      <c r="C75" s="1547" t="n">
        <f aca="false">'Saisie et Calculateur'!D363</f>
        <v>0</v>
      </c>
      <c r="D75" s="1525" t="n">
        <v>7.6</v>
      </c>
      <c r="E75" s="1548" t="n">
        <f aca="false">C75*D75</f>
        <v>0</v>
      </c>
      <c r="F75" s="1526" t="n">
        <v>5</v>
      </c>
      <c r="G75" s="1504"/>
      <c r="H75" s="1504"/>
      <c r="I75" s="1504"/>
      <c r="J75" s="1504"/>
      <c r="K75" s="1504"/>
      <c r="L75" s="1504"/>
      <c r="M75" s="1504"/>
      <c r="N75" s="1504"/>
      <c r="O75" s="1504"/>
    </row>
    <row r="76" customFormat="false" ht="25.5" hidden="false" customHeight="true" outlineLevel="0" collapsed="false">
      <c r="A76" s="1532"/>
      <c r="B76" s="1523" t="s">
        <v>445</v>
      </c>
      <c r="C76" s="1547" t="n">
        <f aca="false">'Saisie et Calculateur'!D364</f>
        <v>0</v>
      </c>
      <c r="D76" s="1525" t="n">
        <v>11</v>
      </c>
      <c r="E76" s="1548" t="n">
        <f aca="false">C76*D76</f>
        <v>0</v>
      </c>
      <c r="F76" s="1526" t="n">
        <v>5</v>
      </c>
      <c r="G76" s="1504"/>
      <c r="H76" s="1504"/>
      <c r="I76" s="1504"/>
      <c r="J76" s="1504"/>
      <c r="K76" s="1504"/>
      <c r="L76" s="1504"/>
      <c r="M76" s="1504"/>
      <c r="N76" s="1504"/>
      <c r="O76" s="1504"/>
    </row>
    <row r="77" customFormat="false" ht="25.5" hidden="false" customHeight="true" outlineLevel="0" collapsed="false">
      <c r="A77" s="1532"/>
      <c r="B77" s="1523" t="s">
        <v>437</v>
      </c>
      <c r="C77" s="1547" t="n">
        <f aca="false">'Saisie et Calculateur'!D356</f>
        <v>0</v>
      </c>
      <c r="D77" s="1525" t="n">
        <v>5.5</v>
      </c>
      <c r="E77" s="1548" t="n">
        <f aca="false">C77*D77</f>
        <v>0</v>
      </c>
      <c r="F77" s="1526" t="n">
        <v>0</v>
      </c>
      <c r="G77" s="1504"/>
      <c r="H77" s="1504"/>
      <c r="I77" s="1504"/>
      <c r="J77" s="1504"/>
      <c r="K77" s="1504"/>
      <c r="L77" s="1504"/>
      <c r="M77" s="1504"/>
      <c r="N77" s="1504"/>
      <c r="O77" s="1504"/>
    </row>
    <row r="78" customFormat="false" ht="12.75" hidden="false" customHeight="true" outlineLevel="0" collapsed="false">
      <c r="A78" s="1532" t="s">
        <v>1269</v>
      </c>
      <c r="B78" s="1523" t="s">
        <v>435</v>
      </c>
      <c r="C78" s="1547" t="n">
        <f aca="false">'Saisie et Calculateur'!D354</f>
        <v>0</v>
      </c>
      <c r="D78" s="1525" t="n">
        <v>6</v>
      </c>
      <c r="E78" s="1548" t="n">
        <f aca="false">C78*D78</f>
        <v>0</v>
      </c>
      <c r="F78" s="1526" t="n">
        <v>0</v>
      </c>
      <c r="G78" s="1504"/>
      <c r="H78" s="1504"/>
      <c r="I78" s="1504"/>
      <c r="J78" s="1504"/>
      <c r="K78" s="1504"/>
      <c r="L78" s="1504"/>
      <c r="M78" s="1504"/>
      <c r="N78" s="1504"/>
      <c r="O78" s="1504"/>
    </row>
    <row r="79" customFormat="false" ht="12.75" hidden="false" customHeight="true" outlineLevel="0" collapsed="false">
      <c r="A79" s="1532"/>
      <c r="B79" s="1554" t="s">
        <v>448</v>
      </c>
      <c r="C79" s="1547" t="n">
        <f aca="false">'Saisie et Calculateur'!D367</f>
        <v>0</v>
      </c>
      <c r="D79" s="1525" t="n">
        <v>27.5</v>
      </c>
      <c r="E79" s="1548" t="n">
        <f aca="false">C79*D79</f>
        <v>0</v>
      </c>
      <c r="F79" s="1526" t="n">
        <v>6</v>
      </c>
      <c r="G79" s="1504"/>
      <c r="H79" s="1504"/>
      <c r="I79" s="1504"/>
      <c r="J79" s="1504"/>
      <c r="K79" s="1504"/>
      <c r="L79" s="1504"/>
      <c r="M79" s="1504"/>
      <c r="N79" s="1504"/>
      <c r="O79" s="1504"/>
    </row>
    <row r="80" customFormat="false" ht="12.75" hidden="false" customHeight="true" outlineLevel="0" collapsed="false">
      <c r="A80" s="1532"/>
      <c r="B80" s="1523" t="s">
        <v>438</v>
      </c>
      <c r="C80" s="1547" t="n">
        <f aca="false">'Saisie et Calculateur'!D357</f>
        <v>0</v>
      </c>
      <c r="D80" s="1525" t="n">
        <v>18</v>
      </c>
      <c r="E80" s="1548" t="n">
        <f aca="false">C80*D80</f>
        <v>0</v>
      </c>
      <c r="F80" s="1526" t="n">
        <v>0</v>
      </c>
      <c r="G80" s="1504"/>
      <c r="H80" s="1504"/>
      <c r="I80" s="1504"/>
      <c r="J80" s="1504"/>
      <c r="K80" s="1504"/>
      <c r="L80" s="1504"/>
      <c r="M80" s="1504"/>
      <c r="N80" s="1504"/>
      <c r="O80" s="1504"/>
    </row>
    <row r="81" customFormat="false" ht="12.75" hidden="false" customHeight="true" outlineLevel="0" collapsed="false">
      <c r="A81" s="1532"/>
      <c r="B81" s="1523" t="s">
        <v>439</v>
      </c>
      <c r="C81" s="1547" t="n">
        <f aca="false">'Saisie et Calculateur'!D358</f>
        <v>0</v>
      </c>
      <c r="D81" s="1525" t="n">
        <v>8</v>
      </c>
      <c r="E81" s="1548" t="n">
        <f aca="false">C81*D81</f>
        <v>0</v>
      </c>
      <c r="F81" s="1526" t="n">
        <v>0</v>
      </c>
      <c r="G81" s="1504"/>
      <c r="H81" s="1504"/>
      <c r="I81" s="1504"/>
      <c r="J81" s="1504"/>
      <c r="K81" s="1504"/>
      <c r="L81" s="1504"/>
      <c r="M81" s="1504"/>
      <c r="N81" s="1504"/>
      <c r="O81" s="1504"/>
    </row>
    <row r="82" customFormat="false" ht="12.75" hidden="false" customHeight="true" outlineLevel="0" collapsed="false">
      <c r="A82" s="1532" t="s">
        <v>697</v>
      </c>
      <c r="B82" s="1523" t="s">
        <v>436</v>
      </c>
      <c r="C82" s="1547" t="n">
        <f aca="false">'Saisie et Calculateur'!D355</f>
        <v>0</v>
      </c>
      <c r="D82" s="1525" t="n">
        <v>2</v>
      </c>
      <c r="E82" s="1548" t="n">
        <f aca="false">C82*D82</f>
        <v>0</v>
      </c>
      <c r="F82" s="1526" t="n">
        <v>5</v>
      </c>
      <c r="G82" s="1504"/>
      <c r="H82" s="1504"/>
      <c r="I82" s="1504"/>
      <c r="J82" s="1504"/>
      <c r="K82" s="1504"/>
      <c r="L82" s="1504"/>
      <c r="M82" s="1504"/>
      <c r="N82" s="1504"/>
      <c r="O82" s="1504"/>
    </row>
    <row r="83" customFormat="false" ht="25.5" hidden="false" customHeight="true" outlineLevel="0" collapsed="false">
      <c r="A83" s="1532"/>
      <c r="B83" s="1523" t="s">
        <v>440</v>
      </c>
      <c r="C83" s="1547" t="n">
        <f aca="false">'Saisie et Calculateur'!D359</f>
        <v>0</v>
      </c>
      <c r="D83" s="1525" t="n">
        <v>20</v>
      </c>
      <c r="E83" s="1548" t="n">
        <f aca="false">C83*D83</f>
        <v>0</v>
      </c>
      <c r="F83" s="1526" t="n">
        <v>0</v>
      </c>
      <c r="G83" s="1555" t="s">
        <v>1848</v>
      </c>
      <c r="H83" s="1555"/>
      <c r="I83" s="1504"/>
      <c r="J83" s="1504"/>
      <c r="K83" s="1504"/>
      <c r="L83" s="1504"/>
      <c r="M83" s="1504"/>
      <c r="N83" s="1504"/>
      <c r="O83" s="1504"/>
    </row>
    <row r="84" customFormat="false" ht="25.5" hidden="false" customHeight="true" outlineLevel="0" collapsed="false">
      <c r="A84" s="1532"/>
      <c r="B84" s="1523" t="s">
        <v>441</v>
      </c>
      <c r="C84" s="1547" t="n">
        <f aca="false">'Saisie et Calculateur'!D360</f>
        <v>0</v>
      </c>
      <c r="D84" s="1525" t="n">
        <v>15</v>
      </c>
      <c r="E84" s="1548" t="n">
        <f aca="false">C84*D84</f>
        <v>0</v>
      </c>
      <c r="F84" s="1526" t="n">
        <v>0</v>
      </c>
      <c r="G84" s="1555" t="s">
        <v>1848</v>
      </c>
      <c r="H84" s="1555"/>
      <c r="I84" s="1504"/>
      <c r="J84" s="1504"/>
      <c r="K84" s="1504"/>
      <c r="L84" s="1504"/>
      <c r="M84" s="1504"/>
      <c r="N84" s="1504"/>
      <c r="O84" s="1504"/>
    </row>
    <row r="85" customFormat="false" ht="25.5" hidden="false" customHeight="true" outlineLevel="0" collapsed="false">
      <c r="A85" s="1532"/>
      <c r="B85" s="1523" t="s">
        <v>1227</v>
      </c>
      <c r="C85" s="1547" t="n">
        <f aca="false">'Saisie et Calculateur'!D361</f>
        <v>0</v>
      </c>
      <c r="D85" s="1525" t="n">
        <v>10</v>
      </c>
      <c r="E85" s="1548" t="n">
        <f aca="false">C85*D85</f>
        <v>0</v>
      </c>
      <c r="F85" s="1526" t="n">
        <v>0</v>
      </c>
      <c r="G85" s="1555" t="s">
        <v>1848</v>
      </c>
      <c r="H85" s="1555"/>
      <c r="I85" s="1504"/>
      <c r="J85" s="1504"/>
      <c r="K85" s="1504"/>
      <c r="L85" s="1504"/>
      <c r="M85" s="1504"/>
      <c r="N85" s="1504"/>
      <c r="O85" s="1504"/>
    </row>
    <row r="86" customFormat="false" ht="23.25" hidden="false" customHeight="true" outlineLevel="0" collapsed="false">
      <c r="A86" s="1532"/>
      <c r="B86" s="1523" t="s">
        <v>1849</v>
      </c>
      <c r="C86" s="1547" t="n">
        <f aca="false">'Saisie et Calculateur'!D366</f>
        <v>0</v>
      </c>
      <c r="D86" s="1525" t="n">
        <v>15</v>
      </c>
      <c r="E86" s="1548" t="n">
        <f aca="false">C86*D86</f>
        <v>0</v>
      </c>
      <c r="F86" s="1526" t="n">
        <v>0</v>
      </c>
      <c r="G86" s="1555" t="s">
        <v>1848</v>
      </c>
      <c r="H86" s="1555"/>
      <c r="I86" s="1504"/>
      <c r="J86" s="1504"/>
      <c r="K86" s="1504"/>
      <c r="L86" s="1504"/>
      <c r="M86" s="1504"/>
      <c r="N86" s="1504"/>
      <c r="O86" s="1504"/>
    </row>
    <row r="87" customFormat="false" ht="12.75" hidden="false" customHeight="true" outlineLevel="0" collapsed="false">
      <c r="G87" s="1504"/>
      <c r="H87" s="1504"/>
      <c r="I87" s="1504"/>
      <c r="J87" s="1504"/>
      <c r="K87" s="1504"/>
      <c r="L87" s="1504"/>
      <c r="M87" s="1504"/>
      <c r="N87" s="1504"/>
      <c r="O87" s="1504"/>
    </row>
    <row r="88" customFormat="false" ht="12.75" hidden="false" customHeight="true" outlineLevel="0" collapsed="false">
      <c r="A88" s="1502"/>
      <c r="B88" s="1532" t="s">
        <v>1832</v>
      </c>
      <c r="C88" s="1556" t="s">
        <v>551</v>
      </c>
      <c r="D88" s="1548" t="n">
        <f aca="false">SUM(E54:E87)</f>
        <v>0</v>
      </c>
      <c r="E88" s="1504"/>
      <c r="F88" s="1504"/>
      <c r="G88" s="1504"/>
      <c r="H88" s="1502"/>
      <c r="I88" s="1502"/>
      <c r="J88" s="1504"/>
      <c r="K88" s="1504"/>
      <c r="L88" s="1504"/>
      <c r="M88" s="1504"/>
      <c r="N88" s="1504"/>
      <c r="O88" s="1504"/>
    </row>
    <row r="89" customFormat="false" ht="12.75" hidden="false" customHeight="true" outlineLevel="0" collapsed="false">
      <c r="A89" s="1502"/>
      <c r="B89" s="1502"/>
      <c r="C89" s="1502"/>
      <c r="D89" s="1504"/>
      <c r="E89" s="1504"/>
      <c r="F89" s="1504"/>
      <c r="G89" s="1504"/>
      <c r="H89" s="1504"/>
      <c r="I89" s="1502"/>
      <c r="J89" s="1502"/>
      <c r="K89" s="1504"/>
      <c r="L89" s="1504"/>
      <c r="M89" s="1504"/>
      <c r="N89" s="1504"/>
      <c r="O89" s="1504"/>
    </row>
    <row r="90" customFormat="false" ht="12.75" hidden="false" customHeight="true" outlineLevel="0" collapsed="false">
      <c r="A90" s="1502"/>
      <c r="B90" s="1502"/>
      <c r="C90" s="1502"/>
      <c r="D90" s="1502"/>
      <c r="E90" s="1502"/>
      <c r="F90" s="1502"/>
      <c r="G90" s="1502"/>
      <c r="H90" s="1502"/>
      <c r="I90" s="1502"/>
      <c r="J90" s="1502"/>
      <c r="K90" s="1502"/>
      <c r="L90" s="1502"/>
      <c r="M90" s="1504"/>
      <c r="N90" s="1504"/>
      <c r="O90" s="1504"/>
    </row>
    <row r="91" customFormat="false" ht="12.75" hidden="false" customHeight="true" outlineLevel="0" collapsed="false">
      <c r="A91" s="1502"/>
      <c r="B91" s="1502"/>
      <c r="C91" s="1502"/>
      <c r="D91" s="1502"/>
      <c r="E91" s="1502"/>
      <c r="F91" s="1502"/>
      <c r="G91" s="1502"/>
      <c r="H91" s="1502"/>
      <c r="I91" s="1502"/>
      <c r="J91" s="1502"/>
      <c r="K91" s="1502"/>
      <c r="L91" s="1502"/>
      <c r="M91" s="1504"/>
      <c r="N91" s="1504"/>
      <c r="O91" s="1504"/>
    </row>
    <row r="92" customFormat="false" ht="20.25" hidden="false" customHeight="true" outlineLevel="0" collapsed="false">
      <c r="A92" s="1511" t="s">
        <v>1850</v>
      </c>
      <c r="B92" s="1511"/>
      <c r="C92" s="1511"/>
      <c r="D92" s="1511"/>
      <c r="E92" s="1511"/>
      <c r="F92" s="1511"/>
      <c r="G92" s="1511"/>
      <c r="H92" s="1511"/>
      <c r="I92" s="1511"/>
      <c r="J92" s="1502"/>
      <c r="K92" s="1502"/>
      <c r="L92" s="1502"/>
      <c r="M92" s="1504"/>
      <c r="N92" s="1504"/>
      <c r="O92" s="1504"/>
    </row>
    <row r="93" customFormat="false" ht="12.75" hidden="false" customHeight="true" outlineLevel="0" collapsed="false">
      <c r="A93" s="1502"/>
      <c r="B93" s="1502"/>
      <c r="C93" s="1502"/>
      <c r="D93" s="1502"/>
      <c r="E93" s="1502"/>
      <c r="F93" s="1502"/>
      <c r="G93" s="1502"/>
      <c r="H93" s="1502"/>
      <c r="I93" s="1502"/>
      <c r="J93" s="1502"/>
      <c r="K93" s="1502"/>
      <c r="L93" s="1502"/>
      <c r="M93" s="1504"/>
      <c r="N93" s="1504"/>
      <c r="O93" s="1504"/>
    </row>
    <row r="94" customFormat="false" ht="12.75" hidden="false" customHeight="true" outlineLevel="0" collapsed="false">
      <c r="A94" s="1557" t="s">
        <v>1851</v>
      </c>
      <c r="B94" s="1557"/>
      <c r="C94" s="1557"/>
      <c r="D94" s="1557"/>
      <c r="E94" s="1557"/>
      <c r="F94" s="1557"/>
      <c r="G94" s="1557"/>
      <c r="H94" s="1557"/>
      <c r="I94" s="1557"/>
      <c r="J94" s="1502"/>
      <c r="K94" s="1502"/>
      <c r="L94" s="1502"/>
      <c r="M94" s="1504"/>
      <c r="N94" s="1504"/>
      <c r="O94" s="1504"/>
    </row>
    <row r="95" customFormat="false" ht="12.75" hidden="false" customHeight="true" outlineLevel="0" collapsed="false">
      <c r="A95" s="1513"/>
      <c r="B95" s="1502"/>
      <c r="C95" s="1502"/>
      <c r="D95" s="1502"/>
      <c r="E95" s="1502"/>
      <c r="F95" s="1502"/>
      <c r="G95" s="1502"/>
      <c r="H95" s="1502"/>
      <c r="I95" s="1502"/>
      <c r="J95" s="1502"/>
      <c r="K95" s="1502"/>
      <c r="L95" s="1502"/>
      <c r="M95" s="1504"/>
      <c r="N95" s="1504"/>
      <c r="O95" s="1504"/>
    </row>
    <row r="96" customFormat="false" ht="38.25" hidden="false" customHeight="true" outlineLevel="0" collapsed="false">
      <c r="A96" s="1502"/>
      <c r="B96" s="1502"/>
      <c r="C96" s="924" t="s">
        <v>328</v>
      </c>
      <c r="D96" s="924" t="s">
        <v>329</v>
      </c>
      <c r="E96" s="924" t="s">
        <v>1852</v>
      </c>
      <c r="F96" s="924" t="s">
        <v>1852</v>
      </c>
      <c r="G96" s="1517" t="s">
        <v>1827</v>
      </c>
      <c r="H96" s="1502"/>
      <c r="I96" s="1502" t="s">
        <v>1853</v>
      </c>
      <c r="J96" s="1558"/>
      <c r="K96" s="1502"/>
      <c r="L96" s="1502"/>
      <c r="M96" s="1502"/>
      <c r="N96" s="1502"/>
      <c r="O96" s="1504"/>
    </row>
    <row r="97" customFormat="false" ht="12.75" hidden="false" customHeight="true" outlineLevel="0" collapsed="false">
      <c r="A97" s="1559" t="s">
        <v>1854</v>
      </c>
      <c r="B97" s="1520" t="s">
        <v>1130</v>
      </c>
      <c r="C97" s="1560" t="n">
        <f aca="false">'Saisie et Calculateur'!E241</f>
        <v>0</v>
      </c>
      <c r="D97" s="1560" t="n">
        <f aca="false">'Saisie et Calculateur'!E242</f>
        <v>0</v>
      </c>
      <c r="E97" s="1560" t="n">
        <f aca="false">'Saisie et Calculateur'!E243</f>
        <v>0</v>
      </c>
      <c r="F97" s="1560" t="n">
        <f aca="false">'Saisie et Calculateur'!E244</f>
        <v>0</v>
      </c>
      <c r="G97" s="1526"/>
      <c r="H97" s="1502"/>
      <c r="I97" s="1502"/>
      <c r="J97" s="1502"/>
      <c r="K97" s="1502"/>
      <c r="L97" s="1502"/>
      <c r="M97" s="1502"/>
      <c r="N97" s="1502"/>
      <c r="O97" s="1504"/>
    </row>
    <row r="98" customFormat="false" ht="12.75" hidden="false" customHeight="true" outlineLevel="0" collapsed="false">
      <c r="A98" s="1559" t="s">
        <v>1855</v>
      </c>
      <c r="B98" s="1520" t="s">
        <v>1856</v>
      </c>
      <c r="C98" s="1561" t="n">
        <f aca="false">'Saisie et Calculateur'!D241</f>
        <v>0</v>
      </c>
      <c r="D98" s="1562" t="n">
        <f aca="false">'Saisie et Calculateur'!D242</f>
        <v>0</v>
      </c>
      <c r="E98" s="1562" t="n">
        <f aca="false">'Saisie et Calculateur'!D243</f>
        <v>0</v>
      </c>
      <c r="F98" s="1562" t="n">
        <f aca="false">'Saisie et Calculateur'!D244</f>
        <v>0</v>
      </c>
      <c r="G98" s="1522"/>
      <c r="H98" s="1502"/>
      <c r="I98" s="1502"/>
      <c r="J98" s="1502"/>
      <c r="K98" s="1502"/>
      <c r="L98" s="1502"/>
      <c r="M98" s="1502"/>
      <c r="N98" s="1502"/>
      <c r="O98" s="1504"/>
    </row>
    <row r="99" customFormat="false" ht="12.75" hidden="false" customHeight="true" outlineLevel="0" collapsed="false">
      <c r="A99" s="1563"/>
      <c r="B99" s="1520" t="s">
        <v>1857</v>
      </c>
      <c r="C99" s="487" t="n">
        <v>30</v>
      </c>
      <c r="D99" s="1564" t="n">
        <v>30</v>
      </c>
      <c r="E99" s="1564" t="n">
        <v>30</v>
      </c>
      <c r="F99" s="1564" t="n">
        <v>30</v>
      </c>
      <c r="G99" s="1526" t="n">
        <v>0</v>
      </c>
      <c r="H99" s="1502"/>
      <c r="I99" s="1502"/>
      <c r="J99" s="1502"/>
      <c r="K99" s="1502"/>
      <c r="L99" s="1502"/>
      <c r="M99" s="1502"/>
      <c r="N99" s="1502"/>
      <c r="O99" s="1504"/>
    </row>
    <row r="100" customFormat="false" ht="12.75" hidden="false" customHeight="true" outlineLevel="0" collapsed="false">
      <c r="A100" s="1559" t="s">
        <v>1858</v>
      </c>
      <c r="B100" s="1520" t="s">
        <v>1859</v>
      </c>
      <c r="C100" s="1548" t="n">
        <f aca="false">C98*C97*C99</f>
        <v>0</v>
      </c>
      <c r="D100" s="1548" t="n">
        <f aca="false">D98*D97*D99</f>
        <v>0</v>
      </c>
      <c r="E100" s="1548" t="n">
        <f aca="false">E98*E97*E99</f>
        <v>0</v>
      </c>
      <c r="F100" s="1548" t="n">
        <f aca="false">F98*F97*F99</f>
        <v>0</v>
      </c>
      <c r="G100" s="1502"/>
      <c r="H100" s="1502"/>
      <c r="I100" s="1502"/>
      <c r="J100" s="1502"/>
      <c r="K100" s="1502"/>
      <c r="L100" s="1502"/>
      <c r="M100" s="1504"/>
      <c r="N100" s="1504"/>
      <c r="O100" s="1504"/>
    </row>
    <row r="101" customFormat="false" ht="12.75" hidden="false" customHeight="true" outlineLevel="0" collapsed="false">
      <c r="A101" s="1559" t="s">
        <v>1860</v>
      </c>
      <c r="B101" s="1520" t="s">
        <v>94</v>
      </c>
      <c r="C101" s="1565" t="n">
        <f aca="false">'Saisie et Calculateur'!C241</f>
        <v>0</v>
      </c>
      <c r="D101" s="1565" t="n">
        <f aca="false">'Saisie et Calculateur'!C242</f>
        <v>0</v>
      </c>
      <c r="E101" s="1565" t="n">
        <f aca="false">'Saisie et Calculateur'!C243</f>
        <v>0</v>
      </c>
      <c r="F101" s="1565" t="n">
        <f aca="false">'Saisie et Calculateur'!C244</f>
        <v>0</v>
      </c>
      <c r="G101" s="1502"/>
      <c r="H101" s="1502"/>
      <c r="I101" s="1502"/>
      <c r="J101" s="1502"/>
      <c r="K101" s="1502"/>
      <c r="L101" s="1502"/>
      <c r="M101" s="1504"/>
      <c r="N101" s="1504"/>
      <c r="O101" s="1504"/>
    </row>
    <row r="102" customFormat="false" ht="12.75" hidden="false" customHeight="true" outlineLevel="0" collapsed="false">
      <c r="A102" s="1566" t="s">
        <v>1861</v>
      </c>
      <c r="B102" s="1520" t="s">
        <v>1862</v>
      </c>
      <c r="C102" s="738" t="n">
        <f aca="false">C100*C101</f>
        <v>0</v>
      </c>
      <c r="D102" s="738" t="n">
        <f aca="false">D100*D101</f>
        <v>0</v>
      </c>
      <c r="E102" s="738" t="n">
        <f aca="false">E100*E101</f>
        <v>0</v>
      </c>
      <c r="F102" s="738" t="n">
        <f aca="false">F100*F101</f>
        <v>0</v>
      </c>
      <c r="G102" s="1502"/>
      <c r="H102" s="1502"/>
      <c r="I102" s="1502"/>
      <c r="J102" s="1502"/>
      <c r="K102" s="1502"/>
      <c r="L102" s="1504"/>
      <c r="M102" s="1504"/>
      <c r="N102" s="1504"/>
      <c r="O102" s="1504"/>
    </row>
    <row r="103" customFormat="false" ht="12.75" hidden="false" customHeight="true" outlineLevel="0" collapsed="false">
      <c r="A103" s="1502"/>
      <c r="B103" s="1502"/>
      <c r="C103" s="1502"/>
      <c r="D103" s="1502"/>
      <c r="E103" s="1502"/>
      <c r="F103" s="1502"/>
      <c r="G103" s="1502"/>
      <c r="H103" s="1502"/>
      <c r="I103" s="1502"/>
      <c r="J103" s="1502"/>
      <c r="K103" s="1502"/>
      <c r="L103" s="1504"/>
      <c r="M103" s="1504"/>
      <c r="N103" s="1504"/>
      <c r="O103" s="1504"/>
    </row>
    <row r="104" customFormat="false" ht="12.75" hidden="false" customHeight="true" outlineLevel="0" collapsed="false">
      <c r="A104" s="1557" t="s">
        <v>1863</v>
      </c>
      <c r="B104" s="1557"/>
      <c r="C104" s="1557"/>
      <c r="D104" s="1557"/>
      <c r="E104" s="1557"/>
      <c r="F104" s="1557"/>
      <c r="G104" s="1557"/>
      <c r="H104" s="1557"/>
      <c r="I104" s="1557"/>
      <c r="J104" s="1502"/>
      <c r="K104" s="1502"/>
      <c r="L104" s="1504"/>
      <c r="M104" s="1504"/>
      <c r="N104" s="1504"/>
      <c r="O104" s="1504"/>
    </row>
    <row r="105" customFormat="false" ht="12.75" hidden="false" customHeight="true" outlineLevel="0" collapsed="false">
      <c r="A105" s="1513"/>
      <c r="B105" s="1502"/>
      <c r="C105" s="1502"/>
      <c r="D105" s="1502"/>
      <c r="E105" s="1502"/>
      <c r="F105" s="1502"/>
      <c r="G105" s="1502"/>
      <c r="H105" s="1502"/>
      <c r="I105" s="1502"/>
      <c r="J105" s="1502"/>
      <c r="K105" s="1502"/>
      <c r="L105" s="1504"/>
      <c r="M105" s="1504"/>
      <c r="N105" s="1504"/>
      <c r="O105" s="1504"/>
    </row>
    <row r="106" customFormat="false" ht="12.75" hidden="false" customHeight="true" outlineLevel="0" collapsed="false">
      <c r="A106" s="1503"/>
      <c r="B106" s="1502"/>
      <c r="C106" s="1502"/>
      <c r="D106" s="1502"/>
      <c r="E106" s="1502"/>
      <c r="F106" s="1502"/>
      <c r="G106" s="1502"/>
      <c r="H106" s="1502"/>
      <c r="I106" s="1502"/>
      <c r="J106" s="1502"/>
      <c r="K106" s="1502"/>
      <c r="L106" s="1504"/>
      <c r="M106" s="1504"/>
      <c r="N106" s="1504"/>
      <c r="O106" s="1504"/>
    </row>
    <row r="107" customFormat="false" ht="25.5" hidden="false" customHeight="true" outlineLevel="0" collapsed="false">
      <c r="A107" s="1502"/>
      <c r="B107" s="1532" t="s">
        <v>1864</v>
      </c>
      <c r="C107" s="1532" t="s">
        <v>298</v>
      </c>
      <c r="D107" s="1566" t="s">
        <v>1865</v>
      </c>
      <c r="E107" s="1566" t="s">
        <v>1861</v>
      </c>
      <c r="F107" s="1517" t="s">
        <v>1827</v>
      </c>
      <c r="G107" s="1502"/>
      <c r="H107" s="1502"/>
      <c r="I107" s="1502"/>
      <c r="J107" s="1502"/>
      <c r="K107" s="1502"/>
      <c r="L107" s="1504"/>
      <c r="M107" s="1504"/>
      <c r="N107" s="1504"/>
      <c r="O107" s="1504"/>
    </row>
    <row r="108" customFormat="false" ht="12.75" hidden="false" customHeight="true" outlineLevel="0" collapsed="false">
      <c r="A108" s="1502"/>
      <c r="B108" s="1556" t="s">
        <v>1129</v>
      </c>
      <c r="C108" s="1556" t="s">
        <v>94</v>
      </c>
      <c r="D108" s="1567" t="s">
        <v>1866</v>
      </c>
      <c r="E108" s="1556" t="s">
        <v>1862</v>
      </c>
      <c r="F108" s="1522"/>
      <c r="G108" s="1502"/>
      <c r="H108" s="1502"/>
      <c r="I108" s="1568" t="s">
        <v>1867</v>
      </c>
      <c r="J108" s="1569" t="s">
        <v>1868</v>
      </c>
      <c r="K108" s="1569"/>
      <c r="L108" s="1569"/>
      <c r="M108" s="1569"/>
      <c r="N108" s="1569"/>
      <c r="O108" s="1504"/>
    </row>
    <row r="109" customFormat="false" ht="12.75" hidden="false" customHeight="true" outlineLevel="0" collapsed="false">
      <c r="A109" s="36" t="s">
        <v>1869</v>
      </c>
      <c r="B109" s="1561" t="n">
        <f aca="false">'Saisie et Calculateur'!D239</f>
        <v>0</v>
      </c>
      <c r="C109" s="1561" t="n">
        <f aca="false">'Saisie et Calculateur'!C239</f>
        <v>0</v>
      </c>
      <c r="D109" s="493" t="n">
        <v>30</v>
      </c>
      <c r="E109" s="619" t="n">
        <f aca="false">D109*B109*C109</f>
        <v>0</v>
      </c>
      <c r="F109" s="1526" t="n">
        <v>0</v>
      </c>
      <c r="G109" s="1502"/>
      <c r="H109" s="1502"/>
      <c r="I109" s="1568"/>
      <c r="J109" s="1569" t="n">
        <v>20</v>
      </c>
      <c r="K109" s="1569" t="n">
        <v>30</v>
      </c>
      <c r="L109" s="1569" t="n">
        <v>40</v>
      </c>
      <c r="M109" s="1569" t="n">
        <v>50</v>
      </c>
      <c r="N109" s="1570" t="n">
        <v>60</v>
      </c>
      <c r="O109" s="1504"/>
    </row>
    <row r="110" customFormat="false" ht="12.75" hidden="false" customHeight="true" outlineLevel="0" collapsed="false">
      <c r="A110" s="36" t="s">
        <v>1870</v>
      </c>
      <c r="B110" s="1561" t="n">
        <f aca="false">'Saisie et Calculateur'!D238</f>
        <v>0</v>
      </c>
      <c r="C110" s="1561" t="n">
        <f aca="false">'Saisie et Calculateur'!C238</f>
        <v>0</v>
      </c>
      <c r="D110" s="493" t="n">
        <v>30</v>
      </c>
      <c r="E110" s="619" t="n">
        <f aca="false">D110*B110*C110</f>
        <v>0</v>
      </c>
      <c r="F110" s="1526" t="n">
        <v>0</v>
      </c>
      <c r="G110" s="1502"/>
      <c r="H110" s="1502"/>
      <c r="I110" s="1571" t="s">
        <v>1871</v>
      </c>
      <c r="J110" s="1572" t="n">
        <v>65</v>
      </c>
      <c r="K110" s="1572" t="n">
        <v>97.5</v>
      </c>
      <c r="L110" s="1572" t="n">
        <v>130</v>
      </c>
      <c r="M110" s="1572" t="n">
        <v>162.5</v>
      </c>
      <c r="N110" s="1572" t="n">
        <v>195</v>
      </c>
      <c r="O110" s="1504"/>
    </row>
    <row r="111" customFormat="false" ht="12.75" hidden="false" customHeight="true" outlineLevel="0" collapsed="false">
      <c r="A111" s="36" t="s">
        <v>1872</v>
      </c>
      <c r="B111" s="1561" t="n">
        <f aca="false">'Saisie et Calculateur'!D240</f>
        <v>0</v>
      </c>
      <c r="C111" s="1561" t="n">
        <f aca="false">'Saisie et Calculateur'!C240</f>
        <v>0</v>
      </c>
      <c r="D111" s="1527"/>
      <c r="E111" s="619" t="n">
        <f aca="false">D111*B111*C111</f>
        <v>0</v>
      </c>
      <c r="F111" s="1573"/>
      <c r="G111" s="1502"/>
      <c r="H111" s="1502"/>
      <c r="I111" s="1571" t="s">
        <v>1873</v>
      </c>
      <c r="J111" s="1572" t="n">
        <v>71</v>
      </c>
      <c r="K111" s="1572" t="n">
        <v>106.5</v>
      </c>
      <c r="L111" s="1572" t="n">
        <v>142</v>
      </c>
      <c r="M111" s="1572" t="n">
        <v>177.5</v>
      </c>
      <c r="N111" s="1572" t="n">
        <v>213</v>
      </c>
      <c r="O111" s="1504"/>
    </row>
    <row r="112" customFormat="false" ht="12.75" hidden="false" customHeight="true" outlineLevel="0" collapsed="false">
      <c r="A112" s="1502"/>
      <c r="B112" s="1502"/>
      <c r="C112" s="1502"/>
      <c r="D112" s="1574" t="s">
        <v>1233</v>
      </c>
      <c r="E112" s="619" t="n">
        <f aca="false">SUM(E109:E111)</f>
        <v>0</v>
      </c>
      <c r="F112" s="1502"/>
      <c r="G112" s="1502"/>
      <c r="H112" s="1502"/>
      <c r="I112" s="1571" t="s">
        <v>1874</v>
      </c>
      <c r="J112" s="1572" t="n">
        <v>66</v>
      </c>
      <c r="K112" s="1572" t="n">
        <v>99</v>
      </c>
      <c r="L112" s="1572" t="n">
        <v>132</v>
      </c>
      <c r="M112" s="1572" t="n">
        <v>164.5</v>
      </c>
      <c r="N112" s="1572" t="n">
        <v>198</v>
      </c>
      <c r="O112" s="1504"/>
    </row>
    <row r="113" customFormat="false" ht="12.75" hidden="false" customHeight="true" outlineLevel="0" collapsed="false">
      <c r="A113" s="1502"/>
      <c r="B113" s="1502"/>
      <c r="C113" s="1502"/>
      <c r="D113" s="1502"/>
      <c r="E113" s="1541"/>
      <c r="F113" s="1502"/>
      <c r="G113" s="1502"/>
      <c r="H113" s="1502"/>
      <c r="I113" s="1571" t="s">
        <v>1875</v>
      </c>
      <c r="J113" s="1572" t="n">
        <v>111</v>
      </c>
      <c r="K113" s="1572" t="n">
        <v>166.5</v>
      </c>
      <c r="L113" s="1572" t="n">
        <v>222</v>
      </c>
      <c r="M113" s="1572" t="n">
        <v>277.5</v>
      </c>
      <c r="N113" s="1572" t="n">
        <v>333</v>
      </c>
      <c r="O113" s="1504"/>
    </row>
    <row r="114" customFormat="false" ht="25.5" hidden="false" customHeight="true" outlineLevel="0" collapsed="false">
      <c r="A114" s="1502"/>
      <c r="B114" s="1532" t="s">
        <v>1855</v>
      </c>
      <c r="C114" s="1532" t="s">
        <v>298</v>
      </c>
      <c r="D114" s="1566" t="s">
        <v>1876</v>
      </c>
      <c r="E114" s="924" t="s">
        <v>1861</v>
      </c>
      <c r="F114" s="1517" t="s">
        <v>1827</v>
      </c>
      <c r="G114" s="1502"/>
      <c r="H114" s="1502"/>
      <c r="I114" s="1571" t="s">
        <v>1877</v>
      </c>
      <c r="J114" s="1572" t="n">
        <v>113</v>
      </c>
      <c r="K114" s="1572" t="n">
        <v>169.5</v>
      </c>
      <c r="L114" s="1572" t="n">
        <v>226</v>
      </c>
      <c r="M114" s="1572" t="n">
        <v>282</v>
      </c>
      <c r="N114" s="1572" t="n">
        <v>339</v>
      </c>
      <c r="O114" s="1504"/>
    </row>
    <row r="115" customFormat="false" ht="12.75" hidden="false" customHeight="true" outlineLevel="0" collapsed="false">
      <c r="A115" s="1502"/>
      <c r="B115" s="1556" t="s">
        <v>1878</v>
      </c>
      <c r="C115" s="1556" t="s">
        <v>94</v>
      </c>
      <c r="D115" s="1567" t="s">
        <v>1859</v>
      </c>
      <c r="E115" s="1556" t="s">
        <v>1862</v>
      </c>
      <c r="F115" s="1522"/>
      <c r="G115" s="1502"/>
      <c r="H115" s="1502"/>
      <c r="I115" s="1571" t="s">
        <v>1879</v>
      </c>
      <c r="J115" s="1572" t="n">
        <v>72</v>
      </c>
      <c r="K115" s="1572" t="n">
        <v>108</v>
      </c>
      <c r="L115" s="1572" t="n">
        <v>144</v>
      </c>
      <c r="M115" s="1572" t="n">
        <v>180</v>
      </c>
      <c r="N115" s="1572" t="n">
        <v>216</v>
      </c>
      <c r="O115" s="1504"/>
    </row>
    <row r="116" customFormat="false" ht="12.75" hidden="false" customHeight="true" outlineLevel="0" collapsed="false">
      <c r="A116" s="1575" t="str">
        <f aca="false">'Saisie et Calculateur'!A282</f>
        <v>Féverole d'hiver</v>
      </c>
      <c r="B116" s="1561" t="n">
        <f aca="false">'Saisie et Calculateur'!E282</f>
        <v>0</v>
      </c>
      <c r="C116" s="1561" t="n">
        <f aca="false">'Saisie et Calculateur'!D282</f>
        <v>0</v>
      </c>
      <c r="D116" s="493" t="n">
        <f aca="false">IF(B116&lt;=$J$109,J112,IF(B116&lt;=$K$109,K112,IF(B116&lt;=$L$109,L112,IF(B116&lt;=$M$109,M112,N112))))</f>
        <v>66</v>
      </c>
      <c r="E116" s="619" t="n">
        <f aca="false">C116*D116</f>
        <v>0</v>
      </c>
      <c r="F116" s="1526" t="n">
        <v>0</v>
      </c>
      <c r="G116" s="1502"/>
      <c r="H116" s="1502"/>
      <c r="I116" s="1502"/>
      <c r="J116" s="1502"/>
      <c r="K116" s="1502"/>
      <c r="L116" s="1504"/>
      <c r="M116" s="1504"/>
      <c r="N116" s="1504"/>
      <c r="O116" s="1504"/>
    </row>
    <row r="117" customFormat="false" ht="12.75" hidden="false" customHeight="true" outlineLevel="0" collapsed="false">
      <c r="A117" s="1576" t="str">
        <f aca="false">'Saisie et Calculateur'!A283</f>
        <v>Féverole de printemps</v>
      </c>
      <c r="B117" s="1561" t="n">
        <f aca="false">'Saisie et Calculateur'!E283</f>
        <v>0</v>
      </c>
      <c r="C117" s="1561" t="n">
        <f aca="false">'Saisie et Calculateur'!D283</f>
        <v>0</v>
      </c>
      <c r="D117" s="493" t="n">
        <f aca="false">IF(B117&lt;=$J$109,J111,IF(B117&lt;=$K$109,K111,IF(B117&lt;=$L$109,L111,IF(B117&lt;=$M$109,M111,N111))))</f>
        <v>71</v>
      </c>
      <c r="E117" s="619" t="n">
        <f aca="false">C117*D117</f>
        <v>0</v>
      </c>
      <c r="F117" s="1526" t="n">
        <v>0</v>
      </c>
      <c r="G117" s="1502"/>
      <c r="H117" s="1502"/>
      <c r="I117" s="1502"/>
      <c r="J117" s="1502"/>
      <c r="K117" s="1502"/>
      <c r="L117" s="1504"/>
      <c r="M117" s="1504"/>
      <c r="N117" s="1504"/>
      <c r="O117" s="1504"/>
    </row>
    <row r="118" customFormat="false" ht="12.75" hidden="false" customHeight="true" outlineLevel="0" collapsed="false">
      <c r="A118" s="1576" t="str">
        <f aca="false">'Saisie et Calculateur'!A284</f>
        <v>Lupin de printemps</v>
      </c>
      <c r="B118" s="1561" t="n">
        <f aca="false">'Saisie et Calculateur'!E284</f>
        <v>0</v>
      </c>
      <c r="C118" s="1561" t="n">
        <f aca="false">'Saisie et Calculateur'!D284</f>
        <v>0</v>
      </c>
      <c r="D118" s="493" t="n">
        <f aca="false">IF(B118&lt;=$J$109,J113,IF(B118&lt;=$K$109,K113,IF(B118&lt;=$L$109,L113,IF(B118&lt;=$M$109,M113,N113))))</f>
        <v>111</v>
      </c>
      <c r="E118" s="619" t="n">
        <f aca="false">C118*D118</f>
        <v>0</v>
      </c>
      <c r="F118" s="1526" t="n">
        <v>0</v>
      </c>
      <c r="G118" s="1502"/>
      <c r="H118" s="1558"/>
      <c r="I118" s="1502"/>
      <c r="J118" s="1502"/>
      <c r="K118" s="1502"/>
      <c r="L118" s="1504"/>
      <c r="M118" s="1504"/>
      <c r="N118" s="1504"/>
      <c r="O118" s="1504"/>
    </row>
    <row r="119" customFormat="false" ht="12.75" hidden="false" customHeight="true" outlineLevel="0" collapsed="false">
      <c r="A119" s="1576" t="str">
        <f aca="false">'Saisie et Calculateur'!A285</f>
        <v>Pois printemps</v>
      </c>
      <c r="B119" s="1561" t="n">
        <f aca="false">'Saisie et Calculateur'!E285</f>
        <v>0</v>
      </c>
      <c r="C119" s="1561" t="n">
        <f aca="false">'Saisie et Calculateur'!D285</f>
        <v>0</v>
      </c>
      <c r="D119" s="493" t="n">
        <f aca="false">IF(B119&lt;=$J$109,J110,IF(B119&lt;=$K$109,K110,IF(B119&lt;=$L$109,L110,IF(B119&lt;=$M$109,M110,N110))))</f>
        <v>65</v>
      </c>
      <c r="E119" s="619" t="n">
        <f aca="false">C119*D119</f>
        <v>0</v>
      </c>
      <c r="F119" s="1526" t="n">
        <v>0</v>
      </c>
      <c r="G119" s="1502"/>
      <c r="H119" s="1502"/>
      <c r="I119" s="1502"/>
      <c r="J119" s="1502"/>
      <c r="K119" s="1502"/>
      <c r="L119" s="1504"/>
      <c r="M119" s="1504"/>
      <c r="N119" s="1504"/>
      <c r="O119" s="1504"/>
    </row>
    <row r="120" customFormat="false" ht="12.75" hidden="false" customHeight="true" outlineLevel="0" collapsed="false">
      <c r="A120" s="1576" t="str">
        <f aca="false">'Saisie et Calculateur'!A286</f>
        <v>Soja (grain)</v>
      </c>
      <c r="B120" s="1561" t="n">
        <f aca="false">'Saisie et Calculateur'!E286</f>
        <v>0</v>
      </c>
      <c r="C120" s="1561" t="n">
        <f aca="false">'Saisie et Calculateur'!D286</f>
        <v>0</v>
      </c>
      <c r="D120" s="493" t="n">
        <f aca="false">IF(B120&lt;=$J$109,J114,IF(B120&lt;=$K$109,K114,IF(B120&lt;=$L$109,L114,IF(B120&lt;=$M$109,M114,N114))))</f>
        <v>113</v>
      </c>
      <c r="E120" s="619"/>
      <c r="F120" s="1526"/>
      <c r="G120" s="1502"/>
      <c r="H120" s="1502"/>
      <c r="I120" s="1502"/>
      <c r="J120" s="1502"/>
      <c r="K120" s="1502"/>
      <c r="L120" s="1504"/>
      <c r="M120" s="1504"/>
      <c r="N120" s="1504"/>
      <c r="O120" s="1504"/>
    </row>
    <row r="121" customFormat="false" ht="12.75" hidden="false" customHeight="true" outlineLevel="0" collapsed="false">
      <c r="A121" s="1576" t="str">
        <f aca="false">'Saisie et Calculateur'!A287</f>
        <v>Autre</v>
      </c>
      <c r="B121" s="1561" t="n">
        <f aca="false">'Saisie et Calculateur'!E287</f>
        <v>0</v>
      </c>
      <c r="C121" s="1561" t="n">
        <f aca="false">'Saisie et Calculateur'!D287</f>
        <v>0</v>
      </c>
      <c r="D121" s="1527"/>
      <c r="E121" s="619"/>
      <c r="F121" s="1526"/>
      <c r="G121" s="1502"/>
      <c r="H121" s="1502"/>
      <c r="I121" s="1502"/>
      <c r="J121" s="1502"/>
      <c r="K121" s="1502"/>
      <c r="L121" s="1504"/>
      <c r="M121" s="1504"/>
      <c r="N121" s="1504"/>
      <c r="O121" s="1504"/>
    </row>
    <row r="122" customFormat="false" ht="12.75" hidden="false" customHeight="true" outlineLevel="0" collapsed="false">
      <c r="A122" s="1576" t="s">
        <v>1880</v>
      </c>
      <c r="B122" s="1561" t="n">
        <f aca="false">'Saisie et Calculateur'!E294</f>
        <v>0</v>
      </c>
      <c r="C122" s="1561" t="n">
        <f aca="false">'Saisie et Calculateur'!D294</f>
        <v>0</v>
      </c>
      <c r="D122" s="493" t="n">
        <f aca="false">IF(B122&lt;=$J$109,J115,IF(B122&lt;=$K$109,K115,IF(B122&lt;=$L$109,L115,IF(B122&lt;=$M$109,M115,N115))))</f>
        <v>72</v>
      </c>
      <c r="E122" s="619" t="n">
        <f aca="false">C122*D122</f>
        <v>0</v>
      </c>
      <c r="F122" s="1526" t="n">
        <v>0</v>
      </c>
      <c r="G122" s="1502"/>
      <c r="H122" s="1502"/>
      <c r="I122" s="1502"/>
      <c r="J122" s="1502"/>
      <c r="K122" s="1502"/>
      <c r="L122" s="1504"/>
      <c r="M122" s="1504"/>
      <c r="N122" s="1504"/>
      <c r="O122" s="1504"/>
    </row>
    <row r="123" customFormat="false" ht="12.75" hidden="false" customHeight="true" outlineLevel="0" collapsed="false">
      <c r="A123" s="1576" t="s">
        <v>1182</v>
      </c>
      <c r="B123" s="1561" t="n">
        <f aca="false">'Saisie et Calculateur'!E295</f>
        <v>0</v>
      </c>
      <c r="C123" s="1561" t="n">
        <f aca="false">'Saisie et Calculateur'!E295</f>
        <v>0</v>
      </c>
      <c r="D123" s="493" t="n">
        <f aca="false">IF(B123&lt;=$J$109,J115,IF(B123&lt;=$K$109,K115,IF(B123&lt;=$L$109,L115,IF(B123&lt;=$M$109,M115,N115))))</f>
        <v>72</v>
      </c>
      <c r="E123" s="619" t="n">
        <f aca="false">C123*D123</f>
        <v>0</v>
      </c>
      <c r="F123" s="1526" t="n">
        <v>0</v>
      </c>
      <c r="G123" s="1502"/>
      <c r="H123" s="1502"/>
      <c r="I123" s="1502"/>
      <c r="J123" s="1502"/>
      <c r="K123" s="1502"/>
      <c r="L123" s="1504"/>
      <c r="M123" s="1504"/>
      <c r="N123" s="1504"/>
      <c r="O123" s="1504"/>
    </row>
    <row r="124" customFormat="false" ht="12.75" hidden="false" customHeight="true" outlineLevel="0" collapsed="false">
      <c r="A124" s="1502"/>
      <c r="B124" s="1502"/>
      <c r="C124" s="1533" t="s">
        <v>1233</v>
      </c>
      <c r="D124" s="1533" t="s">
        <v>1881</v>
      </c>
      <c r="E124" s="619" t="n">
        <f aca="false">SUM(E116:E123)</f>
        <v>0</v>
      </c>
      <c r="F124" s="1502"/>
      <c r="G124" s="1502"/>
      <c r="H124" s="1502"/>
      <c r="I124" s="1502"/>
      <c r="J124" s="1502"/>
      <c r="K124" s="1502"/>
      <c r="L124" s="1504"/>
      <c r="M124" s="1504"/>
      <c r="N124" s="1504"/>
      <c r="O124" s="1504"/>
    </row>
    <row r="125" customFormat="false" ht="12.75" hidden="false" customHeight="true" outlineLevel="0" collapsed="false">
      <c r="A125" s="1502"/>
      <c r="B125" s="1502"/>
      <c r="C125" s="1502"/>
      <c r="D125" s="1502"/>
      <c r="E125" s="1502"/>
      <c r="F125" s="1502"/>
      <c r="G125" s="1502"/>
      <c r="H125" s="1502"/>
      <c r="I125" s="1502"/>
      <c r="J125" s="1502"/>
      <c r="K125" s="1502"/>
      <c r="L125" s="1504"/>
      <c r="M125" s="1504"/>
      <c r="N125" s="1504"/>
      <c r="O125" s="1504"/>
    </row>
    <row r="126" customFormat="false" ht="12.75" hidden="false" customHeight="true" outlineLevel="0" collapsed="false">
      <c r="A126" s="1502"/>
      <c r="B126" s="1577" t="s">
        <v>1882</v>
      </c>
      <c r="C126" s="1577"/>
      <c r="D126" s="1578" t="s">
        <v>1881</v>
      </c>
      <c r="E126" s="619" t="n">
        <f aca="false">E112+E124</f>
        <v>0</v>
      </c>
      <c r="F126" s="1502"/>
      <c r="G126" s="1502"/>
      <c r="H126" s="1502"/>
      <c r="I126" s="1502"/>
      <c r="J126" s="1502"/>
      <c r="K126" s="1502"/>
      <c r="L126" s="1504"/>
      <c r="M126" s="1504"/>
      <c r="N126" s="1504"/>
      <c r="O126" s="1504"/>
    </row>
    <row r="127" customFormat="false" ht="12.75" hidden="false" customHeight="true" outlineLevel="0" collapsed="false">
      <c r="A127" s="1502"/>
      <c r="B127" s="1579"/>
      <c r="C127" s="1579"/>
      <c r="D127" s="1580"/>
      <c r="E127" s="1580"/>
      <c r="F127" s="1502"/>
      <c r="G127" s="1502"/>
      <c r="H127" s="1502"/>
      <c r="I127" s="1502"/>
      <c r="J127" s="1502"/>
      <c r="K127" s="1502"/>
      <c r="L127" s="1504"/>
      <c r="M127" s="1504"/>
      <c r="N127" s="1504"/>
      <c r="O127" s="1504"/>
    </row>
    <row r="128" customFormat="false" ht="12.75" hidden="false" customHeight="true" outlineLevel="0" collapsed="false">
      <c r="A128" s="1502"/>
      <c r="B128" s="1577" t="s">
        <v>1883</v>
      </c>
      <c r="C128" s="1577"/>
      <c r="D128" s="1578" t="s">
        <v>1881</v>
      </c>
      <c r="E128" s="738" t="n">
        <f aca="false">E126+C102+D102+E102+F102</f>
        <v>0</v>
      </c>
      <c r="F128" s="1502"/>
      <c r="G128" s="1502"/>
      <c r="H128" s="1502"/>
      <c r="I128" s="1502"/>
      <c r="J128" s="1502"/>
      <c r="K128" s="1502"/>
      <c r="L128" s="1504"/>
      <c r="M128" s="1504"/>
      <c r="N128" s="1504"/>
      <c r="O128" s="1504"/>
    </row>
    <row r="129" customFormat="false" ht="12.75" hidden="false" customHeight="true" outlineLevel="0" collapsed="false">
      <c r="A129" s="1502"/>
      <c r="B129" s="1502"/>
      <c r="C129" s="1581"/>
      <c r="D129" s="1502"/>
      <c r="E129" s="1502"/>
      <c r="F129" s="1502"/>
      <c r="G129" s="1502"/>
      <c r="H129" s="1502"/>
      <c r="I129" s="1502"/>
      <c r="J129" s="1502"/>
      <c r="K129" s="1502"/>
      <c r="L129" s="1504"/>
      <c r="M129" s="1504"/>
      <c r="N129" s="1504"/>
      <c r="O129" s="1504"/>
    </row>
    <row r="130" customFormat="false" ht="12.75" hidden="false" customHeight="true" outlineLevel="0" collapsed="false">
      <c r="A130" s="1502"/>
      <c r="B130" s="1502"/>
      <c r="C130" s="1502"/>
      <c r="D130" s="1502"/>
      <c r="E130" s="1502"/>
      <c r="F130" s="1502"/>
      <c r="G130" s="1502"/>
      <c r="H130" s="1502"/>
      <c r="I130" s="1502"/>
      <c r="J130" s="1502"/>
      <c r="K130" s="1502"/>
      <c r="L130" s="1504"/>
      <c r="M130" s="1504"/>
      <c r="N130" s="1504"/>
      <c r="O130" s="1504"/>
    </row>
    <row r="131" customFormat="false" ht="12.75" hidden="false" customHeight="true" outlineLevel="0" collapsed="false">
      <c r="A131" s="1502"/>
      <c r="B131" s="1502"/>
      <c r="C131" s="1502"/>
      <c r="D131" s="1502"/>
      <c r="E131" s="1502"/>
      <c r="F131" s="1502"/>
      <c r="G131" s="1502"/>
      <c r="H131" s="1502"/>
      <c r="I131" s="1502"/>
      <c r="J131" s="1502"/>
      <c r="K131" s="1502"/>
      <c r="L131" s="1504"/>
      <c r="M131" s="1504"/>
      <c r="N131" s="1504"/>
      <c r="O131" s="1504"/>
    </row>
    <row r="132" customFormat="false" ht="20.25" hidden="false" customHeight="true" outlineLevel="0" collapsed="false">
      <c r="A132" s="1511" t="s">
        <v>1884</v>
      </c>
      <c r="B132" s="1511"/>
      <c r="C132" s="1511"/>
      <c r="D132" s="1511"/>
      <c r="E132" s="1511"/>
      <c r="F132" s="1511"/>
      <c r="G132" s="1511"/>
      <c r="H132" s="1511"/>
      <c r="I132" s="1511"/>
      <c r="J132" s="1502"/>
      <c r="K132" s="1502"/>
      <c r="L132" s="1504"/>
      <c r="M132" s="1504"/>
      <c r="N132" s="1504"/>
      <c r="O132" s="1504"/>
    </row>
    <row r="133" customFormat="false" ht="12.75" hidden="false" customHeight="true" outlineLevel="0" collapsed="false">
      <c r="A133" s="1513"/>
      <c r="B133" s="1502"/>
      <c r="C133" s="1502"/>
      <c r="D133" s="1502"/>
      <c r="E133" s="1502"/>
      <c r="F133" s="1502"/>
      <c r="G133" s="1502"/>
      <c r="H133" s="1502"/>
      <c r="I133" s="1502"/>
      <c r="J133" s="1502"/>
      <c r="K133" s="1502"/>
      <c r="L133" s="1504"/>
      <c r="M133" s="1504"/>
      <c r="N133" s="1504"/>
      <c r="O133" s="1504"/>
    </row>
    <row r="134" customFormat="false" ht="12.75" hidden="false" customHeight="true" outlineLevel="0" collapsed="false">
      <c r="A134" s="1502"/>
      <c r="B134" s="1502"/>
      <c r="C134" s="1502"/>
      <c r="D134" s="1502"/>
      <c r="E134" s="1502"/>
      <c r="F134" s="1502"/>
      <c r="G134" s="1502"/>
      <c r="H134" s="1502"/>
      <c r="I134" s="1502"/>
      <c r="J134" s="1502"/>
      <c r="K134" s="1502"/>
      <c r="L134" s="1504"/>
      <c r="M134" s="1504"/>
      <c r="N134" s="1504"/>
      <c r="O134" s="1504"/>
    </row>
    <row r="135" customFormat="false" ht="25.5" hidden="false" customHeight="true" outlineLevel="0" collapsed="false">
      <c r="A135" s="1504"/>
      <c r="B135" s="924" t="s">
        <v>1885</v>
      </c>
      <c r="C135" s="1532" t="s">
        <v>406</v>
      </c>
      <c r="D135" s="1532" t="s">
        <v>406</v>
      </c>
      <c r="E135" s="1504"/>
      <c r="F135" s="1504"/>
      <c r="G135" s="1504"/>
      <c r="H135" s="1504"/>
      <c r="I135" s="1504"/>
      <c r="J135" s="1504"/>
      <c r="K135" s="1504"/>
      <c r="L135" s="1504"/>
      <c r="M135" s="1504"/>
      <c r="N135" s="1504"/>
      <c r="O135" s="1504"/>
    </row>
    <row r="136" customFormat="false" ht="25.5" hidden="false" customHeight="true" outlineLevel="0" collapsed="false">
      <c r="A136" s="1559" t="s">
        <v>1886</v>
      </c>
      <c r="B136" s="1582" t="s">
        <v>1887</v>
      </c>
      <c r="C136" s="1583" t="s">
        <v>1888</v>
      </c>
      <c r="D136" s="1533" t="s">
        <v>1862</v>
      </c>
      <c r="E136" s="1517" t="s">
        <v>1827</v>
      </c>
      <c r="F136" s="1504"/>
      <c r="G136" s="1504"/>
      <c r="H136" s="1504"/>
      <c r="I136" s="1504"/>
      <c r="J136" s="1504"/>
      <c r="K136" s="1504"/>
      <c r="L136" s="1504"/>
      <c r="M136" s="1504"/>
      <c r="N136" s="1504"/>
      <c r="O136" s="1504"/>
    </row>
    <row r="137" customFormat="false" ht="12.75" hidden="false" customHeight="true" outlineLevel="0" collapsed="false">
      <c r="A137" s="1523" t="s">
        <v>1094</v>
      </c>
      <c r="B137" s="1547"/>
      <c r="C137" s="1584"/>
      <c r="D137" s="619"/>
      <c r="E137" s="1526" t="n">
        <v>7</v>
      </c>
      <c r="F137" s="1504"/>
      <c r="G137" s="1504"/>
      <c r="H137" s="1504"/>
      <c r="I137" s="1504"/>
      <c r="J137" s="1504"/>
      <c r="K137" s="1504"/>
      <c r="L137" s="1504"/>
      <c r="M137" s="1504"/>
      <c r="N137" s="1504"/>
      <c r="O137" s="1504"/>
    </row>
    <row r="138" customFormat="false" ht="12.75" hidden="false" customHeight="true" outlineLevel="0" collapsed="false">
      <c r="A138" s="1585" t="s">
        <v>193</v>
      </c>
      <c r="B138" s="1586" t="n">
        <f aca="false">'Saisie et Calculateur'!C159</f>
        <v>0</v>
      </c>
      <c r="C138" s="1584" t="n">
        <v>73</v>
      </c>
      <c r="D138" s="619" t="n">
        <f aca="false">B138*C138</f>
        <v>0</v>
      </c>
      <c r="E138" s="1526" t="n">
        <v>7</v>
      </c>
      <c r="F138" s="1504"/>
      <c r="G138" s="1504"/>
      <c r="H138" s="1504"/>
      <c r="I138" s="1504"/>
      <c r="J138" s="1504"/>
      <c r="K138" s="1504"/>
      <c r="L138" s="1504"/>
      <c r="M138" s="1504"/>
      <c r="N138" s="1504"/>
      <c r="O138" s="1504"/>
    </row>
    <row r="139" customFormat="false" ht="12.75" hidden="false" customHeight="true" outlineLevel="0" collapsed="false">
      <c r="A139" s="1585" t="s">
        <v>195</v>
      </c>
      <c r="B139" s="1586" t="n">
        <f aca="false">'Saisie et Calculateur'!C160</f>
        <v>0</v>
      </c>
      <c r="C139" s="1584" t="n">
        <v>71</v>
      </c>
      <c r="D139" s="619" t="n">
        <f aca="false">B139*C139</f>
        <v>0</v>
      </c>
      <c r="E139" s="1526" t="n">
        <v>7</v>
      </c>
      <c r="F139" s="1504"/>
      <c r="G139" s="1504"/>
      <c r="H139" s="1504"/>
      <c r="I139" s="1504"/>
      <c r="J139" s="1504"/>
      <c r="K139" s="1504"/>
      <c r="L139" s="1504"/>
      <c r="M139" s="1504"/>
      <c r="N139" s="1504"/>
      <c r="O139" s="1504"/>
    </row>
    <row r="140" customFormat="false" ht="12.75" hidden="false" customHeight="true" outlineLevel="0" collapsed="false">
      <c r="A140" s="1585" t="s">
        <v>197</v>
      </c>
      <c r="B140" s="1586" t="n">
        <f aca="false">'Saisie et Calculateur'!C161</f>
        <v>0</v>
      </c>
      <c r="C140" s="1584" t="n">
        <v>68</v>
      </c>
      <c r="D140" s="619" t="n">
        <f aca="false">B140*C140</f>
        <v>0</v>
      </c>
      <c r="E140" s="1526" t="n">
        <v>7</v>
      </c>
      <c r="F140" s="1504"/>
      <c r="G140" s="1504"/>
      <c r="H140" s="1504"/>
      <c r="I140" s="1504"/>
      <c r="J140" s="1504"/>
      <c r="K140" s="1504"/>
      <c r="L140" s="1504"/>
      <c r="M140" s="1504"/>
      <c r="N140" s="1504"/>
      <c r="O140" s="1504"/>
    </row>
    <row r="141" customFormat="false" ht="12.75" hidden="false" customHeight="true" outlineLevel="0" collapsed="false">
      <c r="A141" s="1523" t="s">
        <v>1095</v>
      </c>
      <c r="B141" s="1586" t="n">
        <f aca="false">'Saisie et Calculateur'!C162</f>
        <v>0</v>
      </c>
      <c r="C141" s="1584" t="n">
        <v>56</v>
      </c>
      <c r="D141" s="619" t="n">
        <f aca="false">B141*C141</f>
        <v>0</v>
      </c>
      <c r="E141" s="1526" t="n">
        <v>7</v>
      </c>
      <c r="F141" s="1504"/>
      <c r="G141" s="1504"/>
      <c r="H141" s="1558"/>
      <c r="I141" s="1504"/>
      <c r="J141" s="1504"/>
      <c r="K141" s="1504"/>
      <c r="L141" s="1504"/>
      <c r="M141" s="1504"/>
      <c r="N141" s="1504"/>
      <c r="O141" s="1504"/>
    </row>
    <row r="142" customFormat="false" ht="12.75" hidden="false" customHeight="true" outlineLevel="0" collapsed="false">
      <c r="A142" s="1523" t="s">
        <v>1096</v>
      </c>
      <c r="B142" s="1586"/>
      <c r="C142" s="1584"/>
      <c r="D142" s="619"/>
      <c r="E142" s="1526" t="n">
        <v>7</v>
      </c>
      <c r="F142" s="1504"/>
      <c r="G142" s="1504"/>
      <c r="H142" s="1504"/>
      <c r="I142" s="1504"/>
      <c r="J142" s="1504"/>
      <c r="K142" s="1504"/>
      <c r="L142" s="1504"/>
      <c r="M142" s="1504"/>
      <c r="N142" s="1504"/>
      <c r="O142" s="1504"/>
    </row>
    <row r="143" customFormat="false" ht="12.75" hidden="false" customHeight="true" outlineLevel="0" collapsed="false">
      <c r="A143" s="1585" t="s">
        <v>203</v>
      </c>
      <c r="B143" s="1586" t="n">
        <f aca="false">'Saisie et Calculateur'!C164</f>
        <v>0</v>
      </c>
      <c r="C143" s="1584" t="n">
        <v>15.5</v>
      </c>
      <c r="D143" s="619" t="n">
        <f aca="false">B143*C143</f>
        <v>0</v>
      </c>
      <c r="E143" s="1526" t="n">
        <v>7</v>
      </c>
      <c r="F143" s="1504"/>
      <c r="G143" s="1504"/>
      <c r="H143" s="1504"/>
      <c r="I143" s="1504"/>
      <c r="J143" s="1504"/>
      <c r="K143" s="1504"/>
      <c r="L143" s="1504"/>
      <c r="M143" s="1504"/>
      <c r="N143" s="1504"/>
      <c r="O143" s="1504"/>
    </row>
    <row r="144" customFormat="false" ht="12.75" hidden="false" customHeight="true" outlineLevel="0" collapsed="false">
      <c r="A144" s="1585" t="s">
        <v>205</v>
      </c>
      <c r="B144" s="1586" t="n">
        <f aca="false">'Saisie et Calculateur'!C165</f>
        <v>0</v>
      </c>
      <c r="C144" s="1584" t="n">
        <v>13</v>
      </c>
      <c r="D144" s="619" t="n">
        <f aca="false">B144*C144</f>
        <v>0</v>
      </c>
      <c r="E144" s="1526" t="n">
        <v>7</v>
      </c>
      <c r="F144" s="1504"/>
      <c r="G144" s="1504"/>
      <c r="H144" s="1504"/>
      <c r="I144" s="1504"/>
      <c r="J144" s="1504"/>
      <c r="K144" s="1504"/>
      <c r="L144" s="1504"/>
      <c r="M144" s="1504"/>
      <c r="N144" s="1504"/>
      <c r="O144" s="1504"/>
    </row>
    <row r="145" customFormat="false" ht="12.75" hidden="false" customHeight="true" outlineLevel="0" collapsed="false">
      <c r="A145" s="1585" t="s">
        <v>207</v>
      </c>
      <c r="B145" s="1586" t="n">
        <f aca="false">'Saisie et Calculateur'!C166</f>
        <v>14.4</v>
      </c>
      <c r="C145" s="1584" t="n">
        <v>13</v>
      </c>
      <c r="D145" s="619" t="n">
        <f aca="false">B145*C145</f>
        <v>187.2</v>
      </c>
      <c r="E145" s="1526" t="n">
        <v>7</v>
      </c>
      <c r="F145" s="1504"/>
      <c r="G145" s="1504"/>
      <c r="H145" s="1504"/>
      <c r="I145" s="1504"/>
      <c r="J145" s="1504"/>
      <c r="K145" s="1504"/>
      <c r="L145" s="1504"/>
      <c r="M145" s="1504"/>
      <c r="N145" s="1504"/>
      <c r="O145" s="1504"/>
    </row>
    <row r="146" customFormat="false" ht="12.75" hidden="false" customHeight="true" outlineLevel="0" collapsed="false">
      <c r="A146" s="1585" t="s">
        <v>209</v>
      </c>
      <c r="B146" s="1586" t="n">
        <f aca="false">'Saisie et Calculateur'!C167</f>
        <v>0</v>
      </c>
      <c r="C146" s="1584" t="n">
        <v>32.5</v>
      </c>
      <c r="D146" s="619" t="n">
        <f aca="false">B146*C146</f>
        <v>0</v>
      </c>
      <c r="E146" s="1526" t="n">
        <v>7</v>
      </c>
      <c r="F146" s="1504"/>
      <c r="G146" s="1504"/>
      <c r="H146" s="1504"/>
      <c r="I146" s="1504"/>
      <c r="J146" s="1504"/>
      <c r="K146" s="1504"/>
      <c r="L146" s="1504"/>
      <c r="M146" s="1504"/>
      <c r="N146" s="1504"/>
      <c r="O146" s="1504"/>
    </row>
    <row r="147" customFormat="false" ht="12.75" hidden="false" customHeight="true" outlineLevel="0" collapsed="false">
      <c r="A147" s="1585" t="s">
        <v>211</v>
      </c>
      <c r="B147" s="1586" t="n">
        <f aca="false">'Saisie et Calculateur'!C168</f>
        <v>0</v>
      </c>
      <c r="C147" s="1584" t="n">
        <v>55.5</v>
      </c>
      <c r="D147" s="619" t="n">
        <f aca="false">B147*C147</f>
        <v>0</v>
      </c>
      <c r="E147" s="1526" t="n">
        <v>7</v>
      </c>
      <c r="F147" s="1504"/>
      <c r="G147" s="1504"/>
      <c r="H147" s="1504"/>
      <c r="I147" s="1504"/>
      <c r="J147" s="1504"/>
      <c r="K147" s="1504"/>
      <c r="L147" s="1504"/>
      <c r="M147" s="1504"/>
      <c r="N147" s="1504"/>
      <c r="O147" s="1504"/>
    </row>
    <row r="148" customFormat="false" ht="12.75" hidden="false" customHeight="true" outlineLevel="0" collapsed="false">
      <c r="A148" s="1585" t="str">
        <f aca="false">'Saisie et Calculateur'!B169</f>
        <v>autre.1</v>
      </c>
      <c r="B148" s="1586" t="n">
        <f aca="false">'Saisie et Calculateur'!C169</f>
        <v>57.6</v>
      </c>
      <c r="C148" s="1587" t="n">
        <v>13</v>
      </c>
      <c r="D148" s="619" t="n">
        <f aca="false">B148*C148</f>
        <v>748.8</v>
      </c>
      <c r="E148" s="1526"/>
      <c r="F148" s="1504"/>
      <c r="G148" s="1504"/>
      <c r="H148" s="1504"/>
      <c r="I148" s="1504"/>
      <c r="J148" s="1504"/>
      <c r="K148" s="1504"/>
      <c r="L148" s="1504"/>
      <c r="M148" s="1504"/>
      <c r="N148" s="1504"/>
      <c r="O148" s="1504"/>
    </row>
    <row r="149" customFormat="false" ht="12.75" hidden="false" customHeight="true" outlineLevel="0" collapsed="false">
      <c r="A149" s="1585" t="str">
        <f aca="false">'Saisie et Calculateur'!B170</f>
        <v>autre.2</v>
      </c>
      <c r="B149" s="1586" t="n">
        <f aca="false">'Saisie et Calculateur'!C170</f>
        <v>0</v>
      </c>
      <c r="C149" s="1587"/>
      <c r="D149" s="619" t="n">
        <f aca="false">B149*C149</f>
        <v>0</v>
      </c>
      <c r="E149" s="1526"/>
      <c r="F149" s="1504"/>
      <c r="G149" s="1504"/>
      <c r="H149" s="1504"/>
      <c r="I149" s="1504"/>
      <c r="J149" s="1504"/>
      <c r="K149" s="1504"/>
      <c r="L149" s="1504"/>
      <c r="M149" s="1504"/>
      <c r="N149" s="1504"/>
      <c r="O149" s="1504"/>
    </row>
    <row r="150" customFormat="false" ht="12.75" hidden="false" customHeight="true" outlineLevel="0" collapsed="false">
      <c r="A150" s="1523" t="s">
        <v>217</v>
      </c>
      <c r="B150" s="1586" t="n">
        <f aca="false">'Saisie et Calculateur'!C171</f>
        <v>0</v>
      </c>
      <c r="C150" s="1584" t="n">
        <v>16</v>
      </c>
      <c r="D150" s="619" t="n">
        <f aca="false">B150*C150</f>
        <v>0</v>
      </c>
      <c r="E150" s="1526" t="n">
        <v>7</v>
      </c>
      <c r="F150" s="1504"/>
      <c r="G150" s="1504"/>
      <c r="H150" s="1504"/>
      <c r="I150" s="1504"/>
      <c r="J150" s="1504"/>
      <c r="K150" s="1504"/>
      <c r="L150" s="1504"/>
      <c r="M150" s="1504"/>
      <c r="N150" s="1504"/>
      <c r="O150" s="1504"/>
    </row>
    <row r="151" customFormat="false" ht="12.75" hidden="false" customHeight="true" outlineLevel="0" collapsed="false">
      <c r="A151" s="1523" t="s">
        <v>219</v>
      </c>
      <c r="B151" s="1586"/>
      <c r="C151" s="1584"/>
      <c r="D151" s="619"/>
      <c r="E151" s="1526" t="n">
        <v>7</v>
      </c>
      <c r="F151" s="1504"/>
      <c r="G151" s="1504"/>
      <c r="H151" s="1504"/>
      <c r="I151" s="1504"/>
      <c r="J151" s="1504"/>
      <c r="K151" s="1504"/>
      <c r="L151" s="1504"/>
      <c r="M151" s="1504"/>
      <c r="N151" s="1504"/>
      <c r="O151" s="1504"/>
    </row>
    <row r="152" customFormat="false" ht="12.75" hidden="false" customHeight="true" outlineLevel="0" collapsed="false">
      <c r="A152" s="1585" t="s">
        <v>220</v>
      </c>
      <c r="B152" s="1586" t="n">
        <f aca="false">'Saisie et Calculateur'!C173</f>
        <v>0</v>
      </c>
      <c r="C152" s="1584" t="n">
        <v>19.2</v>
      </c>
      <c r="D152" s="619" t="n">
        <f aca="false">B152*C152</f>
        <v>0</v>
      </c>
      <c r="E152" s="1526" t="n">
        <v>7</v>
      </c>
      <c r="F152" s="1504"/>
      <c r="G152" s="1504"/>
      <c r="H152" s="1504"/>
      <c r="I152" s="1504"/>
      <c r="J152" s="1504"/>
      <c r="K152" s="1504"/>
      <c r="L152" s="1504"/>
      <c r="M152" s="1504"/>
      <c r="N152" s="1504"/>
      <c r="O152" s="1504"/>
    </row>
    <row r="153" customFormat="false" ht="12.75" hidden="false" customHeight="true" outlineLevel="0" collapsed="false">
      <c r="A153" s="1585" t="s">
        <v>221</v>
      </c>
      <c r="B153" s="1586" t="n">
        <f aca="false">'Saisie et Calculateur'!C174</f>
        <v>0</v>
      </c>
      <c r="C153" s="1584" t="n">
        <v>22.4</v>
      </c>
      <c r="D153" s="619" t="n">
        <f aca="false">B153*C153</f>
        <v>0</v>
      </c>
      <c r="E153" s="1526" t="n">
        <v>7</v>
      </c>
      <c r="F153" s="1504"/>
      <c r="G153" s="1504"/>
      <c r="H153" s="1504"/>
      <c r="I153" s="1504"/>
      <c r="J153" s="1504"/>
      <c r="K153" s="1504"/>
      <c r="L153" s="1504"/>
      <c r="M153" s="1504"/>
      <c r="N153" s="1504"/>
      <c r="O153" s="1504"/>
    </row>
    <row r="154" customFormat="false" ht="12.75" hidden="false" customHeight="true" outlineLevel="0" collapsed="false">
      <c r="A154" s="1585" t="s">
        <v>222</v>
      </c>
      <c r="B154" s="1586" t="n">
        <f aca="false">'Saisie et Calculateur'!C175</f>
        <v>0</v>
      </c>
      <c r="C154" s="1584" t="n">
        <v>29</v>
      </c>
      <c r="D154" s="619" t="n">
        <f aca="false">B154*C154</f>
        <v>0</v>
      </c>
      <c r="E154" s="1526" t="n">
        <v>7</v>
      </c>
      <c r="F154" s="1504"/>
      <c r="G154" s="1504"/>
      <c r="H154" s="1504"/>
      <c r="I154" s="1504"/>
      <c r="J154" s="1504"/>
      <c r="K154" s="1504"/>
      <c r="L154" s="1504"/>
      <c r="M154" s="1504"/>
      <c r="N154" s="1504"/>
      <c r="O154" s="1504"/>
    </row>
    <row r="155" customFormat="false" ht="12.75" hidden="false" customHeight="true" outlineLevel="0" collapsed="false">
      <c r="A155" s="1585" t="s">
        <v>223</v>
      </c>
      <c r="B155" s="1586" t="n">
        <f aca="false">'Saisie et Calculateur'!C176</f>
        <v>0</v>
      </c>
      <c r="C155" s="1584" t="n">
        <v>35</v>
      </c>
      <c r="D155" s="619" t="n">
        <f aca="false">B155*C155</f>
        <v>0</v>
      </c>
      <c r="E155" s="1526" t="n">
        <v>7</v>
      </c>
      <c r="F155" s="1504"/>
      <c r="G155" s="1504"/>
      <c r="H155" s="1504"/>
      <c r="I155" s="1504"/>
      <c r="J155" s="1504"/>
      <c r="K155" s="1504"/>
      <c r="L155" s="1504"/>
      <c r="M155" s="1504"/>
      <c r="N155" s="1504"/>
      <c r="O155" s="1504"/>
    </row>
    <row r="156" customFormat="false" ht="12.75" hidden="false" customHeight="true" outlineLevel="0" collapsed="false">
      <c r="A156" s="1585" t="s">
        <v>224</v>
      </c>
      <c r="B156" s="1586" t="n">
        <f aca="false">'Saisie et Calculateur'!C177</f>
        <v>0</v>
      </c>
      <c r="C156" s="1584" t="n">
        <v>42</v>
      </c>
      <c r="D156" s="619" t="n">
        <f aca="false">B156*C156</f>
        <v>0</v>
      </c>
      <c r="E156" s="1526" t="n">
        <v>7</v>
      </c>
      <c r="F156" s="1504"/>
      <c r="G156" s="1504"/>
      <c r="H156" s="1504"/>
      <c r="I156" s="1504"/>
      <c r="J156" s="1504"/>
      <c r="K156" s="1504"/>
      <c r="L156" s="1504"/>
      <c r="M156" s="1504"/>
      <c r="N156" s="1504"/>
      <c r="O156" s="1504"/>
    </row>
    <row r="157" customFormat="false" ht="12.75" hidden="false" customHeight="true" outlineLevel="0" collapsed="false">
      <c r="A157" s="1585" t="s">
        <v>225</v>
      </c>
      <c r="B157" s="1586" t="n">
        <f aca="false">'Saisie et Calculateur'!C178</f>
        <v>0</v>
      </c>
      <c r="C157" s="1584" t="n">
        <v>48</v>
      </c>
      <c r="D157" s="619" t="n">
        <f aca="false">B157*C157</f>
        <v>0</v>
      </c>
      <c r="E157" s="1526" t="n">
        <v>7</v>
      </c>
      <c r="F157" s="1504"/>
      <c r="G157" s="1504"/>
      <c r="H157" s="1504"/>
      <c r="I157" s="1504"/>
      <c r="J157" s="1504"/>
      <c r="K157" s="1504"/>
      <c r="L157" s="1504"/>
      <c r="M157" s="1504"/>
      <c r="N157" s="1504"/>
      <c r="O157" s="1504"/>
    </row>
    <row r="158" customFormat="false" ht="12.75" hidden="false" customHeight="true" outlineLevel="0" collapsed="false">
      <c r="A158" s="1585" t="s">
        <v>228</v>
      </c>
      <c r="B158" s="1586" t="n">
        <f aca="false">'Saisie et Calculateur'!C179</f>
        <v>0</v>
      </c>
      <c r="C158" s="1584" t="n">
        <v>58</v>
      </c>
      <c r="D158" s="619" t="n">
        <f aca="false">B158*C158</f>
        <v>0</v>
      </c>
      <c r="E158" s="1526" t="n">
        <v>7</v>
      </c>
      <c r="F158" s="1504"/>
      <c r="G158" s="1504"/>
      <c r="H158" s="1504"/>
      <c r="I158" s="1504"/>
      <c r="J158" s="1504"/>
      <c r="K158" s="1504"/>
      <c r="L158" s="1504"/>
      <c r="M158" s="1504"/>
      <c r="N158" s="1504"/>
      <c r="O158" s="1504"/>
    </row>
    <row r="159" customFormat="false" ht="12.75" hidden="false" customHeight="true" outlineLevel="0" collapsed="false">
      <c r="A159" s="1585" t="s">
        <v>231</v>
      </c>
      <c r="B159" s="1586" t="n">
        <f aca="false">'Saisie et Calculateur'!C180</f>
        <v>0</v>
      </c>
      <c r="C159" s="1584" t="n">
        <v>64</v>
      </c>
      <c r="D159" s="619" t="n">
        <f aca="false">B159*C159</f>
        <v>0</v>
      </c>
      <c r="E159" s="1526" t="n">
        <v>7</v>
      </c>
      <c r="F159" s="1504"/>
      <c r="G159" s="1504"/>
      <c r="H159" s="1504"/>
      <c r="I159" s="1504"/>
      <c r="J159" s="1504"/>
      <c r="K159" s="1504"/>
      <c r="L159" s="1504"/>
      <c r="M159" s="1504"/>
      <c r="N159" s="1504"/>
      <c r="O159" s="1504"/>
    </row>
    <row r="160" customFormat="false" ht="12.75" hidden="false" customHeight="true" outlineLevel="0" collapsed="false">
      <c r="A160" s="1585" t="s">
        <v>232</v>
      </c>
      <c r="B160" s="1586" t="n">
        <f aca="false">'Saisie et Calculateur'!C181</f>
        <v>0</v>
      </c>
      <c r="C160" s="1588"/>
      <c r="D160" s="619" t="n">
        <f aca="false">B160*C160</f>
        <v>0</v>
      </c>
      <c r="E160" s="1526"/>
      <c r="F160" s="1555"/>
      <c r="G160" s="1504"/>
      <c r="H160" s="1504"/>
      <c r="I160" s="1504"/>
      <c r="J160" s="1504"/>
      <c r="K160" s="1504"/>
      <c r="L160" s="1504"/>
      <c r="M160" s="1504"/>
      <c r="N160" s="1504"/>
      <c r="O160" s="1504"/>
    </row>
    <row r="161" customFormat="false" ht="12.75" hidden="false" customHeight="true" outlineLevel="0" collapsed="false">
      <c r="A161" s="1585" t="s">
        <v>233</v>
      </c>
      <c r="B161" s="1586" t="n">
        <f aca="false">'Saisie et Calculateur'!C182</f>
        <v>0</v>
      </c>
      <c r="C161" s="1589" t="n">
        <v>70</v>
      </c>
      <c r="D161" s="619" t="n">
        <f aca="false">B161*C161</f>
        <v>0</v>
      </c>
      <c r="E161" s="1526" t="n">
        <v>7</v>
      </c>
      <c r="F161" s="1555"/>
      <c r="G161" s="1504"/>
      <c r="H161" s="1504"/>
      <c r="I161" s="1504"/>
      <c r="J161" s="1504"/>
      <c r="K161" s="1504"/>
      <c r="L161" s="1504"/>
      <c r="M161" s="1504"/>
      <c r="N161" s="1504"/>
      <c r="O161" s="1504"/>
    </row>
    <row r="162" customFormat="false" ht="12.75" hidden="false" customHeight="true" outlineLevel="0" collapsed="false">
      <c r="A162" s="1523" t="s">
        <v>1105</v>
      </c>
      <c r="B162" s="1586" t="n">
        <f aca="false">'Saisie et Calculateur'!C183</f>
        <v>0</v>
      </c>
      <c r="C162" s="1584" t="n">
        <v>36</v>
      </c>
      <c r="D162" s="619" t="n">
        <f aca="false">B162*C162</f>
        <v>0</v>
      </c>
      <c r="E162" s="1526" t="n">
        <v>7</v>
      </c>
      <c r="F162" s="1504"/>
      <c r="G162" s="1504"/>
      <c r="H162" s="1504"/>
      <c r="I162" s="1504"/>
      <c r="J162" s="1504"/>
      <c r="K162" s="1504"/>
      <c r="L162" s="1504"/>
      <c r="M162" s="1504"/>
      <c r="N162" s="1504"/>
      <c r="O162" s="1504"/>
    </row>
    <row r="163" customFormat="false" ht="12.75" hidden="false" customHeight="true" outlineLevel="0" collapsed="false">
      <c r="A163" s="1523" t="s">
        <v>1889</v>
      </c>
      <c r="B163" s="1586" t="n">
        <f aca="false">'Saisie et Calculateur'!C184</f>
        <v>0</v>
      </c>
      <c r="C163" s="1584" t="n">
        <v>29</v>
      </c>
      <c r="D163" s="619" t="n">
        <f aca="false">B163*C163</f>
        <v>0</v>
      </c>
      <c r="E163" s="1526" t="n">
        <v>7</v>
      </c>
      <c r="F163" s="1504"/>
      <c r="G163" s="1504"/>
      <c r="H163" s="1504"/>
      <c r="I163" s="1504"/>
      <c r="J163" s="1504"/>
      <c r="K163" s="1504"/>
      <c r="L163" s="1504"/>
      <c r="M163" s="1504"/>
      <c r="N163" s="1504"/>
      <c r="O163" s="1504"/>
    </row>
    <row r="164" customFormat="false" ht="12.75" hidden="false" customHeight="true" outlineLevel="0" collapsed="false">
      <c r="A164" s="1523" t="s">
        <v>236</v>
      </c>
      <c r="B164" s="1586" t="n">
        <f aca="false">'Saisie et Calculateur'!C185</f>
        <v>0</v>
      </c>
      <c r="C164" s="1584" t="n">
        <v>27.2</v>
      </c>
      <c r="D164" s="619" t="n">
        <f aca="false">B164*C164</f>
        <v>0</v>
      </c>
      <c r="E164" s="1526" t="n">
        <v>7</v>
      </c>
      <c r="F164" s="1504"/>
      <c r="G164" s="1504"/>
      <c r="H164" s="1504"/>
      <c r="I164" s="1504"/>
      <c r="J164" s="1504"/>
      <c r="K164" s="1504"/>
      <c r="L164" s="1504"/>
      <c r="M164" s="1504"/>
      <c r="N164" s="1504"/>
      <c r="O164" s="1504"/>
    </row>
    <row r="165" customFormat="false" ht="12.75" hidden="false" customHeight="true" outlineLevel="0" collapsed="false">
      <c r="A165" s="1523" t="s">
        <v>237</v>
      </c>
      <c r="B165" s="1586" t="n">
        <f aca="false">'Saisie et Calculateur'!C186</f>
        <v>0</v>
      </c>
      <c r="C165" s="1584" t="n">
        <v>35.2</v>
      </c>
      <c r="D165" s="619" t="n">
        <f aca="false">B165*C165</f>
        <v>0</v>
      </c>
      <c r="E165" s="1526" t="n">
        <v>7</v>
      </c>
      <c r="F165" s="1504"/>
      <c r="G165" s="1504"/>
      <c r="H165" s="1504"/>
      <c r="I165" s="1504"/>
      <c r="J165" s="1504"/>
      <c r="K165" s="1504"/>
      <c r="L165" s="1504"/>
      <c r="M165" s="1504"/>
      <c r="N165" s="1504"/>
      <c r="O165" s="1504"/>
    </row>
    <row r="166" customFormat="false" ht="12.75" hidden="false" customHeight="true" outlineLevel="0" collapsed="false">
      <c r="A166" s="1523" t="s">
        <v>238</v>
      </c>
      <c r="B166" s="1586" t="n">
        <f aca="false">'Saisie et Calculateur'!C187</f>
        <v>0</v>
      </c>
      <c r="C166" s="1584" t="n">
        <v>26.4</v>
      </c>
      <c r="D166" s="619" t="n">
        <f aca="false">B166*C166</f>
        <v>0</v>
      </c>
      <c r="E166" s="1526" t="n">
        <v>7</v>
      </c>
      <c r="F166" s="1504"/>
      <c r="G166" s="1504"/>
      <c r="H166" s="1504"/>
      <c r="I166" s="1504"/>
      <c r="J166" s="1504"/>
      <c r="K166" s="1504"/>
      <c r="L166" s="1504"/>
      <c r="M166" s="1504"/>
      <c r="N166" s="1504"/>
      <c r="O166" s="1504"/>
    </row>
    <row r="167" customFormat="false" ht="12.75" hidden="false" customHeight="true" outlineLevel="0" collapsed="false">
      <c r="A167" s="1523" t="s">
        <v>1106</v>
      </c>
      <c r="B167" s="1586"/>
      <c r="C167" s="1584"/>
      <c r="D167" s="619"/>
      <c r="E167" s="1526" t="n">
        <v>7</v>
      </c>
      <c r="F167" s="1504"/>
      <c r="G167" s="1504"/>
      <c r="H167" s="1504"/>
      <c r="I167" s="1504"/>
      <c r="J167" s="1504"/>
      <c r="K167" s="1504"/>
      <c r="L167" s="1504"/>
      <c r="M167" s="1504"/>
      <c r="N167" s="1504"/>
      <c r="O167" s="1504"/>
    </row>
    <row r="168" customFormat="false" ht="12.75" hidden="false" customHeight="true" outlineLevel="0" collapsed="false">
      <c r="A168" s="1585" t="s">
        <v>240</v>
      </c>
      <c r="B168" s="1586" t="n">
        <f aca="false">'Saisie et Calculateur'!C189</f>
        <v>0</v>
      </c>
      <c r="C168" s="1584" t="n">
        <v>25.6</v>
      </c>
      <c r="D168" s="619" t="n">
        <f aca="false">B168*C168</f>
        <v>0</v>
      </c>
      <c r="E168" s="1526" t="n">
        <v>7</v>
      </c>
      <c r="F168" s="1504"/>
      <c r="G168" s="1504"/>
      <c r="H168" s="1504"/>
      <c r="I168" s="1504"/>
      <c r="J168" s="1504"/>
      <c r="K168" s="1504"/>
      <c r="L168" s="1504"/>
      <c r="M168" s="1504"/>
      <c r="N168" s="1504"/>
      <c r="O168" s="1504"/>
    </row>
    <row r="169" customFormat="false" ht="12.75" hidden="false" customHeight="true" outlineLevel="0" collapsed="false">
      <c r="A169" s="1585" t="s">
        <v>241</v>
      </c>
      <c r="B169" s="1586" t="n">
        <f aca="false">'Saisie et Calculateur'!C190</f>
        <v>0</v>
      </c>
      <c r="C169" s="1584" t="n">
        <v>28.8</v>
      </c>
      <c r="D169" s="619" t="n">
        <f aca="false">B169*C169</f>
        <v>0</v>
      </c>
      <c r="E169" s="1526" t="n">
        <v>7</v>
      </c>
      <c r="F169" s="1504"/>
      <c r="G169" s="1504"/>
      <c r="H169" s="1504"/>
      <c r="I169" s="1504"/>
      <c r="J169" s="1504"/>
      <c r="K169" s="1504"/>
      <c r="L169" s="1504"/>
      <c r="M169" s="1504"/>
      <c r="N169" s="1504"/>
      <c r="O169" s="1504"/>
    </row>
    <row r="170" customFormat="false" ht="12.75" hidden="false" customHeight="true" outlineLevel="0" collapsed="false">
      <c r="A170" s="1585" t="s">
        <v>242</v>
      </c>
      <c r="B170" s="1586" t="n">
        <f aca="false">'Saisie et Calculateur'!C191</f>
        <v>0</v>
      </c>
      <c r="C170" s="1584" t="n">
        <v>32</v>
      </c>
      <c r="D170" s="619" t="n">
        <f aca="false">B170*C170</f>
        <v>0</v>
      </c>
      <c r="E170" s="1526" t="n">
        <v>7</v>
      </c>
      <c r="F170" s="1504"/>
      <c r="G170" s="1504"/>
      <c r="H170" s="1504"/>
      <c r="I170" s="1504"/>
      <c r="J170" s="1504"/>
      <c r="K170" s="1504"/>
      <c r="L170" s="1504"/>
      <c r="M170" s="1504"/>
      <c r="N170" s="1504"/>
      <c r="O170" s="1504"/>
    </row>
    <row r="171" customFormat="false" ht="12.75" hidden="false" customHeight="true" outlineLevel="0" collapsed="false">
      <c r="A171" s="1585" t="s">
        <v>243</v>
      </c>
      <c r="B171" s="1586" t="n">
        <f aca="false">'Saisie et Calculateur'!C192</f>
        <v>0</v>
      </c>
      <c r="C171" s="1584" t="n">
        <v>35.2</v>
      </c>
      <c r="D171" s="619" t="n">
        <f aca="false">B171*C171</f>
        <v>0</v>
      </c>
      <c r="E171" s="1526" t="n">
        <v>7</v>
      </c>
      <c r="F171" s="1504"/>
      <c r="G171" s="1504"/>
      <c r="H171" s="1504"/>
      <c r="I171" s="1504"/>
      <c r="J171" s="1504"/>
      <c r="K171" s="1504"/>
      <c r="L171" s="1504"/>
      <c r="M171" s="1504"/>
      <c r="N171" s="1504"/>
      <c r="O171" s="1504"/>
    </row>
    <row r="172" customFormat="false" ht="12.75" hidden="false" customHeight="true" outlineLevel="0" collapsed="false">
      <c r="A172" s="1523" t="s">
        <v>1107</v>
      </c>
      <c r="B172" s="1586" t="n">
        <f aca="false">'Saisie et Calculateur'!C193</f>
        <v>0</v>
      </c>
      <c r="C172" s="1587"/>
      <c r="D172" s="619" t="n">
        <f aca="false">B172*C172</f>
        <v>0</v>
      </c>
      <c r="E172" s="1526"/>
      <c r="F172" s="1504"/>
      <c r="G172" s="1504"/>
      <c r="H172" s="1504"/>
      <c r="I172" s="1504"/>
      <c r="J172" s="1504"/>
      <c r="K172" s="1504"/>
      <c r="L172" s="1504"/>
      <c r="M172" s="1504"/>
      <c r="N172" s="1504"/>
      <c r="O172" s="1504"/>
    </row>
    <row r="173" customFormat="false" ht="12.75" hidden="false" customHeight="true" outlineLevel="0" collapsed="false">
      <c r="A173" s="1523" t="s">
        <v>1108</v>
      </c>
      <c r="B173" s="1586" t="n">
        <f aca="false">'Saisie et Calculateur'!C194</f>
        <v>0</v>
      </c>
      <c r="C173" s="1587"/>
      <c r="D173" s="619" t="n">
        <f aca="false">B173*C173</f>
        <v>0</v>
      </c>
      <c r="E173" s="1526"/>
      <c r="F173" s="1504"/>
      <c r="G173" s="1504"/>
      <c r="H173" s="1504"/>
      <c r="I173" s="1504"/>
      <c r="J173" s="1504"/>
      <c r="K173" s="1504"/>
      <c r="L173" s="1504"/>
      <c r="M173" s="1504"/>
      <c r="N173" s="1504"/>
      <c r="O173" s="1504"/>
    </row>
    <row r="174" customFormat="false" ht="12.75" hidden="false" customHeight="true" outlineLevel="0" collapsed="false">
      <c r="A174" s="1523" t="s">
        <v>1109</v>
      </c>
      <c r="B174" s="1586" t="n">
        <f aca="false">'Saisie et Calculateur'!C195</f>
        <v>0</v>
      </c>
      <c r="C174" s="1587"/>
      <c r="D174" s="619" t="n">
        <f aca="false">B174*C174</f>
        <v>0</v>
      </c>
      <c r="E174" s="1526"/>
      <c r="F174" s="1504"/>
      <c r="G174" s="1504"/>
      <c r="H174" s="1504"/>
      <c r="I174" s="1504"/>
      <c r="J174" s="1504"/>
      <c r="K174" s="1504"/>
      <c r="L174" s="1504"/>
      <c r="M174" s="1504"/>
      <c r="N174" s="1504"/>
      <c r="O174" s="1504"/>
    </row>
    <row r="175" customFormat="false" ht="12.75" hidden="false" customHeight="true" outlineLevel="0" collapsed="false">
      <c r="A175" s="1523" t="s">
        <v>1110</v>
      </c>
      <c r="B175" s="1586" t="n">
        <f aca="false">'Saisie et Calculateur'!C196</f>
        <v>0</v>
      </c>
      <c r="C175" s="1587"/>
      <c r="D175" s="619" t="n">
        <f aca="false">B175*C175</f>
        <v>0</v>
      </c>
      <c r="E175" s="1526"/>
      <c r="F175" s="1504"/>
      <c r="G175" s="1504"/>
      <c r="H175" s="1504"/>
      <c r="I175" s="1504"/>
      <c r="J175" s="1504"/>
      <c r="K175" s="1504"/>
      <c r="L175" s="1504"/>
      <c r="M175" s="1504"/>
      <c r="N175" s="1504"/>
      <c r="O175" s="1504"/>
    </row>
    <row r="176" customFormat="false" ht="12.75" hidden="false" customHeight="true" outlineLevel="0" collapsed="false">
      <c r="A176" s="1523" t="s">
        <v>244</v>
      </c>
      <c r="B176" s="1586" t="n">
        <f aca="false">'Saisie et Calculateur'!C197</f>
        <v>0</v>
      </c>
      <c r="C176" s="1587"/>
      <c r="D176" s="619" t="n">
        <f aca="false">B176*C176</f>
        <v>0</v>
      </c>
      <c r="E176" s="1526"/>
      <c r="F176" s="1504"/>
      <c r="G176" s="1504"/>
      <c r="H176" s="1504"/>
      <c r="I176" s="1504"/>
      <c r="J176" s="1504"/>
      <c r="K176" s="1504"/>
      <c r="L176" s="1504"/>
      <c r="M176" s="1504"/>
      <c r="N176" s="1504"/>
      <c r="O176" s="1504"/>
    </row>
    <row r="177" customFormat="false" ht="12.75" hidden="false" customHeight="true" outlineLevel="0" collapsed="false">
      <c r="A177" s="1590" t="s">
        <v>1090</v>
      </c>
      <c r="B177" s="1591" t="s">
        <v>1890</v>
      </c>
      <c r="C177" s="1582" t="s">
        <v>1891</v>
      </c>
      <c r="D177" s="1582" t="s">
        <v>1881</v>
      </c>
      <c r="E177" s="1526"/>
      <c r="F177" s="1504"/>
      <c r="G177" s="1504"/>
      <c r="H177" s="1504"/>
      <c r="I177" s="1504"/>
      <c r="J177" s="1504"/>
      <c r="K177" s="1504"/>
      <c r="L177" s="1504"/>
      <c r="M177" s="1504"/>
      <c r="N177" s="1504"/>
      <c r="O177" s="1504"/>
    </row>
    <row r="178" customFormat="false" ht="12.75" hidden="false" customHeight="true" outlineLevel="0" collapsed="false">
      <c r="A178" s="1592" t="s">
        <v>192</v>
      </c>
      <c r="B178" s="1586" t="n">
        <f aca="false">'Saisie et Calculateur'!I158</f>
        <v>0</v>
      </c>
      <c r="C178" s="1584" t="n">
        <v>12.5</v>
      </c>
      <c r="D178" s="619" t="n">
        <f aca="false">B178*C178</f>
        <v>0</v>
      </c>
      <c r="E178" s="1526" t="n">
        <v>7</v>
      </c>
      <c r="F178" s="1504"/>
      <c r="G178" s="1504"/>
      <c r="H178" s="1504"/>
      <c r="I178" s="1504"/>
      <c r="J178" s="1504"/>
      <c r="K178" s="1504"/>
      <c r="L178" s="1504"/>
      <c r="M178" s="1504"/>
      <c r="N178" s="1504"/>
      <c r="O178" s="1504"/>
    </row>
    <row r="179" customFormat="false" ht="12.75" hidden="false" customHeight="true" outlineLevel="0" collapsed="false">
      <c r="A179" s="1592" t="s">
        <v>194</v>
      </c>
      <c r="B179" s="1586" t="n">
        <f aca="false">'Saisie et Calculateur'!I159</f>
        <v>0</v>
      </c>
      <c r="C179" s="1584" t="n">
        <v>20</v>
      </c>
      <c r="D179" s="619" t="n">
        <f aca="false">B179*C179</f>
        <v>0</v>
      </c>
      <c r="E179" s="1526" t="n">
        <v>7</v>
      </c>
      <c r="F179" s="1504"/>
      <c r="G179" s="1504"/>
      <c r="H179" s="1504"/>
      <c r="I179" s="1504"/>
      <c r="J179" s="1504"/>
      <c r="K179" s="1504"/>
      <c r="L179" s="1504"/>
      <c r="M179" s="1504"/>
      <c r="N179" s="1504"/>
      <c r="O179" s="1504"/>
    </row>
    <row r="180" customFormat="false" ht="12.75" hidden="false" customHeight="true" outlineLevel="0" collapsed="false">
      <c r="A180" s="1592" t="s">
        <v>196</v>
      </c>
      <c r="B180" s="1586" t="n">
        <f aca="false">'Saisie et Calculateur'!I160</f>
        <v>0</v>
      </c>
      <c r="C180" s="1584" t="n">
        <v>15</v>
      </c>
      <c r="D180" s="619" t="n">
        <f aca="false">B180*C180</f>
        <v>0</v>
      </c>
      <c r="E180" s="1526" t="n">
        <v>7</v>
      </c>
      <c r="F180" s="1504"/>
      <c r="G180" s="1504"/>
      <c r="H180" s="1504"/>
      <c r="I180" s="1504"/>
      <c r="J180" s="1504"/>
      <c r="K180" s="1504"/>
      <c r="L180" s="1504"/>
      <c r="M180" s="1504"/>
      <c r="N180" s="1504"/>
      <c r="O180" s="1504"/>
    </row>
    <row r="181" customFormat="false" ht="12.75" hidden="false" customHeight="true" outlineLevel="0" collapsed="false">
      <c r="A181" s="1592" t="s">
        <v>198</v>
      </c>
      <c r="B181" s="1586" t="n">
        <f aca="false">'Saisie et Calculateur'!I161</f>
        <v>0</v>
      </c>
      <c r="C181" s="1584" t="n">
        <v>28</v>
      </c>
      <c r="D181" s="619" t="n">
        <f aca="false">B181*C181</f>
        <v>0</v>
      </c>
      <c r="E181" s="1526" t="n">
        <v>7</v>
      </c>
      <c r="F181" s="1504"/>
      <c r="G181" s="1504"/>
      <c r="H181" s="1504"/>
      <c r="I181" s="1504"/>
      <c r="J181" s="1504"/>
      <c r="K181" s="1504"/>
      <c r="L181" s="1504"/>
      <c r="M181" s="1504"/>
      <c r="N181" s="1504"/>
      <c r="O181" s="1504"/>
    </row>
    <row r="182" customFormat="false" ht="12.75" hidden="false" customHeight="true" outlineLevel="0" collapsed="false">
      <c r="A182" s="1592" t="s">
        <v>200</v>
      </c>
      <c r="B182" s="1586" t="n">
        <f aca="false">'Saisie et Calculateur'!I162</f>
        <v>0</v>
      </c>
      <c r="C182" s="1584" t="n">
        <v>25</v>
      </c>
      <c r="D182" s="619" t="n">
        <f aca="false">B182*C182</f>
        <v>0</v>
      </c>
      <c r="E182" s="1526" t="n">
        <v>7</v>
      </c>
      <c r="F182" s="1504"/>
      <c r="G182" s="1504"/>
      <c r="H182" s="1504"/>
      <c r="I182" s="1504"/>
      <c r="J182" s="1504"/>
      <c r="K182" s="1504"/>
      <c r="L182" s="1504"/>
      <c r="M182" s="1504"/>
      <c r="N182" s="1504"/>
      <c r="O182" s="1504"/>
    </row>
    <row r="183" customFormat="false" ht="12.75" hidden="false" customHeight="true" outlineLevel="0" collapsed="false">
      <c r="A183" s="1592" t="s">
        <v>202</v>
      </c>
      <c r="B183" s="1586" t="n">
        <f aca="false">'Saisie et Calculateur'!I163</f>
        <v>0</v>
      </c>
      <c r="C183" s="1584" t="n">
        <v>15</v>
      </c>
      <c r="D183" s="619" t="n">
        <f aca="false">B183*C183</f>
        <v>0</v>
      </c>
      <c r="E183" s="1526" t="n">
        <v>7</v>
      </c>
      <c r="F183" s="1504"/>
      <c r="G183" s="1504"/>
      <c r="H183" s="1504"/>
      <c r="I183" s="1504"/>
      <c r="J183" s="1504"/>
      <c r="K183" s="1504"/>
      <c r="L183" s="1504"/>
      <c r="M183" s="1504"/>
      <c r="N183" s="1504"/>
      <c r="O183" s="1504"/>
    </row>
    <row r="184" customFormat="false" ht="12.75" hidden="false" customHeight="true" outlineLevel="0" collapsed="false">
      <c r="A184" s="1592" t="s">
        <v>204</v>
      </c>
      <c r="B184" s="1586" t="n">
        <f aca="false">'Saisie et Calculateur'!I164</f>
        <v>0</v>
      </c>
      <c r="C184" s="1584" t="n">
        <v>35</v>
      </c>
      <c r="D184" s="619" t="n">
        <f aca="false">B184*C184</f>
        <v>0</v>
      </c>
      <c r="E184" s="1526" t="n">
        <v>7</v>
      </c>
      <c r="F184" s="1504"/>
      <c r="G184" s="1504"/>
      <c r="H184" s="1504"/>
      <c r="I184" s="1504"/>
      <c r="J184" s="1504"/>
      <c r="K184" s="1504"/>
      <c r="L184" s="1504"/>
      <c r="M184" s="1504"/>
      <c r="N184" s="1504"/>
      <c r="O184" s="1504"/>
    </row>
    <row r="185" customFormat="false" ht="12.75" hidden="false" customHeight="true" outlineLevel="0" collapsed="false">
      <c r="A185" s="1592" t="s">
        <v>206</v>
      </c>
      <c r="B185" s="1586" t="n">
        <f aca="false">'Saisie et Calculateur'!I165</f>
        <v>0</v>
      </c>
      <c r="C185" s="1584" t="n">
        <v>16</v>
      </c>
      <c r="D185" s="619" t="n">
        <f aca="false">B185*C185</f>
        <v>0</v>
      </c>
      <c r="E185" s="1526" t="n">
        <v>7</v>
      </c>
      <c r="F185" s="1504"/>
      <c r="G185" s="1504"/>
      <c r="H185" s="1504"/>
      <c r="I185" s="1504"/>
      <c r="J185" s="1504"/>
      <c r="K185" s="1504"/>
      <c r="L185" s="1504"/>
      <c r="M185" s="1504"/>
      <c r="N185" s="1504"/>
      <c r="O185" s="1504"/>
    </row>
    <row r="186" customFormat="false" ht="12.75" hidden="false" customHeight="true" outlineLevel="0" collapsed="false">
      <c r="A186" s="1592" t="s">
        <v>208</v>
      </c>
      <c r="B186" s="1586" t="n">
        <f aca="false">'Saisie et Calculateur'!I166</f>
        <v>0</v>
      </c>
      <c r="C186" s="1584" t="n">
        <v>16</v>
      </c>
      <c r="D186" s="619" t="n">
        <f aca="false">B186*C186</f>
        <v>0</v>
      </c>
      <c r="E186" s="1526" t="n">
        <v>7</v>
      </c>
      <c r="F186" s="1504"/>
      <c r="G186" s="1504"/>
      <c r="H186" s="1504"/>
      <c r="I186" s="1504"/>
      <c r="J186" s="1504"/>
      <c r="K186" s="1504"/>
      <c r="L186" s="1504"/>
      <c r="M186" s="1504"/>
      <c r="N186" s="1504"/>
      <c r="O186" s="1504"/>
    </row>
    <row r="187" customFormat="false" ht="12.75" hidden="false" customHeight="true" outlineLevel="0" collapsed="false">
      <c r="A187" s="1592" t="s">
        <v>210</v>
      </c>
      <c r="B187" s="1586" t="n">
        <f aca="false">'Saisie et Calculateur'!I167</f>
        <v>0</v>
      </c>
      <c r="C187" s="1584" t="n">
        <v>23.3</v>
      </c>
      <c r="D187" s="619" t="n">
        <f aca="false">B187*C187</f>
        <v>0</v>
      </c>
      <c r="E187" s="1526" t="n">
        <v>7</v>
      </c>
      <c r="F187" s="1504"/>
      <c r="G187" s="1504"/>
      <c r="H187" s="1504"/>
      <c r="I187" s="1504"/>
      <c r="J187" s="1504"/>
      <c r="K187" s="1504"/>
      <c r="L187" s="1504"/>
      <c r="M187" s="1504"/>
      <c r="N187" s="1504"/>
      <c r="O187" s="1504"/>
    </row>
    <row r="188" customFormat="false" ht="12.75" hidden="false" customHeight="true" outlineLevel="0" collapsed="false">
      <c r="A188" s="1592" t="s">
        <v>212</v>
      </c>
      <c r="B188" s="1586" t="n">
        <f aca="false">'Saisie et Calculateur'!I168</f>
        <v>0</v>
      </c>
      <c r="C188" s="1584" t="n">
        <v>48</v>
      </c>
      <c r="D188" s="619" t="n">
        <f aca="false">B188*C188</f>
        <v>0</v>
      </c>
      <c r="E188" s="1526" t="n">
        <v>7</v>
      </c>
      <c r="F188" s="1504"/>
      <c r="G188" s="1504"/>
      <c r="H188" s="1504"/>
      <c r="I188" s="1504"/>
      <c r="J188" s="1504"/>
      <c r="K188" s="1504"/>
      <c r="L188" s="1504"/>
      <c r="M188" s="1504"/>
      <c r="N188" s="1504"/>
      <c r="O188" s="1504"/>
    </row>
    <row r="189" customFormat="false" ht="12.75" hidden="false" customHeight="true" outlineLevel="0" collapsed="false">
      <c r="A189" s="1592" t="s">
        <v>214</v>
      </c>
      <c r="B189" s="1586" t="n">
        <f aca="false">'Saisie et Calculateur'!I169</f>
        <v>0</v>
      </c>
      <c r="C189" s="1584" t="n">
        <v>16</v>
      </c>
      <c r="D189" s="619" t="n">
        <f aca="false">B189*C189</f>
        <v>0</v>
      </c>
      <c r="E189" s="1526" t="n">
        <v>7</v>
      </c>
      <c r="F189" s="1593"/>
      <c r="G189" s="1504" t="s">
        <v>1892</v>
      </c>
      <c r="H189" s="1504"/>
      <c r="I189" s="1504"/>
      <c r="J189" s="1504"/>
      <c r="K189" s="1504"/>
      <c r="L189" s="1504"/>
      <c r="M189" s="1504"/>
      <c r="N189" s="1504"/>
      <c r="O189" s="1504"/>
    </row>
    <row r="190" customFormat="false" ht="12.75" hidden="false" customHeight="true" outlineLevel="0" collapsed="false">
      <c r="A190" s="1592" t="s">
        <v>216</v>
      </c>
      <c r="B190" s="1586" t="n">
        <f aca="false">'Saisie et Calculateur'!I170</f>
        <v>0</v>
      </c>
      <c r="C190" s="1584" t="n">
        <v>6</v>
      </c>
      <c r="D190" s="619" t="n">
        <f aca="false">B190*C190</f>
        <v>0</v>
      </c>
      <c r="E190" s="1526" t="n">
        <v>7</v>
      </c>
      <c r="F190" s="1593"/>
      <c r="G190" s="1504"/>
      <c r="H190" s="1504"/>
      <c r="I190" s="1504"/>
      <c r="J190" s="1504"/>
      <c r="K190" s="1504"/>
      <c r="L190" s="1504"/>
      <c r="M190" s="1504"/>
      <c r="N190" s="1504"/>
      <c r="O190" s="1504"/>
    </row>
    <row r="191" customFormat="false" ht="12.75" hidden="false" customHeight="true" outlineLevel="0" collapsed="false">
      <c r="A191" s="1592" t="s">
        <v>218</v>
      </c>
      <c r="B191" s="1586" t="n">
        <f aca="false">'Saisie et Calculateur'!I171</f>
        <v>0</v>
      </c>
      <c r="C191" s="1584" t="n">
        <v>14</v>
      </c>
      <c r="D191" s="619" t="n">
        <f aca="false">B191*C191</f>
        <v>0</v>
      </c>
      <c r="E191" s="1526" t="n">
        <v>7</v>
      </c>
      <c r="F191" s="1504"/>
      <c r="G191" s="1504"/>
      <c r="H191" s="1504"/>
      <c r="I191" s="1504"/>
      <c r="J191" s="1504"/>
      <c r="K191" s="1504"/>
      <c r="L191" s="1504"/>
      <c r="M191" s="1504"/>
      <c r="N191" s="1504"/>
      <c r="O191" s="1504"/>
    </row>
    <row r="192" customFormat="false" ht="14.25" hidden="false" customHeight="true" outlineLevel="0" collapsed="false">
      <c r="A192" s="1594"/>
      <c r="B192" s="1595"/>
      <c r="C192" s="1596"/>
      <c r="D192" s="1597"/>
      <c r="E192" s="1554"/>
      <c r="F192" s="1504"/>
      <c r="G192" s="1504"/>
      <c r="H192" s="1504"/>
      <c r="I192" s="1504"/>
      <c r="J192" s="1504"/>
      <c r="K192" s="1504"/>
      <c r="L192" s="1504"/>
      <c r="M192" s="1504"/>
      <c r="N192" s="1504"/>
      <c r="O192" s="1504"/>
    </row>
    <row r="193" customFormat="false" ht="12.75" hidden="false" customHeight="true" outlineLevel="0" collapsed="false">
      <c r="A193" s="1504"/>
      <c r="B193" s="1504"/>
      <c r="C193" s="1504"/>
      <c r="D193" s="1504"/>
      <c r="E193" s="1504"/>
      <c r="F193" s="1504"/>
      <c r="G193" s="1504"/>
      <c r="H193" s="1504"/>
      <c r="I193" s="1504"/>
      <c r="J193" s="1504"/>
      <c r="K193" s="1504"/>
      <c r="L193" s="1504"/>
      <c r="M193" s="1504"/>
      <c r="N193" s="1504"/>
      <c r="O193" s="1504"/>
    </row>
    <row r="194" customFormat="false" ht="12.75" hidden="false" customHeight="true" outlineLevel="0" collapsed="false">
      <c r="A194" s="1504"/>
      <c r="B194" s="1532" t="s">
        <v>1244</v>
      </c>
      <c r="C194" s="1533" t="s">
        <v>551</v>
      </c>
      <c r="D194" s="738" t="n">
        <f aca="false">SUM(D138:D141,D143:D150,D152:D166,D168:D176,D178:D191)</f>
        <v>936</v>
      </c>
      <c r="E194" s="1526" t="s">
        <v>697</v>
      </c>
      <c r="F194" s="1504"/>
      <c r="G194" s="1504"/>
      <c r="H194" s="1504"/>
      <c r="I194" s="1504"/>
      <c r="J194" s="1504"/>
      <c r="K194" s="1504"/>
      <c r="L194" s="1504"/>
      <c r="M194" s="1504"/>
      <c r="N194" s="1504"/>
      <c r="O194" s="1504"/>
    </row>
    <row r="195" customFormat="false" ht="12.75" hidden="false" customHeight="true" outlineLevel="0" collapsed="false">
      <c r="A195" s="1504"/>
      <c r="B195" s="1504"/>
      <c r="C195" s="1504"/>
      <c r="D195" s="1504"/>
      <c r="E195" s="1504"/>
      <c r="F195" s="1504"/>
      <c r="G195" s="1504"/>
      <c r="H195" s="1504"/>
      <c r="I195" s="1504"/>
      <c r="J195" s="1504"/>
      <c r="K195" s="1504"/>
      <c r="L195" s="1504"/>
      <c r="M195" s="1504"/>
      <c r="N195" s="1504"/>
      <c r="O195" s="1504"/>
    </row>
    <row r="196" customFormat="false" ht="12.75" hidden="false" customHeight="true" outlineLevel="0" collapsed="false">
      <c r="A196" s="1504"/>
      <c r="B196" s="1504"/>
      <c r="C196" s="1504"/>
      <c r="D196" s="1504"/>
      <c r="E196" s="1504"/>
      <c r="F196" s="1504"/>
      <c r="G196" s="1504"/>
      <c r="H196" s="1504"/>
      <c r="I196" s="1504"/>
      <c r="J196" s="1504"/>
      <c r="K196" s="1504"/>
      <c r="L196" s="1504"/>
      <c r="M196" s="1504"/>
      <c r="N196" s="1504"/>
      <c r="O196" s="1504"/>
    </row>
    <row r="197" customFormat="false" ht="20.25" hidden="false" customHeight="true" outlineLevel="0" collapsed="false">
      <c r="A197" s="1511" t="s">
        <v>1893</v>
      </c>
      <c r="B197" s="1511"/>
      <c r="C197" s="1511"/>
      <c r="D197" s="1511"/>
      <c r="E197" s="1511"/>
      <c r="F197" s="1511"/>
      <c r="G197" s="1511"/>
      <c r="H197" s="1511"/>
      <c r="I197" s="1511"/>
      <c r="J197" s="1502"/>
      <c r="K197" s="1502"/>
      <c r="L197" s="1504"/>
      <c r="M197" s="1504"/>
      <c r="N197" s="1504"/>
      <c r="O197" s="1504"/>
    </row>
    <row r="198" customFormat="false" ht="21" hidden="false" customHeight="true" outlineLevel="0" collapsed="false">
      <c r="A198" s="1512"/>
      <c r="B198" s="1598"/>
      <c r="C198" s="1598"/>
      <c r="D198" s="1598"/>
      <c r="E198" s="1598"/>
      <c r="F198" s="1598"/>
      <c r="G198" s="1598"/>
      <c r="H198" s="1598"/>
      <c r="I198" s="1502"/>
      <c r="J198" s="1502"/>
      <c r="K198" s="1502"/>
      <c r="L198" s="1504"/>
      <c r="M198" s="1504"/>
      <c r="N198" s="1504"/>
      <c r="O198" s="1504"/>
    </row>
    <row r="199" customFormat="false" ht="25.5" hidden="false" customHeight="true" outlineLevel="0" collapsed="false">
      <c r="A199" s="1599" t="s">
        <v>1894</v>
      </c>
      <c r="B199" s="1600" t="s">
        <v>1046</v>
      </c>
      <c r="C199" s="1600" t="s">
        <v>1895</v>
      </c>
      <c r="D199" s="1600" t="s">
        <v>1048</v>
      </c>
      <c r="E199" s="1601" t="s">
        <v>406</v>
      </c>
      <c r="F199" s="1602" t="s">
        <v>406</v>
      </c>
      <c r="G199" s="1504"/>
      <c r="H199" s="1504"/>
      <c r="I199" s="1504"/>
      <c r="J199" s="1504"/>
      <c r="K199" s="1504"/>
      <c r="L199" s="1504"/>
      <c r="M199" s="1504"/>
      <c r="N199" s="1504"/>
      <c r="O199" s="1504"/>
    </row>
    <row r="200" customFormat="false" ht="25.5" hidden="false" customHeight="true" outlineLevel="0" collapsed="false">
      <c r="A200" s="1603"/>
      <c r="B200" s="1604"/>
      <c r="C200" s="1605" t="s">
        <v>1896</v>
      </c>
      <c r="D200" s="1604" t="s">
        <v>1053</v>
      </c>
      <c r="E200" s="1604" t="s">
        <v>1897</v>
      </c>
      <c r="F200" s="1606" t="s">
        <v>1862</v>
      </c>
      <c r="G200" s="1504"/>
      <c r="H200" s="1504"/>
      <c r="I200" s="1504"/>
      <c r="J200" s="1504"/>
      <c r="K200" s="1504"/>
      <c r="L200" s="1504"/>
      <c r="M200" s="1504"/>
      <c r="N200" s="1504"/>
      <c r="O200" s="1504"/>
    </row>
    <row r="201" customFormat="false" ht="14.25" hidden="false" customHeight="true" outlineLevel="0" collapsed="false">
      <c r="A201" s="1607" t="s">
        <v>1055</v>
      </c>
      <c r="B201" s="1547" t="n">
        <f aca="false">'Saisie et Calculateur'!B113</f>
        <v>0</v>
      </c>
      <c r="C201" s="1547" t="n">
        <f aca="false">'Saisie et Calculateur'!C113</f>
        <v>0</v>
      </c>
      <c r="D201" s="619" t="n">
        <f aca="false">C201*B201/1000</f>
        <v>0</v>
      </c>
      <c r="E201" s="1584" t="n">
        <v>24</v>
      </c>
      <c r="F201" s="1608" t="n">
        <f aca="false">D201*E201</f>
        <v>0</v>
      </c>
      <c r="G201" s="1504"/>
      <c r="H201" s="1504"/>
      <c r="I201" s="1504"/>
      <c r="J201" s="1502"/>
      <c r="K201" s="1504"/>
      <c r="L201" s="1504"/>
      <c r="M201" s="1504"/>
      <c r="N201" s="1504"/>
      <c r="O201" s="1504"/>
    </row>
    <row r="202" customFormat="false" ht="14.25" hidden="false" customHeight="true" outlineLevel="0" collapsed="false">
      <c r="A202" s="1607" t="s">
        <v>1056</v>
      </c>
      <c r="B202" s="1547" t="n">
        <f aca="false">'Saisie et Calculateur'!B114</f>
        <v>0</v>
      </c>
      <c r="C202" s="1547" t="n">
        <f aca="false">'Saisie et Calculateur'!C114</f>
        <v>0</v>
      </c>
      <c r="D202" s="619" t="n">
        <f aca="false">C202*B202/1000</f>
        <v>0</v>
      </c>
      <c r="E202" s="1584" t="n">
        <v>24</v>
      </c>
      <c r="F202" s="1608" t="n">
        <f aca="false">D202*E202</f>
        <v>0</v>
      </c>
      <c r="G202" s="1504"/>
      <c r="H202" s="1558"/>
      <c r="I202" s="1504"/>
      <c r="J202" s="1504"/>
      <c r="K202" s="1502"/>
      <c r="L202" s="1504"/>
      <c r="M202" s="1504"/>
      <c r="N202" s="1504"/>
      <c r="O202" s="1504"/>
    </row>
    <row r="203" customFormat="false" ht="14.25" hidden="false" customHeight="true" outlineLevel="0" collapsed="false">
      <c r="A203" s="1607" t="s">
        <v>1057</v>
      </c>
      <c r="B203" s="1547" t="n">
        <f aca="false">'Saisie et Calculateur'!B115</f>
        <v>0</v>
      </c>
      <c r="C203" s="1547" t="n">
        <f aca="false">'Saisie et Calculateur'!C115</f>
        <v>0</v>
      </c>
      <c r="D203" s="619" t="n">
        <f aca="false">C203*B203/1000</f>
        <v>0</v>
      </c>
      <c r="E203" s="1584" t="n">
        <v>24</v>
      </c>
      <c r="F203" s="1608" t="n">
        <f aca="false">D203*E203</f>
        <v>0</v>
      </c>
      <c r="G203" s="1504"/>
      <c r="H203" s="1504"/>
      <c r="I203" s="1504"/>
      <c r="J203" s="1504"/>
      <c r="K203" s="1502"/>
      <c r="L203" s="1504"/>
      <c r="M203" s="1504"/>
      <c r="N203" s="1504"/>
      <c r="O203" s="1504"/>
    </row>
    <row r="204" customFormat="false" ht="14.25" hidden="false" customHeight="true" outlineLevel="0" collapsed="false">
      <c r="A204" s="1607" t="s">
        <v>1058</v>
      </c>
      <c r="B204" s="1547" t="n">
        <f aca="false">'Saisie et Calculateur'!B116</f>
        <v>0</v>
      </c>
      <c r="C204" s="1547" t="n">
        <f aca="false">'Saisie et Calculateur'!C116</f>
        <v>0</v>
      </c>
      <c r="D204" s="619" t="n">
        <f aca="false">C204*B204/1000</f>
        <v>0</v>
      </c>
      <c r="E204" s="1584" t="n">
        <v>24</v>
      </c>
      <c r="F204" s="1608" t="n">
        <f aca="false">D204*E204</f>
        <v>0</v>
      </c>
      <c r="G204" s="1504"/>
      <c r="H204" s="1504"/>
      <c r="I204" s="1504"/>
      <c r="J204" s="1504"/>
      <c r="K204" s="1502"/>
      <c r="L204" s="1504"/>
      <c r="M204" s="1504"/>
      <c r="N204" s="1504"/>
      <c r="O204" s="1504"/>
    </row>
    <row r="205" customFormat="false" ht="14.25" hidden="false" customHeight="true" outlineLevel="0" collapsed="false">
      <c r="A205" s="1607" t="s">
        <v>1059</v>
      </c>
      <c r="B205" s="1547" t="n">
        <f aca="false">'Saisie et Calculateur'!B117</f>
        <v>0</v>
      </c>
      <c r="C205" s="1547" t="n">
        <f aca="false">'Saisie et Calculateur'!C117</f>
        <v>0</v>
      </c>
      <c r="D205" s="619" t="n">
        <f aca="false">C205*B205/1000</f>
        <v>0</v>
      </c>
      <c r="E205" s="1584" t="n">
        <v>24</v>
      </c>
      <c r="F205" s="1608" t="n">
        <f aca="false">D205*E205</f>
        <v>0</v>
      </c>
      <c r="G205" s="1504"/>
      <c r="H205" s="1504"/>
      <c r="I205" s="1504"/>
      <c r="J205" s="1504"/>
      <c r="K205" s="1502"/>
      <c r="L205" s="1504"/>
      <c r="M205" s="1504"/>
      <c r="N205" s="1504"/>
      <c r="O205" s="1504"/>
    </row>
    <row r="206" customFormat="false" ht="14.25" hidden="false" customHeight="true" outlineLevel="0" collapsed="false">
      <c r="A206" s="1607" t="s">
        <v>1060</v>
      </c>
      <c r="B206" s="1547" t="n">
        <f aca="false">'Saisie et Calculateur'!B118</f>
        <v>0</v>
      </c>
      <c r="C206" s="1547" t="n">
        <f aca="false">'Saisie et Calculateur'!C118</f>
        <v>0</v>
      </c>
      <c r="D206" s="619" t="n">
        <f aca="false">C206*B206/1000</f>
        <v>0</v>
      </c>
      <c r="E206" s="1584" t="n">
        <v>24</v>
      </c>
      <c r="F206" s="1608" t="n">
        <f aca="false">D206*E206</f>
        <v>0</v>
      </c>
      <c r="G206" s="1504"/>
      <c r="H206" s="1504"/>
      <c r="I206" s="1504"/>
      <c r="J206" s="1504"/>
      <c r="K206" s="1502"/>
      <c r="L206" s="1504"/>
      <c r="M206" s="1504"/>
      <c r="N206" s="1504"/>
      <c r="O206" s="1504"/>
    </row>
    <row r="207" customFormat="false" ht="14.25" hidden="false" customHeight="true" outlineLevel="0" collapsed="false">
      <c r="A207" s="1607" t="s">
        <v>1061</v>
      </c>
      <c r="B207" s="1547" t="n">
        <f aca="false">'Saisie et Calculateur'!B119</f>
        <v>0</v>
      </c>
      <c r="C207" s="1547" t="n">
        <f aca="false">'Saisie et Calculateur'!C119</f>
        <v>0</v>
      </c>
      <c r="D207" s="619" t="n">
        <f aca="false">C207*B207/1000</f>
        <v>0</v>
      </c>
      <c r="E207" s="1584" t="n">
        <v>24</v>
      </c>
      <c r="F207" s="1608" t="n">
        <f aca="false">D207*E207</f>
        <v>0</v>
      </c>
      <c r="G207" s="1504"/>
      <c r="H207" s="1504"/>
      <c r="I207" s="1504"/>
      <c r="J207" s="1504"/>
      <c r="K207" s="1502"/>
      <c r="L207" s="1504"/>
      <c r="M207" s="1504"/>
      <c r="N207" s="1504"/>
      <c r="O207" s="1504"/>
    </row>
    <row r="208" customFormat="false" ht="14.25" hidden="false" customHeight="true" outlineLevel="0" collapsed="false">
      <c r="A208" s="1607" t="s">
        <v>1062</v>
      </c>
      <c r="B208" s="1547" t="n">
        <f aca="false">'Saisie et Calculateur'!B120</f>
        <v>0</v>
      </c>
      <c r="C208" s="1547" t="n">
        <f aca="false">'Saisie et Calculateur'!C120</f>
        <v>0</v>
      </c>
      <c r="D208" s="619" t="n">
        <f aca="false">C208*B208/1000</f>
        <v>0</v>
      </c>
      <c r="E208" s="1584" t="n">
        <v>24</v>
      </c>
      <c r="F208" s="1608" t="n">
        <f aca="false">D208*E208</f>
        <v>0</v>
      </c>
      <c r="G208" s="1504"/>
      <c r="H208" s="1504"/>
      <c r="I208" s="1504"/>
      <c r="J208" s="1504"/>
      <c r="K208" s="1502"/>
      <c r="L208" s="1504"/>
      <c r="M208" s="1504"/>
      <c r="N208" s="1504"/>
      <c r="O208" s="1504"/>
    </row>
    <row r="209" customFormat="false" ht="14.25" hidden="false" customHeight="true" outlineLevel="0" collapsed="false">
      <c r="A209" s="1607" t="s">
        <v>1064</v>
      </c>
      <c r="B209" s="1547" t="n">
        <f aca="false">'Saisie et Calculateur'!B122</f>
        <v>0</v>
      </c>
      <c r="C209" s="1547" t="n">
        <f aca="false">'Saisie et Calculateur'!C122</f>
        <v>0</v>
      </c>
      <c r="D209" s="619" t="n">
        <f aca="false">C209*B209/1000</f>
        <v>0</v>
      </c>
      <c r="E209" s="1584" t="n">
        <v>24</v>
      </c>
      <c r="F209" s="1608" t="n">
        <f aca="false">D209*E209</f>
        <v>0</v>
      </c>
      <c r="G209" s="1504"/>
      <c r="H209" s="1504"/>
      <c r="I209" s="1504"/>
      <c r="J209" s="1504"/>
      <c r="K209" s="1502"/>
      <c r="L209" s="1504"/>
      <c r="M209" s="1504"/>
      <c r="N209" s="1504"/>
      <c r="O209" s="1504"/>
    </row>
    <row r="210" customFormat="false" ht="14.25" hidden="false" customHeight="true" outlineLevel="0" collapsed="false">
      <c r="A210" s="1607" t="s">
        <v>1065</v>
      </c>
      <c r="B210" s="1547" t="n">
        <f aca="false">'Saisie et Calculateur'!B123</f>
        <v>0</v>
      </c>
      <c r="C210" s="1547" t="n">
        <f aca="false">'Saisie et Calculateur'!C123</f>
        <v>0</v>
      </c>
      <c r="D210" s="619" t="n">
        <f aca="false">C210*B210/1000</f>
        <v>0</v>
      </c>
      <c r="E210" s="1584" t="n">
        <v>24</v>
      </c>
      <c r="F210" s="1608" t="n">
        <f aca="false">D210*E210</f>
        <v>0</v>
      </c>
      <c r="G210" s="1504"/>
      <c r="H210" s="1504"/>
      <c r="I210" s="1504"/>
      <c r="J210" s="1504"/>
      <c r="K210" s="1502"/>
      <c r="L210" s="1504"/>
      <c r="M210" s="1504"/>
      <c r="N210" s="1504"/>
      <c r="O210" s="1504"/>
    </row>
    <row r="211" customFormat="false" ht="14.25" hidden="false" customHeight="true" outlineLevel="0" collapsed="false">
      <c r="A211" s="1607" t="s">
        <v>1066</v>
      </c>
      <c r="B211" s="1547" t="n">
        <f aca="false">'Saisie et Calculateur'!B124</f>
        <v>0</v>
      </c>
      <c r="C211" s="1547" t="n">
        <f aca="false">'Saisie et Calculateur'!C124</f>
        <v>0</v>
      </c>
      <c r="D211" s="619" t="n">
        <f aca="false">C211*B211/1000</f>
        <v>0</v>
      </c>
      <c r="E211" s="1584" t="n">
        <v>24</v>
      </c>
      <c r="F211" s="1608" t="n">
        <f aca="false">D211*E211</f>
        <v>0</v>
      </c>
      <c r="G211" s="1504"/>
      <c r="H211" s="1504"/>
      <c r="I211" s="1504"/>
      <c r="J211" s="1504"/>
      <c r="K211" s="1504"/>
      <c r="L211" s="1504"/>
      <c r="M211" s="1504"/>
      <c r="N211" s="1504"/>
      <c r="O211" s="1504"/>
    </row>
    <row r="212" customFormat="false" ht="14.25" hidden="false" customHeight="true" outlineLevel="0" collapsed="false">
      <c r="A212" s="1609" t="s">
        <v>1067</v>
      </c>
      <c r="B212" s="1547" t="n">
        <f aca="false">'Saisie et Calculateur'!B125</f>
        <v>0</v>
      </c>
      <c r="C212" s="1547" t="n">
        <f aca="false">'Saisie et Calculateur'!C125</f>
        <v>0</v>
      </c>
      <c r="D212" s="619" t="n">
        <f aca="false">C212*B212/1000</f>
        <v>0</v>
      </c>
      <c r="E212" s="1584" t="n">
        <v>24</v>
      </c>
      <c r="F212" s="1608" t="n">
        <f aca="false">D212*E212</f>
        <v>0</v>
      </c>
      <c r="G212" s="1504"/>
      <c r="H212" s="1504"/>
      <c r="I212" s="1504"/>
      <c r="J212" s="1504"/>
      <c r="K212" s="1504"/>
      <c r="L212" s="1504"/>
      <c r="M212" s="1504"/>
      <c r="N212" s="1504"/>
      <c r="O212" s="1504"/>
    </row>
    <row r="213" customFormat="false" ht="14.25" hidden="false" customHeight="true" outlineLevel="0" collapsed="false">
      <c r="A213" s="1607" t="s">
        <v>142</v>
      </c>
      <c r="B213" s="1547" t="n">
        <f aca="false">'Saisie et Calculateur'!B127</f>
        <v>0</v>
      </c>
      <c r="C213" s="1547" t="n">
        <f aca="false">'Saisie et Calculateur'!C127</f>
        <v>0</v>
      </c>
      <c r="D213" s="619" t="n">
        <f aca="false">C213*B213/1000</f>
        <v>0</v>
      </c>
      <c r="E213" s="1584" t="n">
        <v>24</v>
      </c>
      <c r="F213" s="1608" t="n">
        <f aca="false">D213*E213</f>
        <v>0</v>
      </c>
      <c r="G213" s="1504"/>
      <c r="H213" s="1504"/>
      <c r="I213" s="1504"/>
      <c r="J213" s="1504"/>
      <c r="K213" s="1504"/>
      <c r="L213" s="1504"/>
      <c r="M213" s="1504"/>
      <c r="N213" s="1504"/>
      <c r="O213" s="1504"/>
    </row>
    <row r="214" customFormat="false" ht="14.25" hidden="false" customHeight="true" outlineLevel="0" collapsed="false">
      <c r="A214" s="1607" t="s">
        <v>1069</v>
      </c>
      <c r="B214" s="1547" t="n">
        <f aca="false">'Saisie et Calculateur'!B128</f>
        <v>0</v>
      </c>
      <c r="C214" s="1547" t="n">
        <f aca="false">'Saisie et Calculateur'!C128</f>
        <v>0</v>
      </c>
      <c r="D214" s="619" t="n">
        <f aca="false">C214*B214/1000</f>
        <v>0</v>
      </c>
      <c r="E214" s="1584" t="n">
        <v>24</v>
      </c>
      <c r="F214" s="1608" t="n">
        <f aca="false">D214*E214</f>
        <v>0</v>
      </c>
      <c r="G214" s="1504"/>
      <c r="H214" s="1504"/>
      <c r="I214" s="1504"/>
      <c r="J214" s="1504"/>
      <c r="K214" s="1504"/>
      <c r="L214" s="1504"/>
      <c r="M214" s="1504"/>
      <c r="N214" s="1504"/>
      <c r="O214" s="1504"/>
    </row>
    <row r="215" customFormat="false" ht="14.25" hidden="false" customHeight="true" outlineLevel="0" collapsed="false">
      <c r="A215" s="1607" t="s">
        <v>144</v>
      </c>
      <c r="B215" s="1547" t="n">
        <f aca="false">'Saisie et Calculateur'!B129</f>
        <v>0</v>
      </c>
      <c r="C215" s="1547" t="n">
        <f aca="false">'Saisie et Calculateur'!C129</f>
        <v>0</v>
      </c>
      <c r="D215" s="619" t="n">
        <f aca="false">C215*B215/1000</f>
        <v>0</v>
      </c>
      <c r="E215" s="1584" t="n">
        <v>24</v>
      </c>
      <c r="F215" s="1608" t="n">
        <f aca="false">D215*E215</f>
        <v>0</v>
      </c>
      <c r="G215" s="1504"/>
      <c r="H215" s="1504"/>
      <c r="I215" s="1504"/>
      <c r="J215" s="1504"/>
      <c r="K215" s="1504"/>
      <c r="L215" s="1504"/>
      <c r="M215" s="1504"/>
      <c r="N215" s="1504"/>
      <c r="O215" s="1504"/>
    </row>
    <row r="216" customFormat="false" ht="14.25" hidden="false" customHeight="true" outlineLevel="0" collapsed="false">
      <c r="A216" s="1607" t="s">
        <v>1070</v>
      </c>
      <c r="B216" s="1547" t="n">
        <f aca="false">'Saisie et Calculateur'!B130</f>
        <v>0</v>
      </c>
      <c r="C216" s="1547" t="n">
        <f aca="false">'Saisie et Calculateur'!C130</f>
        <v>0</v>
      </c>
      <c r="D216" s="619" t="n">
        <f aca="false">C216*B216/1000</f>
        <v>0</v>
      </c>
      <c r="E216" s="1584" t="n">
        <v>24</v>
      </c>
      <c r="F216" s="1608" t="n">
        <f aca="false">D216*E216</f>
        <v>0</v>
      </c>
      <c r="G216" s="1504"/>
      <c r="H216" s="1504"/>
      <c r="I216" s="1504"/>
      <c r="J216" s="1504"/>
      <c r="K216" s="1504"/>
      <c r="L216" s="1504"/>
      <c r="M216" s="1504"/>
      <c r="N216" s="1504"/>
      <c r="O216" s="1504"/>
    </row>
    <row r="217" customFormat="false" ht="14.25" hidden="false" customHeight="true" outlineLevel="0" collapsed="false">
      <c r="A217" s="1607" t="s">
        <v>1071</v>
      </c>
      <c r="B217" s="1547" t="n">
        <f aca="false">'Saisie et Calculateur'!B131</f>
        <v>0</v>
      </c>
      <c r="C217" s="1547" t="n">
        <f aca="false">'Saisie et Calculateur'!C131</f>
        <v>0</v>
      </c>
      <c r="D217" s="619" t="n">
        <f aca="false">C217*B217/1000</f>
        <v>0</v>
      </c>
      <c r="E217" s="1584" t="n">
        <v>24</v>
      </c>
      <c r="F217" s="1608" t="n">
        <f aca="false">D217*E217</f>
        <v>0</v>
      </c>
      <c r="G217" s="1504"/>
      <c r="H217" s="1504"/>
      <c r="I217" s="1504"/>
      <c r="J217" s="1504"/>
      <c r="K217" s="1504"/>
      <c r="L217" s="1504"/>
      <c r="M217" s="1504"/>
      <c r="N217" s="1504"/>
      <c r="O217" s="1504"/>
    </row>
    <row r="218" customFormat="false" ht="14.25" hidden="false" customHeight="true" outlineLevel="0" collapsed="false">
      <c r="A218" s="1609" t="s">
        <v>938</v>
      </c>
      <c r="B218" s="1547" t="n">
        <f aca="false">'Saisie et Calculateur'!B133</f>
        <v>0</v>
      </c>
      <c r="C218" s="1547" t="n">
        <f aca="false">'Saisie et Calculateur'!C133</f>
        <v>0</v>
      </c>
      <c r="D218" s="619" t="n">
        <f aca="false">C218*B218/1000</f>
        <v>0</v>
      </c>
      <c r="E218" s="1584" t="n">
        <v>19.2</v>
      </c>
      <c r="F218" s="1608" t="n">
        <f aca="false">D218*E218</f>
        <v>0</v>
      </c>
      <c r="G218" s="1504"/>
      <c r="H218" s="1504"/>
      <c r="I218" s="1504"/>
      <c r="J218" s="1504"/>
      <c r="K218" s="1504"/>
      <c r="L218" s="1504"/>
      <c r="M218" s="1504"/>
      <c r="N218" s="1504"/>
      <c r="O218" s="1504"/>
    </row>
    <row r="219" customFormat="false" ht="14.25" hidden="false" customHeight="true" outlineLevel="0" collapsed="false">
      <c r="A219" s="1609" t="s">
        <v>1072</v>
      </c>
      <c r="B219" s="1547" t="n">
        <f aca="false">'Saisie et Calculateur'!B134</f>
        <v>0</v>
      </c>
      <c r="C219" s="1547" t="n">
        <f aca="false">'Saisie et Calculateur'!C134</f>
        <v>0</v>
      </c>
      <c r="D219" s="619" t="n">
        <f aca="false">C219*B219/1000</f>
        <v>0</v>
      </c>
      <c r="E219" s="1584" t="n">
        <v>22.4</v>
      </c>
      <c r="F219" s="1608" t="n">
        <f aca="false">D219*E219</f>
        <v>0</v>
      </c>
      <c r="G219" s="1504"/>
      <c r="H219" s="1504"/>
      <c r="I219" s="1504"/>
      <c r="J219" s="1504"/>
      <c r="K219" s="1504"/>
      <c r="L219" s="1504"/>
      <c r="M219" s="1504"/>
      <c r="N219" s="1504"/>
      <c r="O219" s="1504"/>
    </row>
    <row r="220" customFormat="false" ht="14.25" hidden="false" customHeight="true" outlineLevel="0" collapsed="false">
      <c r="A220" s="1609" t="s">
        <v>1073</v>
      </c>
      <c r="B220" s="1547" t="n">
        <f aca="false">'Saisie et Calculateur'!B135</f>
        <v>0</v>
      </c>
      <c r="C220" s="1547" t="n">
        <f aca="false">'Saisie et Calculateur'!C135</f>
        <v>0</v>
      </c>
      <c r="D220" s="619" t="n">
        <f aca="false">C220*B220/1000</f>
        <v>0</v>
      </c>
      <c r="E220" s="1584" t="n">
        <v>32</v>
      </c>
      <c r="F220" s="1608" t="n">
        <f aca="false">D220*E220</f>
        <v>0</v>
      </c>
      <c r="G220" s="1504"/>
      <c r="H220" s="1504"/>
      <c r="I220" s="1504"/>
      <c r="J220" s="1504"/>
      <c r="K220" s="1504"/>
      <c r="L220" s="1504"/>
      <c r="M220" s="1504"/>
      <c r="N220" s="1504"/>
      <c r="O220" s="1504"/>
    </row>
    <row r="221" customFormat="false" ht="14.25" hidden="false" customHeight="true" outlineLevel="0" collapsed="false">
      <c r="A221" s="1609" t="s">
        <v>1074</v>
      </c>
      <c r="B221" s="1547" t="n">
        <f aca="false">'Saisie et Calculateur'!B136</f>
        <v>0</v>
      </c>
      <c r="C221" s="1547" t="n">
        <f aca="false">'Saisie et Calculateur'!C136</f>
        <v>0</v>
      </c>
      <c r="D221" s="619" t="n">
        <f aca="false">C221*B221/1000</f>
        <v>0</v>
      </c>
      <c r="E221" s="1584" t="n">
        <v>20.7</v>
      </c>
      <c r="F221" s="1608" t="n">
        <f aca="false">D221*E221</f>
        <v>0</v>
      </c>
      <c r="G221" s="1504"/>
      <c r="H221" s="1504"/>
      <c r="I221" s="1504"/>
      <c r="J221" s="1504"/>
      <c r="K221" s="1504"/>
      <c r="L221" s="1504"/>
      <c r="M221" s="1504"/>
      <c r="N221" s="1504"/>
      <c r="O221" s="1504"/>
    </row>
    <row r="222" customFormat="false" ht="14.25" hidden="false" customHeight="true" outlineLevel="0" collapsed="false">
      <c r="A222" s="1609" t="s">
        <v>1075</v>
      </c>
      <c r="B222" s="1547" t="n">
        <f aca="false">'Saisie et Calculateur'!B137</f>
        <v>0</v>
      </c>
      <c r="C222" s="1547" t="n">
        <f aca="false">'Saisie et Calculateur'!C137</f>
        <v>0</v>
      </c>
      <c r="D222" s="619" t="n">
        <f aca="false">C222*B222/1000</f>
        <v>0</v>
      </c>
      <c r="E222" s="1584" t="n">
        <v>37.6</v>
      </c>
      <c r="F222" s="1608" t="n">
        <f aca="false">D222*E222</f>
        <v>0</v>
      </c>
      <c r="G222" s="1504"/>
      <c r="H222" s="1504"/>
      <c r="I222" s="1504"/>
      <c r="J222" s="1504"/>
      <c r="K222" s="1504"/>
      <c r="L222" s="1504"/>
      <c r="M222" s="1504"/>
      <c r="N222" s="1504"/>
      <c r="O222" s="1504"/>
    </row>
    <row r="223" customFormat="false" ht="14.25" hidden="false" customHeight="true" outlineLevel="0" collapsed="false">
      <c r="A223" s="1609" t="s">
        <v>1076</v>
      </c>
      <c r="B223" s="1547" t="n">
        <f aca="false">'Saisie et Calculateur'!B138</f>
        <v>0</v>
      </c>
      <c r="C223" s="1547" t="n">
        <f aca="false">'Saisie et Calculateur'!C138</f>
        <v>0</v>
      </c>
      <c r="D223" s="619" t="n">
        <f aca="false">C223*B223/1000</f>
        <v>0</v>
      </c>
      <c r="E223" s="1584" t="n">
        <v>18.9</v>
      </c>
      <c r="F223" s="1608" t="n">
        <f aca="false">D223*E223</f>
        <v>0</v>
      </c>
      <c r="G223" s="1504"/>
      <c r="H223" s="1504"/>
      <c r="I223" s="1504"/>
      <c r="J223" s="1504"/>
      <c r="K223" s="1504"/>
      <c r="L223" s="1504"/>
      <c r="M223" s="1504"/>
      <c r="N223" s="1504"/>
      <c r="O223" s="1504"/>
    </row>
    <row r="224" customFormat="false" ht="14.25" hidden="false" customHeight="true" outlineLevel="0" collapsed="false">
      <c r="A224" s="1609" t="s">
        <v>1077</v>
      </c>
      <c r="B224" s="1547" t="n">
        <f aca="false">'Saisie et Calculateur'!B139</f>
        <v>0</v>
      </c>
      <c r="C224" s="1547" t="n">
        <f aca="false">'Saisie et Calculateur'!C139</f>
        <v>0</v>
      </c>
      <c r="D224" s="619" t="n">
        <f aca="false">C224*B224/1000</f>
        <v>0</v>
      </c>
      <c r="E224" s="1584" t="n">
        <v>30.5</v>
      </c>
      <c r="F224" s="1608" t="n">
        <f aca="false">D224*E224</f>
        <v>0</v>
      </c>
      <c r="G224" s="1504"/>
      <c r="H224" s="1504"/>
      <c r="I224" s="1504"/>
      <c r="J224" s="1504"/>
      <c r="K224" s="1504"/>
      <c r="L224" s="1504"/>
      <c r="M224" s="1504"/>
      <c r="N224" s="1504"/>
      <c r="O224" s="1504"/>
    </row>
    <row r="225" customFormat="false" ht="14.25" hidden="false" customHeight="true" outlineLevel="0" collapsed="false">
      <c r="A225" s="1609" t="s">
        <v>1078</v>
      </c>
      <c r="B225" s="1547" t="n">
        <f aca="false">'Saisie et Calculateur'!B140</f>
        <v>0</v>
      </c>
      <c r="C225" s="1547" t="n">
        <f aca="false">'Saisie et Calculateur'!C140</f>
        <v>0</v>
      </c>
      <c r="D225" s="619" t="n">
        <f aca="false">C225*B225/1000</f>
        <v>0</v>
      </c>
      <c r="E225" s="1584" t="n">
        <v>20</v>
      </c>
      <c r="F225" s="1608" t="n">
        <f aca="false">D225*E225</f>
        <v>0</v>
      </c>
      <c r="G225" s="1504"/>
      <c r="H225" s="1504"/>
      <c r="I225" s="1504"/>
      <c r="J225" s="1504"/>
      <c r="K225" s="1504"/>
      <c r="L225" s="1504"/>
      <c r="M225" s="1504"/>
      <c r="N225" s="1504"/>
      <c r="O225" s="1504"/>
    </row>
    <row r="226" customFormat="false" ht="14.25" hidden="false" customHeight="true" outlineLevel="0" collapsed="false">
      <c r="A226" s="1609" t="s">
        <v>1079</v>
      </c>
      <c r="B226" s="1547" t="n">
        <f aca="false">'Saisie et Calculateur'!B141</f>
        <v>0</v>
      </c>
      <c r="C226" s="1547" t="n">
        <f aca="false">'Saisie et Calculateur'!C141</f>
        <v>0</v>
      </c>
      <c r="D226" s="619" t="n">
        <f aca="false">C226*B226/1000</f>
        <v>0</v>
      </c>
      <c r="E226" s="1584" t="n">
        <v>37.6</v>
      </c>
      <c r="F226" s="1608" t="n">
        <f aca="false">D226*E226</f>
        <v>0</v>
      </c>
      <c r="G226" s="1504"/>
      <c r="H226" s="1504"/>
      <c r="I226" s="1504"/>
      <c r="J226" s="1504"/>
      <c r="K226" s="1504"/>
      <c r="L226" s="1504"/>
      <c r="M226" s="1504"/>
      <c r="N226" s="1504"/>
      <c r="O226" s="1504"/>
    </row>
    <row r="227" s="1611" customFormat="true" ht="14.25" hidden="false" customHeight="true" outlineLevel="0" collapsed="false">
      <c r="A227" s="1607" t="s">
        <v>1080</v>
      </c>
      <c r="B227" s="1547" t="n">
        <f aca="false">'Saisie et Calculateur'!B142</f>
        <v>6000</v>
      </c>
      <c r="C227" s="1547" t="n">
        <f aca="false">'Saisie et Calculateur'!C142</f>
        <v>6</v>
      </c>
      <c r="D227" s="619" t="n">
        <f aca="false">C227*B227/1000</f>
        <v>36</v>
      </c>
      <c r="E227" s="1584" t="n">
        <v>35.6</v>
      </c>
      <c r="F227" s="1608" t="n">
        <f aca="false">D227*E227</f>
        <v>1281.6</v>
      </c>
      <c r="G227" s="1610"/>
      <c r="H227" s="1610"/>
      <c r="I227" s="1610"/>
      <c r="J227" s="1610"/>
      <c r="K227" s="1504"/>
      <c r="L227" s="1504"/>
      <c r="M227" s="1504"/>
      <c r="N227" s="1504"/>
      <c r="O227" s="1610"/>
      <c r="V227" s="0"/>
      <c r="W227" s="0"/>
      <c r="X227" s="0"/>
    </row>
    <row r="228" customFormat="false" ht="14.25" hidden="false" customHeight="true" outlineLevel="0" collapsed="false">
      <c r="A228" s="1612" t="s">
        <v>1898</v>
      </c>
      <c r="B228" s="1547" t="n">
        <f aca="false">'Saisie et Calculateur'!B144</f>
        <v>0</v>
      </c>
      <c r="C228" s="1547" t="n">
        <f aca="false">'Saisie et Calculateur'!C144</f>
        <v>0</v>
      </c>
      <c r="D228" s="619" t="n">
        <f aca="false">C228*B228/1000</f>
        <v>0</v>
      </c>
      <c r="E228" s="1584" t="n">
        <v>24</v>
      </c>
      <c r="F228" s="1608" t="n">
        <f aca="false">D228*E228</f>
        <v>0</v>
      </c>
      <c r="G228" s="1504"/>
      <c r="H228" s="1504"/>
      <c r="I228" s="1504"/>
      <c r="J228" s="1502"/>
      <c r="K228" s="1504"/>
      <c r="L228" s="1504"/>
      <c r="M228" s="1504"/>
      <c r="N228" s="1504"/>
      <c r="O228" s="1504"/>
    </row>
    <row r="229" customFormat="false" ht="14.25" hidden="false" customHeight="true" outlineLevel="0" collapsed="false">
      <c r="A229" s="1613" t="s">
        <v>1899</v>
      </c>
      <c r="B229" s="1547" t="n">
        <f aca="false">'Saisie et Calculateur'!B145</f>
        <v>0</v>
      </c>
      <c r="C229" s="1547" t="n">
        <f aca="false">'Saisie et Calculateur'!C145</f>
        <v>0</v>
      </c>
      <c r="D229" s="619" t="n">
        <f aca="false">C229*B229/1000</f>
        <v>0</v>
      </c>
      <c r="E229" s="1584" t="n">
        <v>24</v>
      </c>
      <c r="F229" s="1608" t="n">
        <f aca="false">D229*E229</f>
        <v>0</v>
      </c>
      <c r="G229" s="1504"/>
      <c r="H229" s="1504"/>
      <c r="I229" s="1504"/>
      <c r="J229" s="1502"/>
      <c r="K229" s="1504"/>
      <c r="L229" s="1504"/>
      <c r="M229" s="1504"/>
      <c r="N229" s="1504"/>
      <c r="O229" s="1504"/>
    </row>
    <row r="230" customFormat="false" ht="14.25" hidden="false" customHeight="true" outlineLevel="0" collapsed="false">
      <c r="A230" s="1614" t="s">
        <v>1900</v>
      </c>
      <c r="B230" s="1615" t="n">
        <f aca="false">'Saisie et Calculateur'!B146</f>
        <v>0</v>
      </c>
      <c r="C230" s="1547" t="n">
        <f aca="false">'Saisie et Calculateur'!C146</f>
        <v>0</v>
      </c>
      <c r="D230" s="619" t="n">
        <f aca="false">C230*B230/1000</f>
        <v>0</v>
      </c>
      <c r="E230" s="1587"/>
      <c r="F230" s="1608" t="n">
        <f aca="false">D230*E230</f>
        <v>0</v>
      </c>
      <c r="G230" s="1504"/>
      <c r="H230" s="1504"/>
      <c r="I230" s="1504"/>
      <c r="J230" s="1502"/>
      <c r="K230" s="1504"/>
      <c r="L230" s="1504"/>
      <c r="M230" s="1504"/>
      <c r="N230" s="1504"/>
      <c r="O230" s="1504"/>
    </row>
    <row r="231" customFormat="false" ht="14.25" hidden="false" customHeight="true" outlineLevel="0" collapsed="false">
      <c r="A231" s="1616"/>
      <c r="B231" s="1547" t="n">
        <f aca="false">'Saisie et Calculateur'!B147</f>
        <v>0</v>
      </c>
      <c r="C231" s="1547" t="n">
        <f aca="false">'Saisie et Calculateur'!C147</f>
        <v>0</v>
      </c>
      <c r="D231" s="619" t="n">
        <f aca="false">C231*B231/1000</f>
        <v>0</v>
      </c>
      <c r="E231" s="1587"/>
      <c r="F231" s="1608" t="n">
        <f aca="false">D231*E231</f>
        <v>0</v>
      </c>
      <c r="G231" s="1504"/>
      <c r="H231" s="1504"/>
      <c r="I231" s="1504"/>
      <c r="J231" s="1502"/>
      <c r="K231" s="1504"/>
      <c r="L231" s="1504"/>
      <c r="M231" s="1504"/>
      <c r="N231" s="1504"/>
      <c r="O231" s="1504"/>
    </row>
    <row r="232" customFormat="false" ht="15" hidden="false" customHeight="true" outlineLevel="0" collapsed="false">
      <c r="A232" s="1617"/>
      <c r="B232" s="1618" t="n">
        <f aca="false">'Saisie et Calculateur'!B148</f>
        <v>0</v>
      </c>
      <c r="C232" s="1618" t="n">
        <f aca="false">'Saisie et Calculateur'!C148</f>
        <v>0</v>
      </c>
      <c r="D232" s="1619" t="n">
        <f aca="false">C232*B232/1000</f>
        <v>0</v>
      </c>
      <c r="E232" s="1620"/>
      <c r="F232" s="1621" t="n">
        <f aca="false">D232*E232</f>
        <v>0</v>
      </c>
      <c r="G232" s="1502"/>
      <c r="H232" s="1502"/>
      <c r="I232" s="1502"/>
      <c r="J232" s="1502"/>
      <c r="K232" s="1504"/>
      <c r="L232" s="1504"/>
      <c r="M232" s="1504"/>
      <c r="N232" s="1504"/>
      <c r="O232" s="1504"/>
    </row>
    <row r="233" customFormat="false" ht="12.75" hidden="false" customHeight="true" outlineLevel="0" collapsed="false">
      <c r="A233" s="1502"/>
      <c r="B233" s="1502"/>
      <c r="C233" s="1502"/>
      <c r="D233" s="1502"/>
      <c r="E233" s="1502"/>
      <c r="F233" s="1502"/>
      <c r="G233" s="1502"/>
      <c r="H233" s="1502"/>
      <c r="I233" s="1502"/>
      <c r="J233" s="1502"/>
      <c r="K233" s="1502"/>
      <c r="L233" s="1504"/>
      <c r="M233" s="1504"/>
      <c r="N233" s="1504"/>
      <c r="O233" s="1504"/>
    </row>
    <row r="234" customFormat="false" ht="15" hidden="false" customHeight="true" outlineLevel="0" collapsed="false">
      <c r="A234" s="1502"/>
      <c r="B234" s="1502"/>
      <c r="C234" s="1502"/>
      <c r="D234" s="1532" t="s">
        <v>1901</v>
      </c>
      <c r="E234" s="1604" t="s">
        <v>551</v>
      </c>
      <c r="F234" s="738" t="n">
        <f aca="false">SUM(F201:F232)</f>
        <v>1281.6</v>
      </c>
      <c r="G234" s="1502"/>
      <c r="H234" s="1502"/>
      <c r="I234" s="1502"/>
      <c r="J234" s="1502"/>
      <c r="K234" s="1502"/>
      <c r="L234" s="1504"/>
      <c r="M234" s="1504"/>
      <c r="N234" s="1504"/>
      <c r="O234" s="1504"/>
    </row>
    <row r="235" customFormat="false" ht="12.75" hidden="false" customHeight="true" outlineLevel="0" collapsed="false">
      <c r="A235" s="1502"/>
      <c r="B235" s="1502"/>
      <c r="C235" s="1502"/>
      <c r="D235" s="1502"/>
      <c r="E235" s="1502"/>
      <c r="F235" s="1502"/>
      <c r="G235" s="1502"/>
      <c r="H235" s="1502"/>
      <c r="I235" s="1502"/>
      <c r="J235" s="1502"/>
      <c r="K235" s="1502"/>
      <c r="L235" s="1504"/>
      <c r="M235" s="1504"/>
      <c r="N235" s="1504"/>
      <c r="O235" s="1504"/>
    </row>
    <row r="236" customFormat="false" ht="12.75" hidden="false" customHeight="true" outlineLevel="0" collapsed="false">
      <c r="A236" s="1502"/>
      <c r="B236" s="1502"/>
      <c r="C236" s="1502"/>
      <c r="D236" s="1502"/>
      <c r="E236" s="1502"/>
      <c r="F236" s="1502"/>
      <c r="G236" s="1502"/>
      <c r="H236" s="1502"/>
      <c r="I236" s="1502"/>
      <c r="J236" s="1502"/>
      <c r="K236" s="1502"/>
      <c r="L236" s="1504"/>
      <c r="M236" s="1504"/>
      <c r="N236" s="1504"/>
      <c r="O236" s="1504"/>
    </row>
    <row r="237" customFormat="false" ht="20.25" hidden="false" customHeight="true" outlineLevel="0" collapsed="false">
      <c r="A237" s="1511" t="s">
        <v>1902</v>
      </c>
      <c r="B237" s="1511"/>
      <c r="C237" s="1511"/>
      <c r="D237" s="1511"/>
      <c r="E237" s="1511"/>
      <c r="F237" s="1511"/>
      <c r="G237" s="1511"/>
      <c r="H237" s="1511"/>
      <c r="I237" s="1511"/>
      <c r="J237" s="1502"/>
      <c r="K237" s="1502"/>
      <c r="L237" s="1504"/>
      <c r="M237" s="1504"/>
      <c r="N237" s="1504"/>
      <c r="O237" s="1504"/>
    </row>
    <row r="238" customFormat="false" ht="20.25" hidden="false" customHeight="true" outlineLevel="0" collapsed="false">
      <c r="A238" s="1622" t="s">
        <v>1903</v>
      </c>
      <c r="B238" s="1622"/>
      <c r="C238" s="1622"/>
      <c r="D238" s="1622"/>
      <c r="E238" s="1622"/>
      <c r="F238" s="1622"/>
      <c r="G238" s="1622"/>
      <c r="H238" s="1622"/>
      <c r="I238" s="1622"/>
      <c r="J238" s="1622"/>
      <c r="K238" s="1502"/>
      <c r="L238" s="1504"/>
      <c r="M238" s="1504"/>
      <c r="N238" s="1504"/>
      <c r="O238" s="1504"/>
    </row>
    <row r="239" customFormat="false" ht="12.75" hidden="false" customHeight="true" outlineLevel="0" collapsed="false">
      <c r="A239" s="1502"/>
      <c r="B239" s="1502"/>
      <c r="C239" s="1502"/>
      <c r="D239" s="1502"/>
      <c r="E239" s="1502"/>
      <c r="F239" s="1502"/>
      <c r="G239" s="1502"/>
      <c r="H239" s="1502"/>
      <c r="I239" s="1502"/>
      <c r="J239" s="1502"/>
      <c r="K239" s="1502"/>
      <c r="L239" s="1504"/>
      <c r="M239" s="1504"/>
      <c r="N239" s="1504"/>
      <c r="O239" s="1504"/>
    </row>
    <row r="240" customFormat="false" ht="25.5" hidden="false" customHeight="true" outlineLevel="0" collapsed="false">
      <c r="A240" s="1623" t="s">
        <v>1904</v>
      </c>
      <c r="B240" s="924" t="s">
        <v>1905</v>
      </c>
      <c r="C240" s="924" t="s">
        <v>406</v>
      </c>
      <c r="D240" s="924" t="s">
        <v>406</v>
      </c>
      <c r="E240" s="1517" t="s">
        <v>1827</v>
      </c>
      <c r="F240" s="1502"/>
      <c r="G240" s="1502"/>
      <c r="H240" s="1504"/>
      <c r="I240" s="1504"/>
      <c r="J240" s="1504"/>
      <c r="K240" s="1504"/>
      <c r="L240" s="1504"/>
      <c r="M240" s="1504"/>
      <c r="N240" s="1504"/>
      <c r="O240" s="1504"/>
    </row>
    <row r="241" customFormat="false" ht="25.5" hidden="false" customHeight="true" outlineLevel="0" collapsed="false">
      <c r="A241" s="1624"/>
      <c r="B241" s="1604" t="s">
        <v>1906</v>
      </c>
      <c r="C241" s="1604" t="s">
        <v>1907</v>
      </c>
      <c r="D241" s="1604" t="s">
        <v>1223</v>
      </c>
      <c r="E241" s="1522"/>
      <c r="F241" s="1502"/>
      <c r="G241" s="1502"/>
      <c r="H241" s="1504"/>
      <c r="I241" s="1504"/>
      <c r="J241" s="1504"/>
      <c r="K241" s="1504"/>
      <c r="L241" s="1504"/>
      <c r="M241" s="1504"/>
      <c r="N241" s="1504"/>
      <c r="O241" s="1504"/>
    </row>
    <row r="242" customFormat="false" ht="25.5" hidden="false" customHeight="true" outlineLevel="0" collapsed="false">
      <c r="A242" s="1523" t="s">
        <v>418</v>
      </c>
      <c r="B242" s="1547" t="n">
        <f aca="false">'Saisie et Calculateur'!C336</f>
        <v>0</v>
      </c>
      <c r="C242" s="493" t="n">
        <v>5.8</v>
      </c>
      <c r="D242" s="1548" t="n">
        <f aca="false">B242*C242</f>
        <v>0</v>
      </c>
      <c r="E242" s="1526" t="n">
        <v>7</v>
      </c>
      <c r="F242" s="1504"/>
      <c r="G242" s="1504"/>
      <c r="H242" s="1504"/>
      <c r="I242" s="1504"/>
      <c r="J242" s="1502"/>
      <c r="K242" s="1502"/>
      <c r="L242" s="1504"/>
      <c r="M242" s="1504"/>
      <c r="N242" s="1504"/>
      <c r="O242" s="1504"/>
    </row>
    <row r="243" customFormat="false" ht="12.75" hidden="false" customHeight="true" outlineLevel="0" collapsed="false">
      <c r="A243" s="1523" t="s">
        <v>419</v>
      </c>
      <c r="B243" s="1547" t="n">
        <f aca="false">'Saisie et Calculateur'!C337</f>
        <v>0</v>
      </c>
      <c r="C243" s="493" t="n">
        <v>5</v>
      </c>
      <c r="D243" s="1548" t="n">
        <f aca="false">B243*C243</f>
        <v>0</v>
      </c>
      <c r="E243" s="1526" t="n">
        <v>7</v>
      </c>
      <c r="F243" s="1504"/>
      <c r="G243" s="1504"/>
      <c r="H243" s="1504"/>
      <c r="I243" s="1504"/>
      <c r="J243" s="1504"/>
      <c r="K243" s="1504"/>
      <c r="L243" s="1504"/>
      <c r="M243" s="1504"/>
      <c r="N243" s="1504"/>
      <c r="O243" s="1504"/>
    </row>
    <row r="244" customFormat="false" ht="12.75" hidden="false" customHeight="true" outlineLevel="0" collapsed="false">
      <c r="A244" s="1523" t="s">
        <v>420</v>
      </c>
      <c r="B244" s="1547" t="n">
        <f aca="false">'Saisie et Calculateur'!C338</f>
        <v>0</v>
      </c>
      <c r="C244" s="493" t="n">
        <v>5.1</v>
      </c>
      <c r="D244" s="1548" t="n">
        <f aca="false">B244*C244</f>
        <v>0</v>
      </c>
      <c r="E244" s="1526" t="n">
        <v>7</v>
      </c>
      <c r="F244" s="1504"/>
      <c r="G244" s="1504"/>
      <c r="H244" s="1504"/>
      <c r="I244" s="1504"/>
      <c r="J244" s="1504"/>
      <c r="K244" s="1504"/>
      <c r="L244" s="1504"/>
      <c r="M244" s="1504"/>
      <c r="N244" s="1504"/>
      <c r="O244" s="1504"/>
    </row>
    <row r="245" customFormat="false" ht="12.75" hidden="false" customHeight="true" outlineLevel="0" collapsed="false">
      <c r="A245" s="1523" t="s">
        <v>421</v>
      </c>
      <c r="B245" s="1547" t="n">
        <f aca="false">'Saisie et Calculateur'!C339</f>
        <v>0</v>
      </c>
      <c r="C245" s="493" t="n">
        <v>5.2</v>
      </c>
      <c r="D245" s="1548" t="n">
        <f aca="false">B245*C245</f>
        <v>0</v>
      </c>
      <c r="E245" s="1526" t="n">
        <v>7</v>
      </c>
      <c r="F245" s="1504"/>
      <c r="G245" s="1504"/>
      <c r="H245" s="1558"/>
      <c r="I245" s="1504"/>
      <c r="J245" s="1504"/>
      <c r="K245" s="1504"/>
      <c r="L245" s="1504"/>
      <c r="M245" s="1504"/>
      <c r="N245" s="1504"/>
      <c r="O245" s="1504"/>
    </row>
    <row r="246" customFormat="false" ht="12.75" hidden="false" customHeight="true" outlineLevel="0" collapsed="false">
      <c r="A246" s="1523" t="s">
        <v>422</v>
      </c>
      <c r="B246" s="1547" t="n">
        <f aca="false">'Saisie et Calculateur'!C340</f>
        <v>0</v>
      </c>
      <c r="C246" s="493" t="n">
        <v>3.5</v>
      </c>
      <c r="D246" s="1548" t="n">
        <f aca="false">B246*C246</f>
        <v>0</v>
      </c>
      <c r="E246" s="1526" t="n">
        <v>7</v>
      </c>
      <c r="F246" s="1504"/>
      <c r="G246" s="1504"/>
      <c r="H246" s="1504"/>
      <c r="I246" s="1504"/>
      <c r="J246" s="1504"/>
      <c r="K246" s="1504"/>
      <c r="L246" s="1504"/>
      <c r="M246" s="1504"/>
      <c r="N246" s="1504"/>
      <c r="O246" s="1504"/>
    </row>
    <row r="247" customFormat="false" ht="12.75" hidden="false" customHeight="true" outlineLevel="0" collapsed="false">
      <c r="A247" s="1523" t="s">
        <v>423</v>
      </c>
      <c r="B247" s="1547" t="n">
        <f aca="false">'Saisie et Calculateur'!C341</f>
        <v>0</v>
      </c>
      <c r="C247" s="493" t="n">
        <v>2.7</v>
      </c>
      <c r="D247" s="1548" t="n">
        <f aca="false">B247*C247</f>
        <v>0</v>
      </c>
      <c r="E247" s="1526" t="n">
        <v>7</v>
      </c>
      <c r="F247" s="1504"/>
      <c r="G247" s="1504"/>
      <c r="H247" s="1504"/>
      <c r="I247" s="1504"/>
      <c r="J247" s="1504"/>
      <c r="K247" s="1504"/>
      <c r="L247" s="1504"/>
      <c r="M247" s="1504"/>
      <c r="N247" s="1504"/>
      <c r="O247" s="1504"/>
    </row>
    <row r="248" customFormat="false" ht="12.75" hidden="false" customHeight="true" outlineLevel="0" collapsed="false">
      <c r="A248" s="1523" t="s">
        <v>424</v>
      </c>
      <c r="B248" s="1547" t="n">
        <f aca="false">'Saisie et Calculateur'!C342</f>
        <v>0</v>
      </c>
      <c r="C248" s="493" t="n">
        <v>1.6</v>
      </c>
      <c r="D248" s="1548" t="n">
        <f aca="false">B248*C248</f>
        <v>0</v>
      </c>
      <c r="E248" s="1526" t="n">
        <v>7</v>
      </c>
      <c r="F248" s="1504"/>
      <c r="G248" s="1504"/>
      <c r="H248" s="1504"/>
      <c r="I248" s="1504"/>
      <c r="J248" s="1504"/>
      <c r="K248" s="1504"/>
      <c r="L248" s="1504"/>
      <c r="M248" s="1504"/>
      <c r="N248" s="1504"/>
      <c r="O248" s="1504"/>
    </row>
    <row r="249" customFormat="false" ht="12.75" hidden="false" customHeight="true" outlineLevel="0" collapsed="false">
      <c r="A249" s="1523" t="s">
        <v>425</v>
      </c>
      <c r="B249" s="1547" t="n">
        <f aca="false">'Saisie et Calculateur'!C343</f>
        <v>0</v>
      </c>
      <c r="C249" s="493" t="n">
        <v>3</v>
      </c>
      <c r="D249" s="1548" t="n">
        <f aca="false">B249*C249</f>
        <v>0</v>
      </c>
      <c r="E249" s="1526" t="n">
        <v>7</v>
      </c>
      <c r="F249" s="1504"/>
      <c r="G249" s="1504"/>
      <c r="H249" s="1504"/>
      <c r="I249" s="1504"/>
      <c r="J249" s="1504"/>
      <c r="K249" s="1504"/>
      <c r="L249" s="1504"/>
      <c r="M249" s="1504"/>
      <c r="N249" s="1504"/>
      <c r="O249" s="1504"/>
    </row>
    <row r="250" customFormat="false" ht="25.5" hidden="false" customHeight="true" outlineLevel="0" collapsed="false">
      <c r="A250" s="1523" t="s">
        <v>426</v>
      </c>
      <c r="B250" s="1547" t="n">
        <f aca="false">'Saisie et Calculateur'!C344</f>
        <v>0</v>
      </c>
      <c r="C250" s="493" t="n">
        <v>0.4</v>
      </c>
      <c r="D250" s="1548" t="n">
        <f aca="false">B250*C250</f>
        <v>0</v>
      </c>
      <c r="E250" s="1526" t="n">
        <v>7</v>
      </c>
      <c r="F250" s="1504"/>
      <c r="G250" s="1504"/>
      <c r="H250" s="1504"/>
      <c r="I250" s="1504"/>
      <c r="J250" s="1504"/>
      <c r="K250" s="1504"/>
      <c r="L250" s="1504"/>
      <c r="M250" s="1504"/>
      <c r="N250" s="1504"/>
      <c r="O250" s="1504"/>
    </row>
    <row r="251" customFormat="false" ht="12.75" hidden="false" customHeight="true" outlineLevel="0" collapsed="false">
      <c r="A251" s="1523" t="s">
        <v>427</v>
      </c>
      <c r="B251" s="1547" t="n">
        <f aca="false">'Saisie et Calculateur'!C345</f>
        <v>0</v>
      </c>
      <c r="C251" s="493" t="n">
        <v>6.8</v>
      </c>
      <c r="D251" s="1548" t="n">
        <f aca="false">B251*C251</f>
        <v>0</v>
      </c>
      <c r="E251" s="1526" t="n">
        <v>7</v>
      </c>
      <c r="F251" s="1504"/>
      <c r="G251" s="1504"/>
      <c r="H251" s="1504"/>
      <c r="I251" s="1504"/>
      <c r="J251" s="1504"/>
      <c r="K251" s="1504"/>
      <c r="L251" s="1504"/>
      <c r="M251" s="1504"/>
      <c r="N251" s="1504"/>
      <c r="O251" s="1504"/>
    </row>
    <row r="252" customFormat="false" ht="12.75" hidden="false" customHeight="true" outlineLevel="0" collapsed="false">
      <c r="A252" s="1523" t="s">
        <v>428</v>
      </c>
      <c r="B252" s="1547" t="n">
        <f aca="false">'Saisie et Calculateur'!C347</f>
        <v>0</v>
      </c>
      <c r="C252" s="493" t="n">
        <v>22</v>
      </c>
      <c r="D252" s="1548" t="n">
        <f aca="false">B252*C252</f>
        <v>0</v>
      </c>
      <c r="E252" s="1526" t="n">
        <v>7</v>
      </c>
      <c r="F252" s="1504"/>
      <c r="G252" s="1504"/>
      <c r="H252" s="1504"/>
      <c r="I252" s="1504"/>
      <c r="J252" s="1504"/>
      <c r="K252" s="1504"/>
      <c r="L252" s="1504"/>
      <c r="M252" s="1504"/>
      <c r="N252" s="1504"/>
      <c r="O252" s="1504"/>
    </row>
    <row r="253" customFormat="false" ht="25.5" hidden="false" customHeight="true" outlineLevel="0" collapsed="false">
      <c r="A253" s="1523" t="s">
        <v>429</v>
      </c>
      <c r="B253" s="1547" t="n">
        <f aca="false">'Saisie et Calculateur'!C348</f>
        <v>0</v>
      </c>
      <c r="C253" s="493" t="n">
        <v>40</v>
      </c>
      <c r="D253" s="1548" t="n">
        <f aca="false">B253*C253</f>
        <v>0</v>
      </c>
      <c r="E253" s="1526" t="n">
        <v>7</v>
      </c>
      <c r="F253" s="1504"/>
      <c r="G253" s="1504"/>
      <c r="H253" s="1504"/>
      <c r="I253" s="1504"/>
      <c r="J253" s="1504"/>
      <c r="K253" s="1504"/>
      <c r="L253" s="1504"/>
      <c r="M253" s="1504"/>
      <c r="N253" s="1504"/>
      <c r="O253" s="1504"/>
    </row>
    <row r="254" customFormat="false" ht="25.5" hidden="false" customHeight="true" outlineLevel="0" collapsed="false">
      <c r="A254" s="1523" t="s">
        <v>430</v>
      </c>
      <c r="B254" s="1547" t="n">
        <f aca="false">'Saisie et Calculateur'!C349</f>
        <v>0</v>
      </c>
      <c r="C254" s="493" t="n">
        <v>22</v>
      </c>
      <c r="D254" s="1548" t="n">
        <f aca="false">B254*C254</f>
        <v>0</v>
      </c>
      <c r="E254" s="1526" t="n">
        <v>7</v>
      </c>
      <c r="F254" s="1504"/>
      <c r="G254" s="1504"/>
      <c r="H254" s="1504"/>
      <c r="I254" s="1504"/>
      <c r="J254" s="1504"/>
      <c r="K254" s="1504"/>
      <c r="L254" s="1504"/>
      <c r="M254" s="1504"/>
      <c r="N254" s="1504"/>
      <c r="O254" s="1504"/>
    </row>
    <row r="255" customFormat="false" ht="25.5" hidden="false" customHeight="true" outlineLevel="0" collapsed="false">
      <c r="A255" s="1523" t="s">
        <v>431</v>
      </c>
      <c r="B255" s="1547" t="n">
        <f aca="false">'Saisie et Calculateur'!C350</f>
        <v>0</v>
      </c>
      <c r="C255" s="493" t="n">
        <v>9.6</v>
      </c>
      <c r="D255" s="1548" t="n">
        <f aca="false">B255*C255</f>
        <v>0</v>
      </c>
      <c r="E255" s="1526" t="n">
        <v>7</v>
      </c>
      <c r="F255" s="1504"/>
      <c r="G255" s="1504"/>
      <c r="H255" s="1504"/>
      <c r="I255" s="1504"/>
      <c r="J255" s="1504"/>
      <c r="K255" s="1504"/>
      <c r="L255" s="1504"/>
      <c r="M255" s="1504"/>
      <c r="N255" s="1504"/>
      <c r="O255" s="1504"/>
    </row>
    <row r="256" customFormat="false" ht="25.5" hidden="false" customHeight="true" outlineLevel="0" collapsed="false">
      <c r="A256" s="1523" t="s">
        <v>432</v>
      </c>
      <c r="B256" s="1547" t="n">
        <f aca="false">'Saisie et Calculateur'!C351</f>
        <v>0</v>
      </c>
      <c r="C256" s="493" t="n">
        <v>4.3</v>
      </c>
      <c r="D256" s="1548" t="n">
        <f aca="false">B256*C256</f>
        <v>0</v>
      </c>
      <c r="E256" s="1526" t="n">
        <v>7</v>
      </c>
      <c r="F256" s="1504"/>
      <c r="G256" s="1504"/>
      <c r="H256" s="1504"/>
      <c r="I256" s="1504"/>
      <c r="J256" s="1504"/>
      <c r="K256" s="1504"/>
      <c r="L256" s="1504"/>
      <c r="M256" s="1504"/>
      <c r="N256" s="1504"/>
      <c r="O256" s="1504"/>
    </row>
    <row r="257" customFormat="false" ht="25.5" hidden="false" customHeight="true" outlineLevel="0" collapsed="false">
      <c r="A257" s="1523" t="s">
        <v>433</v>
      </c>
      <c r="B257" s="1547" t="n">
        <f aca="false">'Saisie et Calculateur'!C352</f>
        <v>0</v>
      </c>
      <c r="C257" s="493" t="n">
        <v>7.2</v>
      </c>
      <c r="D257" s="1548" t="n">
        <f aca="false">B257*C257</f>
        <v>0</v>
      </c>
      <c r="E257" s="1526" t="n">
        <v>7</v>
      </c>
      <c r="F257" s="1504"/>
      <c r="G257" s="1504"/>
      <c r="H257" s="1504"/>
      <c r="I257" s="1504"/>
      <c r="J257" s="1504"/>
      <c r="K257" s="1504"/>
      <c r="L257" s="1504"/>
      <c r="M257" s="1504"/>
      <c r="N257" s="1504"/>
      <c r="O257" s="1504"/>
    </row>
    <row r="258" customFormat="false" ht="25.5" hidden="false" customHeight="true" outlineLevel="0" collapsed="false">
      <c r="A258" s="1523" t="s">
        <v>434</v>
      </c>
      <c r="B258" s="1547" t="n">
        <f aca="false">'Saisie et Calculateur'!C353</f>
        <v>0</v>
      </c>
      <c r="C258" s="493" t="n">
        <v>9.1</v>
      </c>
      <c r="D258" s="1548" t="n">
        <f aca="false">B258*C258</f>
        <v>0</v>
      </c>
      <c r="E258" s="1526" t="n">
        <v>7</v>
      </c>
      <c r="F258" s="1504"/>
      <c r="G258" s="1504"/>
      <c r="H258" s="1504"/>
      <c r="I258" s="1504"/>
      <c r="J258" s="1504"/>
      <c r="K258" s="1504"/>
      <c r="L258" s="1504"/>
      <c r="M258" s="1504"/>
      <c r="N258" s="1504"/>
      <c r="O258" s="1504"/>
    </row>
    <row r="259" customFormat="false" ht="25.5" hidden="false" customHeight="true" outlineLevel="0" collapsed="false">
      <c r="A259" s="1523" t="s">
        <v>437</v>
      </c>
      <c r="B259" s="1547" t="n">
        <f aca="false">'Saisie et Calculateur'!C356</f>
        <v>0</v>
      </c>
      <c r="C259" s="493" t="n">
        <v>5.5</v>
      </c>
      <c r="D259" s="1548" t="n">
        <f aca="false">B259*C259</f>
        <v>0</v>
      </c>
      <c r="E259" s="1526" t="n">
        <v>0</v>
      </c>
      <c r="F259" s="1504"/>
      <c r="G259" s="1504"/>
      <c r="H259" s="1504"/>
      <c r="I259" s="1504"/>
      <c r="J259" s="1504"/>
      <c r="K259" s="1504"/>
      <c r="L259" s="1504"/>
      <c r="M259" s="1504"/>
      <c r="N259" s="1504"/>
      <c r="O259" s="1504"/>
    </row>
    <row r="260" customFormat="false" ht="25.5" hidden="false" customHeight="true" outlineLevel="0" collapsed="false">
      <c r="A260" s="1523" t="s">
        <v>438</v>
      </c>
      <c r="B260" s="1547" t="n">
        <f aca="false">'Saisie et Calculateur'!C357</f>
        <v>0</v>
      </c>
      <c r="C260" s="493" t="n">
        <v>18</v>
      </c>
      <c r="D260" s="1548" t="n">
        <f aca="false">B260*C260</f>
        <v>0</v>
      </c>
      <c r="E260" s="1526" t="n">
        <v>0</v>
      </c>
      <c r="F260" s="1504"/>
      <c r="G260" s="1504"/>
      <c r="H260" s="1504"/>
      <c r="I260" s="1504"/>
      <c r="J260" s="1504"/>
      <c r="K260" s="1504"/>
      <c r="L260" s="1504"/>
      <c r="M260" s="1504"/>
      <c r="N260" s="1504"/>
      <c r="O260" s="1504"/>
    </row>
    <row r="261" customFormat="false" ht="12.75" hidden="false" customHeight="true" outlineLevel="0" collapsed="false">
      <c r="A261" s="1523" t="s">
        <v>439</v>
      </c>
      <c r="B261" s="1547" t="n">
        <f aca="false">'Saisie et Calculateur'!C358</f>
        <v>0</v>
      </c>
      <c r="C261" s="493" t="n">
        <v>8</v>
      </c>
      <c r="D261" s="1548" t="n">
        <f aca="false">B261*C261</f>
        <v>0</v>
      </c>
      <c r="E261" s="1526" t="n">
        <v>0</v>
      </c>
      <c r="F261" s="1504"/>
      <c r="G261" s="1504"/>
      <c r="H261" s="1504"/>
      <c r="I261" s="1504"/>
      <c r="J261" s="1504"/>
      <c r="K261" s="1504"/>
      <c r="L261" s="1504"/>
      <c r="M261" s="1504"/>
      <c r="N261" s="1504"/>
      <c r="O261" s="1504"/>
    </row>
    <row r="262" customFormat="false" ht="25.5" hidden="false" customHeight="true" outlineLevel="0" collapsed="false">
      <c r="A262" s="1523" t="s">
        <v>440</v>
      </c>
      <c r="B262" s="1547" t="n">
        <f aca="false">'Saisie et Calculateur'!C359</f>
        <v>0</v>
      </c>
      <c r="C262" s="493" t="n">
        <v>20</v>
      </c>
      <c r="D262" s="1548" t="n">
        <f aca="false">B262*C262</f>
        <v>0</v>
      </c>
      <c r="E262" s="1526" t="n">
        <v>0</v>
      </c>
      <c r="F262" s="1504"/>
      <c r="G262" s="1504"/>
      <c r="H262" s="1504"/>
      <c r="I262" s="1504"/>
      <c r="J262" s="1504"/>
      <c r="K262" s="1504"/>
      <c r="L262" s="1504"/>
      <c r="M262" s="1504"/>
      <c r="N262" s="1504"/>
      <c r="O262" s="1504"/>
    </row>
    <row r="263" customFormat="false" ht="25.5" hidden="false" customHeight="true" outlineLevel="0" collapsed="false">
      <c r="A263" s="1523" t="s">
        <v>441</v>
      </c>
      <c r="B263" s="1547" t="n">
        <f aca="false">'Saisie et Calculateur'!C360</f>
        <v>0</v>
      </c>
      <c r="C263" s="493" t="n">
        <v>15</v>
      </c>
      <c r="D263" s="1548" t="n">
        <f aca="false">B263*C263</f>
        <v>0</v>
      </c>
      <c r="E263" s="1526" t="n">
        <v>0</v>
      </c>
      <c r="F263" s="1504"/>
      <c r="G263" s="1504"/>
      <c r="H263" s="1504"/>
      <c r="I263" s="1504"/>
      <c r="J263" s="1504"/>
      <c r="K263" s="1504"/>
      <c r="L263" s="1610"/>
      <c r="M263" s="1610"/>
      <c r="N263" s="1504"/>
      <c r="O263" s="1504"/>
    </row>
    <row r="264" customFormat="false" ht="25.5" hidden="false" customHeight="true" outlineLevel="0" collapsed="false">
      <c r="A264" s="1523" t="s">
        <v>1227</v>
      </c>
      <c r="B264" s="1547" t="n">
        <f aca="false">'Saisie et Calculateur'!C361</f>
        <v>0</v>
      </c>
      <c r="C264" s="493" t="n">
        <v>10</v>
      </c>
      <c r="D264" s="1548" t="n">
        <f aca="false">B264*C264</f>
        <v>0</v>
      </c>
      <c r="E264" s="1526" t="n">
        <v>0</v>
      </c>
      <c r="F264" s="1504"/>
      <c r="G264" s="1504"/>
      <c r="H264" s="1504"/>
      <c r="I264" s="1504"/>
      <c r="J264" s="1504"/>
      <c r="K264" s="1504"/>
      <c r="L264" s="1504"/>
      <c r="M264" s="1504"/>
      <c r="N264" s="1504"/>
      <c r="O264" s="1504"/>
    </row>
    <row r="265" customFormat="false" ht="25.5" hidden="false" customHeight="true" outlineLevel="0" collapsed="false">
      <c r="A265" s="1523" t="s">
        <v>443</v>
      </c>
      <c r="B265" s="1547" t="n">
        <f aca="false">'Saisie et Calculateur'!C362</f>
        <v>0</v>
      </c>
      <c r="C265" s="493" t="n">
        <v>6.5</v>
      </c>
      <c r="D265" s="1548" t="n">
        <f aca="false">B265*C265</f>
        <v>0</v>
      </c>
      <c r="E265" s="1526" t="n">
        <v>0</v>
      </c>
      <c r="F265" s="1504"/>
      <c r="G265" s="1504"/>
      <c r="H265" s="1504"/>
      <c r="I265" s="1504"/>
      <c r="J265" s="1504"/>
      <c r="K265" s="1504"/>
      <c r="L265" s="1502"/>
      <c r="M265" s="1504"/>
      <c r="N265" s="1504"/>
      <c r="O265" s="1504"/>
    </row>
    <row r="266" customFormat="false" ht="25.5" hidden="false" customHeight="true" outlineLevel="0" collapsed="false">
      <c r="A266" s="1523" t="s">
        <v>444</v>
      </c>
      <c r="B266" s="1547" t="n">
        <f aca="false">'Saisie et Calculateur'!C363</f>
        <v>0</v>
      </c>
      <c r="C266" s="493" t="n">
        <v>7.6</v>
      </c>
      <c r="D266" s="1548" t="n">
        <f aca="false">B266*C266</f>
        <v>0</v>
      </c>
      <c r="E266" s="1526" t="n">
        <v>5</v>
      </c>
      <c r="F266" s="1504"/>
      <c r="G266" s="1504"/>
      <c r="H266" s="1504"/>
      <c r="I266" s="1504"/>
      <c r="J266" s="1504"/>
      <c r="K266" s="1504"/>
      <c r="L266" s="1502"/>
      <c r="M266" s="1504"/>
      <c r="N266" s="1504"/>
      <c r="O266" s="1504"/>
    </row>
    <row r="267" customFormat="false" ht="25.5" hidden="false" customHeight="true" outlineLevel="0" collapsed="false">
      <c r="A267" s="1523" t="s">
        <v>445</v>
      </c>
      <c r="B267" s="1547" t="n">
        <f aca="false">'Saisie et Calculateur'!C364</f>
        <v>0</v>
      </c>
      <c r="C267" s="493" t="n">
        <v>11</v>
      </c>
      <c r="D267" s="1548" t="n">
        <f aca="false">B267*C267</f>
        <v>0</v>
      </c>
      <c r="E267" s="1526" t="n">
        <v>5</v>
      </c>
      <c r="F267" s="1504"/>
      <c r="G267" s="1504"/>
      <c r="H267" s="1504"/>
      <c r="I267" s="1504"/>
      <c r="J267" s="1504"/>
      <c r="K267" s="1504"/>
      <c r="L267" s="1502"/>
      <c r="M267" s="1504"/>
      <c r="N267" s="1504"/>
      <c r="O267" s="1504"/>
    </row>
    <row r="268" customFormat="false" ht="12.75" hidden="false" customHeight="true" outlineLevel="0" collapsed="false">
      <c r="A268" s="1523" t="s">
        <v>446</v>
      </c>
      <c r="B268" s="1547" t="n">
        <f aca="false">'Saisie et Calculateur'!C365</f>
        <v>0</v>
      </c>
      <c r="C268" s="493" t="n">
        <v>20</v>
      </c>
      <c r="D268" s="1548" t="n">
        <f aca="false">B268*C268</f>
        <v>0</v>
      </c>
      <c r="E268" s="1526" t="n">
        <v>0</v>
      </c>
      <c r="F268" s="1504"/>
      <c r="G268" s="1504"/>
      <c r="H268" s="1504"/>
      <c r="I268" s="1504"/>
      <c r="J268" s="1504"/>
      <c r="K268" s="1504"/>
      <c r="L268" s="1502"/>
      <c r="M268" s="1504"/>
      <c r="N268" s="1504"/>
      <c r="O268" s="1504"/>
    </row>
    <row r="269" customFormat="false" ht="38.25" hidden="false" customHeight="true" outlineLevel="0" collapsed="false">
      <c r="A269" s="1523" t="s">
        <v>1849</v>
      </c>
      <c r="B269" s="1547" t="n">
        <f aca="false">'Saisie et Calculateur'!C366</f>
        <v>0</v>
      </c>
      <c r="C269" s="493" t="n">
        <v>15</v>
      </c>
      <c r="D269" s="1548" t="n">
        <f aca="false">B269*C269</f>
        <v>0</v>
      </c>
      <c r="E269" s="1526" t="n">
        <v>0</v>
      </c>
      <c r="F269" s="1504"/>
      <c r="G269" s="1504"/>
      <c r="H269" s="1504"/>
      <c r="I269" s="1504"/>
      <c r="J269" s="1504"/>
      <c r="K269" s="1504"/>
      <c r="L269" s="1502"/>
      <c r="M269" s="1504"/>
      <c r="N269" s="1504"/>
      <c r="O269" s="1504"/>
    </row>
    <row r="270" customFormat="false" ht="12.75" hidden="false" customHeight="true" outlineLevel="0" collapsed="false">
      <c r="A270" s="1554" t="s">
        <v>448</v>
      </c>
      <c r="B270" s="1547" t="n">
        <f aca="false">'Saisie et Calculateur'!C367</f>
        <v>0</v>
      </c>
      <c r="C270" s="1625" t="n">
        <v>27.5</v>
      </c>
      <c r="D270" s="1548" t="n">
        <f aca="false">B270*C270</f>
        <v>0</v>
      </c>
      <c r="E270" s="1526" t="n">
        <v>6</v>
      </c>
      <c r="F270" s="1504"/>
      <c r="G270" s="1504"/>
      <c r="H270" s="1504"/>
      <c r="I270" s="1504"/>
      <c r="J270" s="1504"/>
      <c r="K270" s="1504"/>
      <c r="L270" s="1502"/>
      <c r="M270" s="1504"/>
      <c r="N270" s="1504"/>
      <c r="O270" s="1504"/>
    </row>
    <row r="271" customFormat="false" ht="12.75" hidden="false" customHeight="true" outlineLevel="0" collapsed="false">
      <c r="A271" s="1504"/>
      <c r="B271" s="1504"/>
      <c r="C271" s="1504"/>
      <c r="D271" s="1504"/>
      <c r="E271" s="1504"/>
      <c r="F271" s="1504"/>
      <c r="G271" s="1504"/>
      <c r="H271" s="1504"/>
      <c r="I271" s="1504"/>
      <c r="J271" s="1504"/>
      <c r="K271" s="1504"/>
      <c r="L271" s="1502"/>
      <c r="M271" s="1504"/>
      <c r="N271" s="1504"/>
      <c r="O271" s="1504"/>
    </row>
    <row r="272" customFormat="false" ht="12.75" hidden="false" customHeight="true" outlineLevel="0" collapsed="false">
      <c r="A272" s="1504"/>
      <c r="B272" s="1532" t="s">
        <v>1832</v>
      </c>
      <c r="C272" s="1533" t="s">
        <v>551</v>
      </c>
      <c r="D272" s="738" t="n">
        <f aca="false">SUM(D242:D270)</f>
        <v>0</v>
      </c>
      <c r="E272" s="1504"/>
      <c r="F272" s="1504"/>
      <c r="G272" s="1504"/>
      <c r="H272" s="1504"/>
      <c r="I272" s="1504"/>
      <c r="J272" s="1504"/>
      <c r="K272" s="1504"/>
      <c r="L272" s="1502"/>
      <c r="M272" s="1504"/>
      <c r="N272" s="1504"/>
      <c r="O272" s="1504"/>
    </row>
    <row r="273" customFormat="false" ht="12.75" hidden="false" customHeight="true" outlineLevel="0" collapsed="false">
      <c r="A273" s="1502"/>
      <c r="B273" s="1504"/>
      <c r="C273" s="1504"/>
      <c r="D273" s="1504"/>
      <c r="E273" s="1504"/>
      <c r="F273" s="1504"/>
      <c r="G273" s="1504"/>
      <c r="H273" s="1504"/>
      <c r="I273" s="1504"/>
      <c r="J273" s="1504"/>
      <c r="K273" s="1504"/>
      <c r="L273" s="1504"/>
      <c r="M273" s="1504"/>
      <c r="N273" s="1504"/>
      <c r="O273" s="1504"/>
    </row>
    <row r="274" customFormat="false" ht="12.75" hidden="false" customHeight="true" outlineLevel="0" collapsed="false">
      <c r="A274" s="1504"/>
      <c r="B274" s="1504"/>
      <c r="C274" s="1504"/>
      <c r="D274" s="1504"/>
      <c r="E274" s="1504"/>
      <c r="F274" s="1504"/>
      <c r="G274" s="1504"/>
      <c r="H274" s="1504"/>
      <c r="I274" s="1504"/>
      <c r="J274" s="1504"/>
      <c r="K274" s="1504"/>
      <c r="L274" s="1504"/>
      <c r="M274" s="1504"/>
      <c r="N274" s="1504"/>
      <c r="O274" s="1504"/>
    </row>
    <row r="275" customFormat="false" ht="12.75" hidden="false" customHeight="true" outlineLevel="0" collapsed="false">
      <c r="A275" s="1502"/>
      <c r="B275" s="1502"/>
      <c r="C275" s="1502"/>
      <c r="D275" s="1502"/>
      <c r="E275" s="1502"/>
      <c r="F275" s="1502"/>
      <c r="G275" s="1502"/>
      <c r="H275" s="1502"/>
      <c r="I275" s="1502"/>
      <c r="J275" s="1502"/>
      <c r="K275" s="1502"/>
      <c r="L275" s="1502"/>
      <c r="M275" s="1504"/>
      <c r="N275" s="1504"/>
      <c r="O275" s="1504"/>
    </row>
    <row r="276" customFormat="false" ht="20.25" hidden="false" customHeight="true" outlineLevel="0" collapsed="false">
      <c r="A276" s="1511" t="s">
        <v>1908</v>
      </c>
      <c r="B276" s="1511"/>
      <c r="C276" s="1511"/>
      <c r="D276" s="1511"/>
      <c r="E276" s="1511"/>
      <c r="F276" s="1511"/>
      <c r="G276" s="1511"/>
      <c r="H276" s="1511"/>
      <c r="I276" s="1511"/>
      <c r="J276" s="1502"/>
      <c r="K276" s="1502"/>
      <c r="L276" s="1502"/>
      <c r="M276" s="1504"/>
      <c r="N276" s="1504"/>
      <c r="O276" s="1504"/>
    </row>
    <row r="277" customFormat="false" ht="12.75" hidden="false" customHeight="true" outlineLevel="0" collapsed="false">
      <c r="A277" s="1502"/>
      <c r="B277" s="1502"/>
      <c r="C277" s="1502"/>
      <c r="D277" s="1502"/>
      <c r="E277" s="1502"/>
      <c r="F277" s="1502"/>
      <c r="G277" s="1502"/>
      <c r="H277" s="1502"/>
      <c r="I277" s="1502"/>
      <c r="J277" s="1502"/>
      <c r="K277" s="1502"/>
      <c r="L277" s="1502"/>
      <c r="M277" s="1504"/>
      <c r="N277" s="1504"/>
      <c r="O277" s="1504"/>
    </row>
    <row r="278" customFormat="false" ht="12.75" hidden="false" customHeight="true" outlineLevel="0" collapsed="false">
      <c r="A278" s="1626"/>
      <c r="B278" s="1627"/>
      <c r="C278" s="1627"/>
      <c r="D278" s="1627"/>
      <c r="E278" s="1628"/>
      <c r="F278" s="1627"/>
      <c r="G278" s="1629"/>
      <c r="H278" s="1504"/>
      <c r="I278" s="1504"/>
      <c r="J278" s="1504"/>
      <c r="K278" s="1504"/>
      <c r="L278" s="1502"/>
      <c r="M278" s="1504"/>
      <c r="N278" s="1504"/>
      <c r="O278" s="1504"/>
    </row>
    <row r="279" customFormat="false" ht="25.5" hidden="false" customHeight="true" outlineLevel="0" collapsed="false">
      <c r="A279" s="1630" t="s">
        <v>1909</v>
      </c>
      <c r="B279" s="924" t="s">
        <v>414</v>
      </c>
      <c r="C279" s="1532" t="s">
        <v>406</v>
      </c>
      <c r="D279" s="924" t="s">
        <v>406</v>
      </c>
      <c r="E279" s="1517" t="s">
        <v>1827</v>
      </c>
      <c r="F279" s="1502"/>
      <c r="G279" s="1504"/>
      <c r="H279" s="1504"/>
      <c r="I279" s="1504"/>
      <c r="J279" s="1504"/>
      <c r="K279" s="1504"/>
      <c r="L279" s="1504"/>
      <c r="M279" s="1504"/>
      <c r="N279" s="1504"/>
      <c r="O279" s="1504"/>
    </row>
    <row r="280" customFormat="false" ht="25.5" hidden="false" customHeight="true" outlineLevel="0" collapsed="false">
      <c r="A280" s="1630"/>
      <c r="B280" s="1533" t="s">
        <v>1910</v>
      </c>
      <c r="C280" s="1604" t="s">
        <v>1888</v>
      </c>
      <c r="D280" s="1604" t="s">
        <v>1223</v>
      </c>
      <c r="E280" s="1522"/>
      <c r="F280" s="1502"/>
      <c r="G280" s="1504"/>
      <c r="H280" s="1558"/>
      <c r="I280" s="1504"/>
      <c r="J280" s="1504"/>
      <c r="K280" s="1504"/>
      <c r="L280" s="1504"/>
      <c r="M280" s="1504"/>
      <c r="N280" s="1504"/>
      <c r="O280" s="1504"/>
    </row>
    <row r="281" customFormat="false" ht="14.25" hidden="false" customHeight="true" outlineLevel="0" collapsed="false">
      <c r="A281" s="1631" t="s">
        <v>342</v>
      </c>
      <c r="B281" s="1632" t="n">
        <f aca="false">'Saisie et Calculateur'!J265</f>
        <v>0</v>
      </c>
      <c r="C281" s="1633" t="n">
        <v>15.7</v>
      </c>
      <c r="D281" s="1634" t="n">
        <f aca="false">B281*C281</f>
        <v>0</v>
      </c>
      <c r="E281" s="1526" t="n">
        <v>0</v>
      </c>
      <c r="F281" s="1502"/>
      <c r="G281" s="1504"/>
      <c r="H281" s="1504"/>
      <c r="I281" s="1504"/>
      <c r="J281" s="1504"/>
      <c r="K281" s="1504"/>
      <c r="L281" s="1504"/>
      <c r="M281" s="1504"/>
      <c r="N281" s="1504"/>
      <c r="O281" s="1504"/>
    </row>
    <row r="282" customFormat="false" ht="14.25" hidden="false" customHeight="true" outlineLevel="0" collapsed="false">
      <c r="A282" s="1631" t="s">
        <v>343</v>
      </c>
      <c r="B282" s="1632" t="n">
        <f aca="false">'Saisie et Calculateur'!J266</f>
        <v>0</v>
      </c>
      <c r="C282" s="1633" t="n">
        <v>15.5</v>
      </c>
      <c r="D282" s="1634" t="n">
        <f aca="false">B282*C282</f>
        <v>0</v>
      </c>
      <c r="E282" s="1526" t="n">
        <v>0</v>
      </c>
      <c r="F282" s="1502"/>
      <c r="G282" s="1504"/>
      <c r="H282" s="1504"/>
      <c r="I282" s="1504"/>
      <c r="J282" s="1504"/>
      <c r="K282" s="1504"/>
      <c r="L282" s="1504"/>
      <c r="M282" s="1504"/>
      <c r="N282" s="1504"/>
      <c r="O282" s="1504"/>
    </row>
    <row r="283" customFormat="false" ht="14.25" hidden="false" customHeight="true" outlineLevel="0" collapsed="false">
      <c r="A283" s="1631" t="s">
        <v>344</v>
      </c>
      <c r="B283" s="1632" t="n">
        <f aca="false">'Saisie et Calculateur'!J267</f>
        <v>105</v>
      </c>
      <c r="C283" s="1633" t="n">
        <v>21.9</v>
      </c>
      <c r="D283" s="1634" t="n">
        <f aca="false">B283*C283</f>
        <v>2299.5</v>
      </c>
      <c r="E283" s="1526" t="n">
        <v>0</v>
      </c>
      <c r="F283" s="1502"/>
      <c r="G283" s="1504"/>
      <c r="H283" s="1504"/>
      <c r="I283" s="1504"/>
      <c r="J283" s="1504"/>
      <c r="K283" s="1504"/>
      <c r="L283" s="1504"/>
      <c r="M283" s="1504"/>
      <c r="N283" s="1504"/>
      <c r="O283" s="1504"/>
    </row>
    <row r="284" customFormat="false" ht="14.25" hidden="false" customHeight="true" outlineLevel="0" collapsed="false">
      <c r="A284" s="1631" t="s">
        <v>345</v>
      </c>
      <c r="B284" s="1632" t="n">
        <f aca="false">'Saisie et Calculateur'!J268</f>
        <v>57</v>
      </c>
      <c r="C284" s="1633" t="n">
        <v>33.3</v>
      </c>
      <c r="D284" s="1634" t="n">
        <f aca="false">B284*C284</f>
        <v>1898.1</v>
      </c>
      <c r="E284" s="1522" t="n">
        <v>4</v>
      </c>
      <c r="F284" s="1502"/>
      <c r="G284" s="1504"/>
      <c r="H284" s="1504"/>
      <c r="I284" s="1504"/>
      <c r="J284" s="1504"/>
      <c r="K284" s="1504"/>
      <c r="L284" s="1504"/>
      <c r="M284" s="1504"/>
      <c r="N284" s="1504"/>
      <c r="O284" s="1504"/>
    </row>
    <row r="285" customFormat="false" ht="14.25" hidden="false" customHeight="true" outlineLevel="0" collapsed="false">
      <c r="A285" s="1631" t="s">
        <v>346</v>
      </c>
      <c r="B285" s="1632" t="n">
        <f aca="false">'Saisie et Calculateur'!J269</f>
        <v>75</v>
      </c>
      <c r="C285" s="1633" t="n">
        <v>13</v>
      </c>
      <c r="D285" s="1634" t="n">
        <f aca="false">B285*C285</f>
        <v>975</v>
      </c>
      <c r="E285" s="1526" t="n">
        <v>0</v>
      </c>
      <c r="F285" s="1504"/>
      <c r="G285" s="1504"/>
      <c r="H285" s="1504"/>
      <c r="I285" s="1504"/>
      <c r="J285" s="1504"/>
      <c r="K285" s="1504"/>
      <c r="L285" s="1504"/>
      <c r="M285" s="1504"/>
      <c r="N285" s="1504"/>
      <c r="O285" s="1504"/>
    </row>
    <row r="286" customFormat="false" ht="14.25" hidden="false" customHeight="true" outlineLevel="0" collapsed="false">
      <c r="A286" s="1631" t="s">
        <v>347</v>
      </c>
      <c r="B286" s="1632" t="n">
        <f aca="false">'Saisie et Calculateur'!J270</f>
        <v>0</v>
      </c>
      <c r="C286" s="1633" t="n">
        <v>13</v>
      </c>
      <c r="D286" s="1634" t="n">
        <f aca="false">B286*C286</f>
        <v>0</v>
      </c>
      <c r="E286" s="1526" t="n">
        <v>0</v>
      </c>
      <c r="F286" s="1504"/>
      <c r="G286" s="1504"/>
      <c r="H286" s="1504"/>
      <c r="I286" s="1504"/>
      <c r="J286" s="1504"/>
      <c r="K286" s="1504"/>
      <c r="L286" s="1504"/>
      <c r="M286" s="1504"/>
      <c r="N286" s="1504"/>
      <c r="O286" s="1504"/>
    </row>
    <row r="287" customFormat="false" ht="14.25" hidden="false" customHeight="true" outlineLevel="0" collapsed="false">
      <c r="A287" s="1631" t="s">
        <v>348</v>
      </c>
      <c r="B287" s="1632" t="n">
        <f aca="false">'Saisie et Calculateur'!J271</f>
        <v>0</v>
      </c>
      <c r="C287" s="1633" t="n">
        <v>16.6</v>
      </c>
      <c r="D287" s="1634" t="n">
        <f aca="false">B287*C287</f>
        <v>0</v>
      </c>
      <c r="E287" s="1526" t="n">
        <v>0</v>
      </c>
      <c r="F287" s="1504"/>
      <c r="G287" s="1504"/>
      <c r="H287" s="1504"/>
      <c r="I287" s="1504"/>
      <c r="J287" s="1504"/>
      <c r="K287" s="1504"/>
      <c r="L287" s="1504"/>
      <c r="M287" s="1504"/>
      <c r="N287" s="1504"/>
      <c r="O287" s="1504"/>
    </row>
    <row r="288" customFormat="false" ht="14.25" hidden="false" customHeight="true" outlineLevel="0" collapsed="false">
      <c r="A288" s="1631" t="s">
        <v>349</v>
      </c>
      <c r="B288" s="1632" t="n">
        <f aca="false">'Saisie et Calculateur'!J272</f>
        <v>0</v>
      </c>
      <c r="C288" s="1633" t="n">
        <v>15.7</v>
      </c>
      <c r="D288" s="1634" t="n">
        <f aca="false">B288*C288</f>
        <v>0</v>
      </c>
      <c r="E288" s="1526" t="n">
        <v>0</v>
      </c>
      <c r="F288" s="1504"/>
      <c r="G288" s="1504"/>
      <c r="H288" s="1504"/>
      <c r="I288" s="1504"/>
      <c r="J288" s="1504"/>
      <c r="K288" s="1504"/>
      <c r="L288" s="1504"/>
      <c r="M288" s="1504"/>
      <c r="N288" s="1504"/>
      <c r="O288" s="1504"/>
    </row>
    <row r="289" customFormat="false" ht="14.25" hidden="false" customHeight="true" outlineLevel="0" collapsed="false">
      <c r="A289" s="1631" t="s">
        <v>350</v>
      </c>
      <c r="B289" s="1632" t="n">
        <f aca="false">'Saisie et Calculateur'!J273</f>
        <v>14.4</v>
      </c>
      <c r="C289" s="1633" t="n">
        <v>34.5</v>
      </c>
      <c r="D289" s="1634" t="n">
        <f aca="false">B289*C289</f>
        <v>496.8</v>
      </c>
      <c r="E289" s="1526" t="n">
        <v>0</v>
      </c>
      <c r="F289" s="1504"/>
      <c r="G289" s="1504"/>
      <c r="H289" s="1504"/>
      <c r="I289" s="1504"/>
      <c r="J289" s="1504"/>
      <c r="K289" s="1504"/>
      <c r="L289" s="1504"/>
      <c r="M289" s="1504"/>
      <c r="N289" s="1504"/>
      <c r="O289" s="1504"/>
    </row>
    <row r="290" customFormat="false" ht="14.25" hidden="false" customHeight="true" outlineLevel="0" collapsed="false">
      <c r="A290" s="1631" t="s">
        <v>351</v>
      </c>
      <c r="B290" s="1632" t="n">
        <f aca="false">'Saisie et Calculateur'!J274</f>
        <v>0</v>
      </c>
      <c r="C290" s="1633" t="n">
        <v>16.5</v>
      </c>
      <c r="D290" s="1634" t="n">
        <f aca="false">B290*C290</f>
        <v>0</v>
      </c>
      <c r="E290" s="1526" t="n">
        <v>0</v>
      </c>
      <c r="F290" s="1504"/>
      <c r="G290" s="1504"/>
      <c r="H290" s="1504"/>
      <c r="I290" s="1504"/>
      <c r="J290" s="1504"/>
      <c r="K290" s="1504"/>
      <c r="L290" s="1504"/>
      <c r="M290" s="1504"/>
      <c r="N290" s="1504"/>
      <c r="O290" s="1480"/>
    </row>
    <row r="291" customFormat="false" ht="14.25" hidden="false" customHeight="true" outlineLevel="0" collapsed="false">
      <c r="A291" s="1631" t="s">
        <v>352</v>
      </c>
      <c r="B291" s="1632" t="n">
        <f aca="false">'Saisie et Calculateur'!J275</f>
        <v>0</v>
      </c>
      <c r="C291" s="1633" t="n">
        <v>3.1</v>
      </c>
      <c r="D291" s="1634" t="n">
        <f aca="false">B291*C291</f>
        <v>0</v>
      </c>
      <c r="E291" s="1526" t="n">
        <v>0</v>
      </c>
      <c r="F291" s="1504"/>
      <c r="G291" s="1504"/>
      <c r="H291" s="1504"/>
      <c r="I291" s="1504"/>
      <c r="J291" s="1504"/>
      <c r="K291" s="1504"/>
      <c r="L291" s="1504"/>
      <c r="M291" s="1504"/>
      <c r="N291" s="1504"/>
      <c r="O291" s="1504"/>
    </row>
    <row r="292" customFormat="false" ht="14.25" hidden="false" customHeight="true" outlineLevel="0" collapsed="false">
      <c r="A292" s="1631" t="s">
        <v>1911</v>
      </c>
      <c r="B292" s="1632" t="n">
        <f aca="false">'Saisie et Calculateur'!J276</f>
        <v>99</v>
      </c>
      <c r="C292" s="1635" t="n">
        <v>13</v>
      </c>
      <c r="D292" s="1634" t="n">
        <f aca="false">B292*C292</f>
        <v>1287</v>
      </c>
      <c r="E292" s="1526"/>
      <c r="F292" s="1504"/>
      <c r="G292" s="1504"/>
      <c r="H292" s="1504"/>
      <c r="I292" s="1504"/>
      <c r="J292" s="1504"/>
      <c r="K292" s="1504"/>
      <c r="L292" s="1504"/>
      <c r="M292" s="1504"/>
      <c r="N292" s="1504"/>
      <c r="O292" s="1504"/>
    </row>
    <row r="293" customFormat="false" ht="14.25" hidden="false" customHeight="true" outlineLevel="0" collapsed="false">
      <c r="A293" s="1631" t="s">
        <v>1173</v>
      </c>
      <c r="B293" s="1632" t="n">
        <f aca="false">'Saisie et Calculateur'!J277</f>
        <v>0</v>
      </c>
      <c r="C293" s="1635"/>
      <c r="D293" s="1634" t="n">
        <f aca="false">B293*C293</f>
        <v>0</v>
      </c>
      <c r="E293" s="1526"/>
      <c r="F293" s="1504"/>
      <c r="G293" s="1504"/>
      <c r="H293" s="1504"/>
      <c r="I293" s="1504"/>
      <c r="J293" s="1504"/>
      <c r="K293" s="1504"/>
      <c r="L293" s="1504"/>
      <c r="M293" s="1504"/>
      <c r="N293" s="1504"/>
      <c r="O293" s="1504"/>
    </row>
    <row r="294" customFormat="false" ht="14.25" hidden="false" customHeight="true" outlineLevel="0" collapsed="false">
      <c r="A294" s="1631" t="s">
        <v>1174</v>
      </c>
      <c r="B294" s="1632" t="n">
        <f aca="false">'Saisie et Calculateur'!J278</f>
        <v>0</v>
      </c>
      <c r="C294" s="1635"/>
      <c r="D294" s="1634" t="n">
        <f aca="false">B294*C294</f>
        <v>0</v>
      </c>
      <c r="E294" s="1526"/>
      <c r="F294" s="1504"/>
      <c r="G294" s="1504"/>
      <c r="H294" s="1504"/>
      <c r="I294" s="1504"/>
      <c r="J294" s="1504"/>
      <c r="K294" s="1504"/>
      <c r="L294" s="1504"/>
      <c r="M294" s="1504"/>
      <c r="N294" s="1504"/>
      <c r="O294" s="1504"/>
    </row>
    <row r="295" customFormat="false" ht="14.25" hidden="false" customHeight="true" outlineLevel="0" collapsed="false">
      <c r="A295" s="1631" t="s">
        <v>1175</v>
      </c>
      <c r="B295" s="1632" t="n">
        <f aca="false">'Saisie et Calculateur'!J279</f>
        <v>0</v>
      </c>
      <c r="C295" s="1635"/>
      <c r="D295" s="1634" t="n">
        <f aca="false">B295*C295</f>
        <v>0</v>
      </c>
      <c r="E295" s="1526" t="n">
        <v>0</v>
      </c>
      <c r="F295" s="1504"/>
      <c r="G295" s="1504"/>
      <c r="H295" s="1504"/>
      <c r="I295" s="1504"/>
      <c r="J295" s="1504"/>
      <c r="K295" s="1504"/>
      <c r="L295" s="1504"/>
      <c r="M295" s="1504"/>
      <c r="N295" s="1504"/>
      <c r="O295" s="1504"/>
    </row>
    <row r="296" customFormat="false" ht="14.25" hidden="false" customHeight="true" outlineLevel="0" collapsed="false">
      <c r="A296" s="1631" t="s">
        <v>1176</v>
      </c>
      <c r="B296" s="1632" t="n">
        <f aca="false">'Saisie et Calculateur'!J280</f>
        <v>0</v>
      </c>
      <c r="C296" s="1635"/>
      <c r="D296" s="1634" t="n">
        <f aca="false">B296*C296</f>
        <v>0</v>
      </c>
      <c r="E296" s="1526" t="n">
        <v>0</v>
      </c>
      <c r="F296" s="1504"/>
      <c r="G296" s="1504"/>
      <c r="H296" s="1504"/>
      <c r="I296" s="1504"/>
      <c r="J296" s="1504"/>
      <c r="K296" s="1504"/>
      <c r="L296" s="1504"/>
      <c r="M296" s="1504"/>
      <c r="N296" s="1504"/>
      <c r="O296" s="1504"/>
    </row>
    <row r="297" customFormat="false" ht="14.25" hidden="false" customHeight="true" outlineLevel="0" collapsed="false">
      <c r="A297" s="1631" t="s">
        <v>356</v>
      </c>
      <c r="B297" s="1632" t="n">
        <f aca="false">'Saisie et Calculateur'!J282</f>
        <v>0</v>
      </c>
      <c r="C297" s="1633" t="n">
        <v>32.9</v>
      </c>
      <c r="D297" s="1634" t="n">
        <f aca="false">B297*C297</f>
        <v>0</v>
      </c>
      <c r="E297" s="1526" t="n">
        <v>0</v>
      </c>
      <c r="F297" s="1504"/>
      <c r="G297" s="1504"/>
      <c r="H297" s="1504"/>
      <c r="I297" s="1504"/>
      <c r="J297" s="1504"/>
      <c r="K297" s="1504"/>
      <c r="L297" s="1504"/>
      <c r="M297" s="1504"/>
      <c r="N297" s="1504"/>
      <c r="O297" s="1504"/>
    </row>
    <row r="298" customFormat="false" ht="14.25" hidden="false" customHeight="true" outlineLevel="0" collapsed="false">
      <c r="A298" s="1631" t="s">
        <v>357</v>
      </c>
      <c r="B298" s="1632" t="n">
        <f aca="false">'Saisie et Calculateur'!J283</f>
        <v>0</v>
      </c>
      <c r="C298" s="1633" t="n">
        <v>35.5</v>
      </c>
      <c r="D298" s="1634" t="n">
        <f aca="false">B298*C298</f>
        <v>0</v>
      </c>
      <c r="E298" s="1526" t="n">
        <v>0</v>
      </c>
      <c r="F298" s="1504"/>
      <c r="G298" s="1504"/>
      <c r="H298" s="1504"/>
      <c r="I298" s="1504"/>
      <c r="J298" s="1504"/>
      <c r="K298" s="1504"/>
      <c r="L298" s="1504"/>
      <c r="M298" s="1504"/>
      <c r="N298" s="1504"/>
      <c r="O298" s="1504"/>
      <c r="Q298" s="1611"/>
      <c r="R298" s="1611"/>
      <c r="S298" s="1611"/>
    </row>
    <row r="299" customFormat="false" ht="14.25" hidden="false" customHeight="true" outlineLevel="0" collapsed="false">
      <c r="A299" s="1631" t="s">
        <v>358</v>
      </c>
      <c r="B299" s="1632" t="n">
        <f aca="false">'Saisie et Calculateur'!J284</f>
        <v>0</v>
      </c>
      <c r="C299" s="1633" t="n">
        <v>55.5</v>
      </c>
      <c r="D299" s="1634" t="n">
        <f aca="false">B299*C299</f>
        <v>0</v>
      </c>
      <c r="E299" s="1526" t="n">
        <v>0</v>
      </c>
      <c r="F299" s="1504"/>
      <c r="G299" s="1504"/>
      <c r="H299" s="1504"/>
      <c r="I299" s="1504"/>
      <c r="J299" s="1504"/>
      <c r="K299" s="1504"/>
      <c r="L299" s="1504"/>
      <c r="M299" s="1504"/>
      <c r="N299" s="1504"/>
      <c r="O299" s="1504"/>
    </row>
    <row r="300" customFormat="false" ht="14.25" hidden="false" customHeight="true" outlineLevel="0" collapsed="false">
      <c r="A300" s="1631" t="s">
        <v>359</v>
      </c>
      <c r="B300" s="1632" t="n">
        <f aca="false">'Saisie et Calculateur'!J285</f>
        <v>0</v>
      </c>
      <c r="C300" s="1633" t="n">
        <v>32.5</v>
      </c>
      <c r="D300" s="1634" t="n">
        <f aca="false">B300*C300</f>
        <v>0</v>
      </c>
      <c r="E300" s="1526" t="n">
        <v>0</v>
      </c>
      <c r="F300" s="1504"/>
      <c r="G300" s="1504"/>
      <c r="H300" s="1504"/>
      <c r="I300" s="1504"/>
      <c r="J300" s="1504"/>
      <c r="K300" s="1504"/>
      <c r="L300" s="1504"/>
      <c r="M300" s="1504"/>
      <c r="N300" s="1504"/>
      <c r="O300" s="1504"/>
    </row>
    <row r="301" customFormat="false" ht="14.25" hidden="false" customHeight="true" outlineLevel="0" collapsed="false">
      <c r="A301" s="1631" t="s">
        <v>360</v>
      </c>
      <c r="B301" s="1632" t="n">
        <f aca="false">'Saisie et Calculateur'!J286</f>
        <v>0</v>
      </c>
      <c r="C301" s="1633" t="n">
        <v>56.5</v>
      </c>
      <c r="D301" s="1634" t="n">
        <f aca="false">B301*C301</f>
        <v>0</v>
      </c>
      <c r="E301" s="1526" t="n">
        <v>0</v>
      </c>
      <c r="F301" s="1504"/>
      <c r="G301" s="1504"/>
      <c r="H301" s="1504"/>
      <c r="I301" s="1504"/>
      <c r="J301" s="1504"/>
      <c r="K301" s="1504"/>
      <c r="L301" s="1504"/>
      <c r="M301" s="1504"/>
      <c r="N301" s="1504"/>
      <c r="O301" s="1504"/>
    </row>
    <row r="302" customFormat="false" ht="14.25" hidden="false" customHeight="true" outlineLevel="0" collapsed="false">
      <c r="A302" s="1631" t="s">
        <v>1136</v>
      </c>
      <c r="B302" s="1632" t="n">
        <f aca="false">'Saisie et Calculateur'!J287</f>
        <v>0</v>
      </c>
      <c r="C302" s="1635"/>
      <c r="D302" s="1634" t="n">
        <f aca="false">B302*C302</f>
        <v>0</v>
      </c>
      <c r="E302" s="1526"/>
      <c r="F302" s="1504"/>
      <c r="G302" s="1504"/>
      <c r="H302" s="1504"/>
      <c r="I302" s="1504"/>
      <c r="J302" s="1504"/>
      <c r="K302" s="1504"/>
      <c r="L302" s="1504"/>
      <c r="M302" s="1504"/>
      <c r="N302" s="1504"/>
      <c r="O302" s="1504"/>
    </row>
    <row r="303" customFormat="false" ht="14.25" hidden="false" customHeight="true" outlineLevel="0" collapsed="false">
      <c r="A303" s="1631"/>
      <c r="B303" s="1533" t="s">
        <v>1912</v>
      </c>
      <c r="C303" s="1533" t="s">
        <v>1891</v>
      </c>
      <c r="D303" s="1533" t="s">
        <v>551</v>
      </c>
      <c r="E303" s="1526"/>
      <c r="F303" s="1504"/>
      <c r="G303" s="1504"/>
      <c r="H303" s="1504"/>
      <c r="I303" s="1504"/>
      <c r="J303" s="1504"/>
      <c r="K303" s="1504"/>
      <c r="L303" s="1504"/>
      <c r="M303" s="1504"/>
      <c r="N303" s="1504"/>
      <c r="O303" s="1504"/>
    </row>
    <row r="304" customFormat="false" ht="14.25" hidden="false" customHeight="true" outlineLevel="0" collapsed="false">
      <c r="A304" s="1631" t="s">
        <v>1913</v>
      </c>
      <c r="B304" s="1632" t="n">
        <f aca="false">'Saisie et Calculateur'!J216</f>
        <v>0</v>
      </c>
      <c r="C304" s="1633" t="n">
        <v>12.5</v>
      </c>
      <c r="D304" s="1634" t="n">
        <f aca="false">B304*C304</f>
        <v>0</v>
      </c>
      <c r="E304" s="1526" t="n">
        <v>0</v>
      </c>
      <c r="F304" s="1504"/>
      <c r="G304" s="1504"/>
      <c r="H304" s="1504"/>
      <c r="I304" s="1504"/>
      <c r="J304" s="1504"/>
      <c r="K304" s="1504"/>
      <c r="L304" s="1504"/>
      <c r="M304" s="1504"/>
      <c r="N304" s="1504"/>
      <c r="O304" s="1504"/>
    </row>
    <row r="305" customFormat="false" ht="14.25" hidden="false" customHeight="true" outlineLevel="0" collapsed="false">
      <c r="A305" s="1631" t="s">
        <v>202</v>
      </c>
      <c r="B305" s="1632" t="n">
        <f aca="false">'Saisie et Calculateur'!J217</f>
        <v>0</v>
      </c>
      <c r="C305" s="1633" t="n">
        <v>15</v>
      </c>
      <c r="D305" s="1634" t="n">
        <f aca="false">B305*C305</f>
        <v>0</v>
      </c>
      <c r="E305" s="1526" t="n">
        <v>0</v>
      </c>
      <c r="F305" s="1504"/>
      <c r="G305" s="1504"/>
      <c r="H305" s="1504"/>
      <c r="I305" s="1504"/>
      <c r="J305" s="1504"/>
      <c r="K305" s="1504"/>
      <c r="L305" s="1504"/>
      <c r="M305" s="1504"/>
      <c r="N305" s="1504"/>
      <c r="O305" s="1504"/>
    </row>
    <row r="306" customFormat="false" ht="14.25" hidden="false" customHeight="true" outlineLevel="0" collapsed="false">
      <c r="A306" s="1631" t="s">
        <v>206</v>
      </c>
      <c r="B306" s="1632" t="n">
        <f aca="false">'Saisie et Calculateur'!J218</f>
        <v>0</v>
      </c>
      <c r="C306" s="1633" t="n">
        <v>16</v>
      </c>
      <c r="D306" s="1634" t="n">
        <f aca="false">B306*C306</f>
        <v>0</v>
      </c>
      <c r="E306" s="1526" t="n">
        <v>0</v>
      </c>
      <c r="F306" s="1504"/>
      <c r="G306" s="1504"/>
      <c r="H306" s="1504"/>
      <c r="I306" s="1504"/>
      <c r="J306" s="1504"/>
      <c r="K306" s="1504"/>
      <c r="L306" s="1504"/>
      <c r="M306" s="1504"/>
      <c r="N306" s="1504"/>
      <c r="O306" s="1504"/>
    </row>
    <row r="307" customFormat="false" ht="14.25" hidden="false" customHeight="true" outlineLevel="0" collapsed="false">
      <c r="A307" s="1631" t="s">
        <v>310</v>
      </c>
      <c r="B307" s="1632" t="n">
        <f aca="false">'Saisie et Calculateur'!J219</f>
        <v>0</v>
      </c>
      <c r="C307" s="1633" t="n">
        <v>25</v>
      </c>
      <c r="D307" s="1634" t="n">
        <f aca="false">B307*C307</f>
        <v>0</v>
      </c>
      <c r="E307" s="1526" t="n">
        <v>0</v>
      </c>
      <c r="F307" s="1504"/>
      <c r="G307" s="1504"/>
      <c r="H307" s="1504"/>
      <c r="I307" s="1504"/>
      <c r="J307" s="1504"/>
      <c r="K307" s="1504"/>
      <c r="L307" s="1504"/>
      <c r="M307" s="1504"/>
      <c r="N307" s="1504"/>
      <c r="O307" s="1504"/>
    </row>
    <row r="308" s="1611" customFormat="true" ht="14.25" hidden="false" customHeight="true" outlineLevel="0" collapsed="false">
      <c r="A308" s="1631" t="s">
        <v>204</v>
      </c>
      <c r="B308" s="1632" t="n">
        <f aca="false">'Saisie et Calculateur'!J220</f>
        <v>0</v>
      </c>
      <c r="C308" s="1633" t="n">
        <v>35</v>
      </c>
      <c r="D308" s="1634" t="n">
        <f aca="false">B308*C308</f>
        <v>0</v>
      </c>
      <c r="E308" s="1522" t="n">
        <v>3</v>
      </c>
      <c r="F308" s="1504"/>
      <c r="G308" s="1504"/>
      <c r="H308" s="1504"/>
      <c r="I308" s="1504"/>
      <c r="J308" s="1504"/>
      <c r="K308" s="1504"/>
      <c r="L308" s="1504"/>
      <c r="M308" s="1504"/>
      <c r="N308" s="1504"/>
      <c r="O308" s="1504"/>
      <c r="P308" s="0"/>
      <c r="Q308" s="0"/>
      <c r="R308" s="0"/>
      <c r="S308" s="0"/>
    </row>
    <row r="309" s="1611" customFormat="true" ht="14.25" hidden="false" customHeight="true" outlineLevel="0" collapsed="false">
      <c r="A309" s="1631" t="s">
        <v>1914</v>
      </c>
      <c r="B309" s="1632" t="n">
        <f aca="false">'Saisie et Calculateur'!J238</f>
        <v>0</v>
      </c>
      <c r="C309" s="1633" t="n">
        <v>26</v>
      </c>
      <c r="D309" s="1634" t="n">
        <f aca="false">B309*C309</f>
        <v>0</v>
      </c>
      <c r="E309" s="1522"/>
      <c r="F309" s="1504"/>
      <c r="G309" s="1504"/>
      <c r="H309" s="1504"/>
      <c r="I309" s="1504"/>
      <c r="J309" s="1504"/>
      <c r="K309" s="1504"/>
      <c r="L309" s="1504"/>
      <c r="M309" s="1504"/>
      <c r="N309" s="1504"/>
      <c r="O309" s="1504"/>
      <c r="P309" s="0"/>
      <c r="Q309" s="0"/>
      <c r="R309" s="0"/>
      <c r="S309" s="0"/>
    </row>
    <row r="310" s="1611" customFormat="true" ht="14.25" hidden="false" customHeight="true" outlineLevel="0" collapsed="false">
      <c r="A310" s="1631" t="s">
        <v>196</v>
      </c>
      <c r="B310" s="1632" t="n">
        <f aca="false">'Saisie et Calculateur'!J251</f>
        <v>0</v>
      </c>
      <c r="C310" s="1633" t="n">
        <v>15</v>
      </c>
      <c r="D310" s="1634" t="n">
        <f aca="false">B310*C310</f>
        <v>0</v>
      </c>
      <c r="E310" s="1522"/>
      <c r="F310" s="1504"/>
      <c r="G310" s="1504"/>
      <c r="H310" s="1504"/>
      <c r="I310" s="1504"/>
      <c r="J310" s="1504"/>
      <c r="K310" s="1504"/>
      <c r="L310" s="1504"/>
      <c r="M310" s="1504"/>
      <c r="N310" s="1504"/>
      <c r="O310" s="1504"/>
      <c r="P310" s="0"/>
      <c r="Q310" s="0"/>
      <c r="R310" s="0"/>
      <c r="S310" s="0"/>
    </row>
    <row r="311" customFormat="false" ht="14.25" hidden="false" customHeight="true" outlineLevel="0" collapsed="false">
      <c r="A311" s="1631" t="s">
        <v>198</v>
      </c>
      <c r="B311" s="1632" t="n">
        <f aca="false">'Saisie et Calculateur'!J252</f>
        <v>0</v>
      </c>
      <c r="C311" s="1636" t="n">
        <v>28</v>
      </c>
      <c r="D311" s="1634" t="n">
        <f aca="false">B311*C311</f>
        <v>0</v>
      </c>
      <c r="E311" s="1526"/>
      <c r="F311" s="1504"/>
      <c r="G311" s="1504"/>
      <c r="H311" s="1504"/>
      <c r="I311" s="1504"/>
      <c r="J311" s="1504"/>
      <c r="K311" s="1504"/>
      <c r="L311" s="1504"/>
      <c r="M311" s="1504"/>
      <c r="N311" s="1504"/>
      <c r="O311" s="1504"/>
    </row>
    <row r="312" customFormat="false" ht="14.25" hidden="false" customHeight="true" outlineLevel="0" collapsed="false">
      <c r="A312" s="1631" t="s">
        <v>316</v>
      </c>
      <c r="B312" s="1632" t="n">
        <f aca="false">'Saisie et Calculateur'!J229</f>
        <v>0</v>
      </c>
      <c r="C312" s="1636" t="n">
        <v>16</v>
      </c>
      <c r="D312" s="1634" t="n">
        <f aca="false">B312*C312</f>
        <v>0</v>
      </c>
      <c r="E312" s="1573"/>
      <c r="F312" s="1504"/>
      <c r="G312" s="1504"/>
      <c r="H312" s="1504"/>
      <c r="I312" s="1504"/>
      <c r="J312" s="1504"/>
      <c r="K312" s="1504"/>
      <c r="L312" s="1504"/>
      <c r="M312" s="1504"/>
      <c r="N312" s="1504"/>
      <c r="O312" s="1504"/>
    </row>
    <row r="313" customFormat="false" ht="14.25" hidden="false" customHeight="true" outlineLevel="0" collapsed="false">
      <c r="A313" s="1637" t="s">
        <v>315</v>
      </c>
      <c r="B313" s="1632" t="n">
        <f aca="false">'Saisie et Calculateur'!J228</f>
        <v>0</v>
      </c>
      <c r="C313" s="1636" t="n">
        <v>6</v>
      </c>
      <c r="D313" s="1634" t="n">
        <f aca="false">B313*C313</f>
        <v>0</v>
      </c>
      <c r="E313" s="1627"/>
      <c r="F313" s="1504"/>
      <c r="G313" s="1504"/>
      <c r="H313" s="1504"/>
      <c r="I313" s="1504"/>
      <c r="J313" s="1504"/>
      <c r="K313" s="1504"/>
      <c r="L313" s="1504"/>
      <c r="M313" s="1504"/>
      <c r="N313" s="1504"/>
      <c r="O313" s="1504"/>
    </row>
    <row r="314" customFormat="false" ht="12.75" hidden="false" customHeight="true" outlineLevel="0" collapsed="false">
      <c r="A314" s="1502"/>
      <c r="B314" s="1502"/>
      <c r="C314" s="1502"/>
      <c r="D314" s="1504"/>
      <c r="E314" s="1504"/>
      <c r="F314" s="1504"/>
      <c r="G314" s="1502"/>
      <c r="H314" s="1502"/>
      <c r="I314" s="1502"/>
      <c r="J314" s="1502"/>
      <c r="K314" s="1502"/>
      <c r="L314" s="1504"/>
      <c r="M314" s="1504"/>
      <c r="N314" s="1504"/>
      <c r="O314" s="1504"/>
    </row>
    <row r="315" customFormat="false" ht="12.75" hidden="false" customHeight="true" outlineLevel="0" collapsed="false">
      <c r="A315" s="1502"/>
      <c r="B315" s="1532" t="s">
        <v>1244</v>
      </c>
      <c r="C315" s="1533" t="s">
        <v>551</v>
      </c>
      <c r="D315" s="738" t="n">
        <f aca="false">SUM(D304:D313,D281:D301)</f>
        <v>6956.4</v>
      </c>
      <c r="E315" s="1502"/>
      <c r="F315" s="1502"/>
      <c r="G315" s="1502"/>
      <c r="H315" s="1502"/>
      <c r="I315" s="1502"/>
      <c r="J315" s="1502"/>
      <c r="K315" s="1502"/>
      <c r="L315" s="1504"/>
      <c r="M315" s="1504"/>
      <c r="N315" s="1504"/>
      <c r="O315" s="1504"/>
    </row>
    <row r="316" customFormat="false" ht="12.75" hidden="false" customHeight="true" outlineLevel="0" collapsed="false">
      <c r="A316" s="1502"/>
      <c r="B316" s="1502"/>
      <c r="C316" s="1502"/>
      <c r="D316" s="1502"/>
      <c r="E316" s="1502"/>
      <c r="F316" s="1502"/>
      <c r="G316" s="1502"/>
      <c r="H316" s="1502"/>
      <c r="I316" s="1502"/>
      <c r="J316" s="1502"/>
      <c r="K316" s="1502"/>
      <c r="L316" s="1504"/>
      <c r="M316" s="1504"/>
      <c r="N316" s="1504"/>
      <c r="O316" s="1504"/>
    </row>
    <row r="317" customFormat="false" ht="12.75" hidden="false" customHeight="true" outlineLevel="0" collapsed="false">
      <c r="A317" s="1502"/>
      <c r="B317" s="1502"/>
      <c r="C317" s="1502"/>
      <c r="D317" s="1502"/>
      <c r="E317" s="1502"/>
      <c r="F317" s="1502"/>
      <c r="G317" s="1502"/>
      <c r="H317" s="1502"/>
      <c r="I317" s="1502"/>
      <c r="J317" s="1502"/>
      <c r="K317" s="1502"/>
      <c r="L317" s="1504"/>
      <c r="M317" s="1504"/>
      <c r="N317" s="1504"/>
      <c r="O317" s="1504"/>
    </row>
    <row r="318" customFormat="false" ht="12.75" hidden="false" customHeight="true" outlineLevel="0" collapsed="false">
      <c r="A318" s="1502"/>
      <c r="B318" s="1502"/>
      <c r="C318" s="1502"/>
      <c r="D318" s="1502"/>
      <c r="E318" s="1502"/>
      <c r="F318" s="1502"/>
      <c r="G318" s="1502"/>
      <c r="H318" s="1502"/>
      <c r="I318" s="1502"/>
      <c r="J318" s="1502"/>
      <c r="K318" s="1502"/>
      <c r="L318" s="1504"/>
      <c r="M318" s="1504"/>
      <c r="N318" s="1504"/>
      <c r="O318" s="1504"/>
    </row>
    <row r="319" customFormat="false" ht="20.25" hidden="false" customHeight="true" outlineLevel="0" collapsed="false">
      <c r="A319" s="1511" t="s">
        <v>1915</v>
      </c>
      <c r="B319" s="1511"/>
      <c r="C319" s="1511"/>
      <c r="D319" s="1511"/>
      <c r="E319" s="1511"/>
      <c r="F319" s="1511"/>
      <c r="G319" s="1511"/>
      <c r="H319" s="1511"/>
      <c r="I319" s="1511"/>
      <c r="J319" s="1502"/>
      <c r="K319" s="1502"/>
      <c r="L319" s="1504"/>
      <c r="M319" s="1504"/>
      <c r="N319" s="1504"/>
      <c r="O319" s="1504"/>
    </row>
    <row r="320" customFormat="false" ht="12.75" hidden="false" customHeight="true" outlineLevel="0" collapsed="false">
      <c r="A320" s="1502"/>
      <c r="B320" s="1502"/>
      <c r="C320" s="1502"/>
      <c r="D320" s="1502"/>
      <c r="E320" s="1502"/>
      <c r="F320" s="1502"/>
      <c r="G320" s="1502"/>
      <c r="H320" s="1502"/>
      <c r="I320" s="1502"/>
      <c r="J320" s="1502"/>
      <c r="K320" s="1502"/>
      <c r="L320" s="1504"/>
      <c r="M320" s="1504"/>
      <c r="N320" s="1504"/>
      <c r="O320" s="1504"/>
    </row>
    <row r="321" customFormat="false" ht="12.75" hidden="false" customHeight="true" outlineLevel="0" collapsed="false">
      <c r="A321" s="1638"/>
      <c r="B321" s="1639"/>
      <c r="C321" s="1640"/>
      <c r="D321" s="1640"/>
      <c r="E321" s="1502"/>
      <c r="F321" s="1502"/>
      <c r="G321" s="1502"/>
      <c r="H321" s="1502"/>
      <c r="I321" s="1502"/>
      <c r="J321" s="1502"/>
      <c r="K321" s="1502"/>
      <c r="L321" s="1504"/>
      <c r="M321" s="1504"/>
      <c r="N321" s="1504"/>
      <c r="O321" s="1504"/>
    </row>
    <row r="322" customFormat="false" ht="25.5" hidden="false" customHeight="true" outlineLevel="0" collapsed="false">
      <c r="A322" s="1566" t="s">
        <v>1916</v>
      </c>
      <c r="B322" s="1566" t="s">
        <v>1917</v>
      </c>
      <c r="C322" s="1532" t="s">
        <v>406</v>
      </c>
      <c r="D322" s="1532" t="s">
        <v>406</v>
      </c>
      <c r="E322" s="1517" t="s">
        <v>1827</v>
      </c>
      <c r="F322" s="1502"/>
      <c r="G322" s="1502"/>
      <c r="H322" s="1504"/>
      <c r="I322" s="1504"/>
      <c r="J322" s="1504"/>
      <c r="K322" s="1504"/>
      <c r="L322" s="1504"/>
      <c r="M322" s="1504"/>
      <c r="N322" s="1504"/>
      <c r="O322" s="1504"/>
    </row>
    <row r="323" customFormat="false" ht="54" hidden="false" customHeight="true" outlineLevel="0" collapsed="false">
      <c r="A323" s="1641"/>
      <c r="B323" s="1604" t="s">
        <v>1918</v>
      </c>
      <c r="C323" s="1642" t="s">
        <v>1919</v>
      </c>
      <c r="D323" s="1533" t="s">
        <v>1862</v>
      </c>
      <c r="E323" s="1522"/>
      <c r="F323" s="1502"/>
      <c r="G323" s="1502"/>
      <c r="H323" s="1504"/>
      <c r="I323" s="1504"/>
      <c r="J323" s="1504"/>
      <c r="K323" s="1504"/>
      <c r="L323" s="1504"/>
      <c r="M323" s="1504"/>
      <c r="N323" s="1504"/>
      <c r="O323" s="1504"/>
    </row>
    <row r="324" customFormat="false" ht="12.75" hidden="false" customHeight="true" outlineLevel="0" collapsed="false">
      <c r="A324" s="1523" t="s">
        <v>1920</v>
      </c>
      <c r="B324" s="1643"/>
      <c r="C324" s="1644" t="n">
        <v>4.5</v>
      </c>
      <c r="D324" s="1645" t="n">
        <f aca="false">$B324*C324</f>
        <v>0</v>
      </c>
      <c r="E324" s="1526" t="n">
        <v>0</v>
      </c>
      <c r="F324" s="1504"/>
      <c r="G324" s="1504"/>
      <c r="H324" s="1558"/>
      <c r="I324" s="1504"/>
      <c r="J324" s="1504"/>
      <c r="K324" s="1504"/>
      <c r="L324" s="1504"/>
      <c r="M324" s="1504"/>
      <c r="N324" s="1504"/>
      <c r="O324" s="1504"/>
    </row>
    <row r="325" customFormat="false" ht="15.75" hidden="false" customHeight="true" outlineLevel="0" collapsed="false">
      <c r="A325" s="1523" t="s">
        <v>1921</v>
      </c>
      <c r="B325" s="1643"/>
      <c r="C325" s="1644" t="n">
        <v>0.800000011920929</v>
      </c>
      <c r="D325" s="1645" t="n">
        <f aca="false">$B325*C325</f>
        <v>0</v>
      </c>
      <c r="E325" s="1526" t="n">
        <v>0</v>
      </c>
      <c r="F325" s="1504"/>
      <c r="G325" s="1504"/>
      <c r="H325" s="1504"/>
      <c r="I325" s="1504"/>
      <c r="J325" s="1504"/>
      <c r="K325" s="1504"/>
      <c r="L325" s="1504"/>
      <c r="M325" s="1504"/>
      <c r="N325" s="1504"/>
      <c r="O325" s="1504"/>
    </row>
    <row r="326" customFormat="false" ht="12.75" hidden="false" customHeight="true" outlineLevel="0" collapsed="false">
      <c r="A326" s="1523" t="s">
        <v>1922</v>
      </c>
      <c r="B326" s="1643"/>
      <c r="C326" s="1644" t="n">
        <v>5</v>
      </c>
      <c r="D326" s="1645" t="n">
        <f aca="false">$B326*C326</f>
        <v>0</v>
      </c>
      <c r="E326" s="1526" t="n">
        <v>0</v>
      </c>
      <c r="F326" s="1504"/>
      <c r="G326" s="1504"/>
      <c r="H326" s="1504"/>
      <c r="I326" s="1504"/>
      <c r="J326" s="1504"/>
      <c r="K326" s="1504"/>
      <c r="L326" s="1504"/>
      <c r="M326" s="1504"/>
      <c r="N326" s="1504"/>
      <c r="O326" s="1504"/>
    </row>
    <row r="327" customFormat="false" ht="12.75" hidden="false" customHeight="true" outlineLevel="0" collapsed="false">
      <c r="A327" s="1523" t="s">
        <v>1923</v>
      </c>
      <c r="B327" s="1643"/>
      <c r="C327" s="1644" t="n">
        <v>6.09999990463257</v>
      </c>
      <c r="D327" s="1645" t="n">
        <f aca="false">$B327*C327</f>
        <v>0</v>
      </c>
      <c r="E327" s="1526" t="n">
        <v>0</v>
      </c>
      <c r="F327" s="1504"/>
      <c r="G327" s="1504"/>
      <c r="H327" s="1504"/>
      <c r="I327" s="1504"/>
      <c r="J327" s="1504"/>
      <c r="K327" s="1504"/>
      <c r="L327" s="1504"/>
      <c r="M327" s="1504"/>
      <c r="N327" s="1504"/>
      <c r="O327" s="1504"/>
    </row>
    <row r="328" customFormat="false" ht="12.75" hidden="false" customHeight="true" outlineLevel="0" collapsed="false">
      <c r="A328" s="1523" t="s">
        <v>1924</v>
      </c>
      <c r="B328" s="1643"/>
      <c r="C328" s="1644" t="n">
        <v>1.6</v>
      </c>
      <c r="D328" s="1645" t="n">
        <f aca="false">$B328*C328</f>
        <v>0</v>
      </c>
      <c r="E328" s="1526" t="n">
        <v>0</v>
      </c>
      <c r="F328" s="1504"/>
      <c r="G328" s="1504"/>
      <c r="H328" s="1504"/>
      <c r="I328" s="1504"/>
      <c r="J328" s="1504"/>
      <c r="K328" s="1504"/>
      <c r="L328" s="1504"/>
      <c r="M328" s="1504"/>
      <c r="N328" s="1504"/>
      <c r="O328" s="1504"/>
    </row>
    <row r="329" customFormat="false" ht="12.75" hidden="false" customHeight="true" outlineLevel="0" collapsed="false">
      <c r="A329" s="1523" t="s">
        <v>1925</v>
      </c>
      <c r="B329" s="1643"/>
      <c r="C329" s="1644" t="n">
        <v>1.7</v>
      </c>
      <c r="D329" s="1645" t="n">
        <f aca="false">$B329*C329</f>
        <v>0</v>
      </c>
      <c r="E329" s="1526" t="n">
        <v>0</v>
      </c>
      <c r="F329" s="1504"/>
      <c r="G329" s="1504"/>
      <c r="H329" s="1504"/>
      <c r="I329" s="1504"/>
      <c r="J329" s="1504"/>
      <c r="K329" s="1504"/>
      <c r="L329" s="1504"/>
      <c r="M329" s="1504"/>
      <c r="N329" s="1504"/>
      <c r="O329" s="1504"/>
    </row>
    <row r="330" customFormat="false" ht="12.75" hidden="false" customHeight="true" outlineLevel="0" collapsed="false">
      <c r="A330" s="1523" t="s">
        <v>1926</v>
      </c>
      <c r="B330" s="1643"/>
      <c r="C330" s="1644" t="n">
        <v>1.1</v>
      </c>
      <c r="D330" s="1645" t="n">
        <f aca="false">$B330*C330</f>
        <v>0</v>
      </c>
      <c r="E330" s="1526" t="n">
        <v>0</v>
      </c>
      <c r="F330" s="1504"/>
      <c r="G330" s="1504"/>
      <c r="H330" s="1610"/>
      <c r="I330" s="1610"/>
      <c r="J330" s="1610"/>
      <c r="K330" s="1610"/>
      <c r="L330" s="1610"/>
      <c r="M330" s="1610"/>
      <c r="N330" s="1610"/>
      <c r="O330" s="1610"/>
      <c r="P330" s="1611"/>
      <c r="Q330" s="1611"/>
      <c r="R330" s="1611"/>
    </row>
    <row r="331" customFormat="false" ht="12.75" hidden="false" customHeight="true" outlineLevel="0" collapsed="false">
      <c r="A331" s="1523" t="s">
        <v>1927</v>
      </c>
      <c r="B331" s="1643"/>
      <c r="C331" s="1644" t="n">
        <v>1.20000004768372</v>
      </c>
      <c r="D331" s="1645" t="n">
        <f aca="false">$B331*C331</f>
        <v>0</v>
      </c>
      <c r="E331" s="1526" t="n">
        <v>0</v>
      </c>
      <c r="F331" s="1504"/>
      <c r="G331" s="1504"/>
      <c r="H331" s="1504"/>
      <c r="I331" s="1504"/>
      <c r="J331" s="1504"/>
      <c r="K331" s="1504"/>
      <c r="L331" s="1504"/>
      <c r="M331" s="1504"/>
      <c r="N331" s="1504"/>
      <c r="O331" s="1504"/>
    </row>
    <row r="332" customFormat="false" ht="12.75" hidden="false" customHeight="true" outlineLevel="0" collapsed="false">
      <c r="A332" s="1523" t="s">
        <v>1928</v>
      </c>
      <c r="B332" s="1643"/>
      <c r="C332" s="1644" t="n">
        <v>1.79999995231628</v>
      </c>
      <c r="D332" s="1645" t="n">
        <f aca="false">$B332*C332</f>
        <v>0</v>
      </c>
      <c r="E332" s="1526" t="n">
        <v>0</v>
      </c>
      <c r="F332" s="1504"/>
      <c r="G332" s="1504"/>
      <c r="H332" s="1502"/>
      <c r="I332" s="1504"/>
      <c r="J332" s="1504"/>
      <c r="K332" s="1504"/>
      <c r="L332" s="1504"/>
      <c r="M332" s="1504"/>
      <c r="N332" s="1504"/>
      <c r="O332" s="1504"/>
    </row>
    <row r="333" customFormat="false" ht="25.5" hidden="false" customHeight="true" outlineLevel="0" collapsed="false">
      <c r="A333" s="1523" t="s">
        <v>1929</v>
      </c>
      <c r="B333" s="1643"/>
      <c r="C333" s="1644" t="n">
        <v>2.6</v>
      </c>
      <c r="D333" s="1645" t="n">
        <f aca="false">$B333*C333</f>
        <v>0</v>
      </c>
      <c r="E333" s="1526" t="n">
        <v>0</v>
      </c>
      <c r="F333" s="1504"/>
      <c r="G333" s="1504"/>
      <c r="H333" s="1502"/>
      <c r="I333" s="1504"/>
      <c r="J333" s="1504"/>
      <c r="K333" s="1504"/>
      <c r="L333" s="1504"/>
      <c r="M333" s="1504"/>
      <c r="N333" s="1504"/>
      <c r="O333" s="1504"/>
    </row>
    <row r="334" customFormat="false" ht="28.5" hidden="false" customHeight="true" outlineLevel="0" collapsed="false">
      <c r="A334" s="1523" t="s">
        <v>1930</v>
      </c>
      <c r="B334" s="1643"/>
      <c r="C334" s="1644" t="n">
        <v>11.1</v>
      </c>
      <c r="D334" s="1645" t="n">
        <f aca="false">$B334*C334</f>
        <v>0</v>
      </c>
      <c r="E334" s="1526" t="n">
        <v>0</v>
      </c>
      <c r="F334" s="1504"/>
      <c r="G334" s="1504"/>
      <c r="H334" s="1502"/>
      <c r="I334" s="1504"/>
      <c r="J334" s="1504"/>
      <c r="K334" s="1504"/>
      <c r="L334" s="1504"/>
      <c r="M334" s="1504"/>
      <c r="N334" s="1504"/>
      <c r="O334" s="1504"/>
    </row>
    <row r="335" customFormat="false" ht="28.5" hidden="false" customHeight="true" outlineLevel="0" collapsed="false">
      <c r="A335" s="1523" t="s">
        <v>1931</v>
      </c>
      <c r="B335" s="1643"/>
      <c r="C335" s="1644" t="n">
        <v>5.9</v>
      </c>
      <c r="D335" s="1645" t="n">
        <f aca="false">$B335*C335</f>
        <v>0</v>
      </c>
      <c r="E335" s="1526" t="n">
        <v>0</v>
      </c>
      <c r="F335" s="1504"/>
      <c r="G335" s="1504"/>
      <c r="H335" s="1502"/>
      <c r="I335" s="1504"/>
      <c r="J335" s="1504"/>
      <c r="K335" s="1504"/>
      <c r="L335" s="1504"/>
      <c r="M335" s="1504"/>
      <c r="N335" s="1504"/>
      <c r="O335" s="1504"/>
    </row>
    <row r="336" customFormat="false" ht="12.75" hidden="false" customHeight="true" outlineLevel="0" collapsed="false">
      <c r="A336" s="1523" t="s">
        <v>1932</v>
      </c>
      <c r="B336" s="1643"/>
      <c r="C336" s="1644" t="n">
        <v>2.6</v>
      </c>
      <c r="D336" s="1645" t="n">
        <f aca="false">$B336*C336</f>
        <v>0</v>
      </c>
      <c r="E336" s="1526" t="n">
        <v>0</v>
      </c>
      <c r="F336" s="1504"/>
      <c r="G336" s="1504"/>
      <c r="H336" s="1502"/>
      <c r="I336" s="1504"/>
      <c r="J336" s="1504"/>
      <c r="K336" s="1504"/>
      <c r="L336" s="1504"/>
      <c r="M336" s="1504"/>
      <c r="N336" s="1504"/>
      <c r="O336" s="1504"/>
    </row>
    <row r="337" customFormat="false" ht="12.75" hidden="false" customHeight="true" outlineLevel="0" collapsed="false">
      <c r="A337" s="1523" t="s">
        <v>1933</v>
      </c>
      <c r="B337" s="1643"/>
      <c r="C337" s="1644" t="n">
        <v>2.1</v>
      </c>
      <c r="D337" s="1645" t="n">
        <f aca="false">$B337*C337</f>
        <v>0</v>
      </c>
      <c r="E337" s="1526" t="n">
        <v>0</v>
      </c>
      <c r="F337" s="1504"/>
      <c r="G337" s="1504"/>
      <c r="H337" s="1502"/>
      <c r="I337" s="1504"/>
      <c r="J337" s="1504"/>
      <c r="K337" s="1504"/>
      <c r="L337" s="1504"/>
      <c r="M337" s="1504"/>
      <c r="N337" s="1504"/>
      <c r="O337" s="1504"/>
    </row>
    <row r="338" customFormat="false" ht="15" hidden="false" customHeight="true" outlineLevel="0" collapsed="false">
      <c r="A338" s="1523" t="s">
        <v>1934</v>
      </c>
      <c r="B338" s="1643"/>
      <c r="C338" s="1644" t="n">
        <v>2.29999995231628</v>
      </c>
      <c r="D338" s="1645" t="n">
        <f aca="false">$B338*C338</f>
        <v>0</v>
      </c>
      <c r="E338" s="1526" t="n">
        <v>0</v>
      </c>
      <c r="F338" s="1504"/>
      <c r="G338" s="1504"/>
      <c r="J338" s="1504"/>
      <c r="K338" s="1504"/>
      <c r="L338" s="1504"/>
      <c r="M338" s="1504"/>
      <c r="N338" s="1504"/>
      <c r="O338" s="1504"/>
    </row>
    <row r="339" customFormat="false" ht="15" hidden="false" customHeight="true" outlineLevel="0" collapsed="false">
      <c r="A339" s="1523" t="s">
        <v>1935</v>
      </c>
      <c r="B339" s="1643"/>
      <c r="C339" s="1644" t="n">
        <v>1.83469626844343</v>
      </c>
      <c r="D339" s="1645" t="n">
        <f aca="false">$B339*C339</f>
        <v>0</v>
      </c>
      <c r="E339" s="1526" t="n">
        <v>0</v>
      </c>
      <c r="F339" s="1504"/>
      <c r="G339" s="1504"/>
      <c r="J339" s="1504"/>
      <c r="K339" s="1504"/>
      <c r="L339" s="1504"/>
      <c r="M339" s="1504"/>
      <c r="N339" s="1504"/>
      <c r="O339" s="1504"/>
    </row>
    <row r="340" customFormat="false" ht="15" hidden="false" customHeight="true" outlineLevel="0" collapsed="false">
      <c r="A340" s="1523" t="s">
        <v>1936</v>
      </c>
      <c r="B340" s="1643"/>
      <c r="C340" s="1644" t="n">
        <v>1.24118055555556</v>
      </c>
      <c r="D340" s="1645" t="n">
        <f aca="false">$B340*C340</f>
        <v>0</v>
      </c>
      <c r="E340" s="1526" t="n">
        <v>0</v>
      </c>
      <c r="F340" s="1504"/>
      <c r="G340" s="1504"/>
      <c r="J340" s="1504"/>
      <c r="K340" s="1504"/>
      <c r="L340" s="1504"/>
      <c r="M340" s="1504"/>
      <c r="N340" s="1504"/>
      <c r="O340" s="1504"/>
    </row>
    <row r="341" customFormat="false" ht="12.75" hidden="false" customHeight="true" outlineLevel="0" collapsed="false">
      <c r="A341" s="1523" t="s">
        <v>1937</v>
      </c>
      <c r="B341" s="1643"/>
      <c r="C341" s="1644" t="n">
        <v>3.59999990463257</v>
      </c>
      <c r="D341" s="1645" t="n">
        <f aca="false">$B341*C341</f>
        <v>0</v>
      </c>
      <c r="E341" s="1526" t="n">
        <v>0</v>
      </c>
      <c r="F341" s="1504"/>
      <c r="G341" s="1504"/>
      <c r="H341" s="1502"/>
      <c r="I341" s="1504"/>
      <c r="J341" s="1504"/>
      <c r="K341" s="1504"/>
      <c r="L341" s="1504"/>
      <c r="M341" s="1504"/>
      <c r="N341" s="1504"/>
      <c r="O341" s="1504"/>
    </row>
    <row r="342" customFormat="false" ht="12.75" hidden="false" customHeight="true" outlineLevel="0" collapsed="false">
      <c r="A342" s="1523" t="s">
        <v>1938</v>
      </c>
      <c r="B342" s="1643"/>
      <c r="C342" s="1644" t="n">
        <v>3.59999990463257</v>
      </c>
      <c r="D342" s="1645" t="n">
        <f aca="false">$B342*C342</f>
        <v>0</v>
      </c>
      <c r="E342" s="1526" t="n">
        <v>0</v>
      </c>
      <c r="F342" s="1504"/>
      <c r="G342" s="1504"/>
      <c r="H342" s="1502"/>
      <c r="I342" s="1504"/>
      <c r="J342" s="1504"/>
      <c r="K342" s="1504"/>
      <c r="L342" s="1504"/>
      <c r="M342" s="1504"/>
      <c r="N342" s="1504"/>
      <c r="O342" s="1504"/>
    </row>
    <row r="343" customFormat="false" ht="12.75" hidden="false" customHeight="true" outlineLevel="0" collapsed="false">
      <c r="A343" s="1523" t="s">
        <v>1939</v>
      </c>
      <c r="B343" s="1643"/>
      <c r="C343" s="1644" t="n">
        <v>10.8000001907349</v>
      </c>
      <c r="D343" s="1645" t="n">
        <f aca="false">$B343*C343</f>
        <v>0</v>
      </c>
      <c r="E343" s="1526" t="n">
        <v>0</v>
      </c>
      <c r="F343" s="1504"/>
      <c r="G343" s="1504"/>
      <c r="H343" s="1646"/>
      <c r="I343" s="1610"/>
      <c r="J343" s="1610"/>
      <c r="K343" s="1610"/>
      <c r="L343" s="1610"/>
      <c r="M343" s="1610"/>
      <c r="N343" s="1610"/>
      <c r="O343" s="1610"/>
      <c r="P343" s="1611"/>
      <c r="Q343" s="1611"/>
      <c r="R343" s="1611"/>
    </row>
    <row r="344" customFormat="false" ht="25.5" hidden="false" customHeight="true" outlineLevel="0" collapsed="false">
      <c r="A344" s="1523" t="s">
        <v>1940</v>
      </c>
      <c r="B344" s="1643"/>
      <c r="C344" s="1644" t="n">
        <v>1.29999995231628</v>
      </c>
      <c r="D344" s="1645" t="n">
        <f aca="false">$B344*C344</f>
        <v>0</v>
      </c>
      <c r="E344" s="1526" t="n">
        <v>0</v>
      </c>
      <c r="F344" s="1504"/>
      <c r="G344" s="1504"/>
      <c r="H344" s="1502"/>
      <c r="I344" s="1504"/>
      <c r="J344" s="1504"/>
      <c r="K344" s="1504"/>
      <c r="L344" s="1504"/>
      <c r="M344" s="1504"/>
      <c r="N344" s="1504"/>
      <c r="O344" s="1504"/>
    </row>
    <row r="345" customFormat="false" ht="12.75" hidden="false" customHeight="true" outlineLevel="0" collapsed="false">
      <c r="A345" s="1523" t="s">
        <v>1182</v>
      </c>
      <c r="B345" s="1643"/>
      <c r="C345" s="1644" t="n">
        <v>2.9</v>
      </c>
      <c r="D345" s="1645" t="n">
        <f aca="false">$B345*C345</f>
        <v>0</v>
      </c>
      <c r="E345" s="1526" t="n">
        <v>0</v>
      </c>
      <c r="F345" s="1504"/>
      <c r="G345" s="1504"/>
      <c r="H345" s="1502"/>
      <c r="I345" s="1504"/>
      <c r="J345" s="1504"/>
      <c r="K345" s="1504"/>
      <c r="L345" s="1504"/>
      <c r="M345" s="1504"/>
      <c r="N345" s="1504"/>
      <c r="O345" s="1504"/>
    </row>
    <row r="346" customFormat="false" ht="12.75" hidden="false" customHeight="true" outlineLevel="0" collapsed="false">
      <c r="A346" s="1523" t="s">
        <v>1941</v>
      </c>
      <c r="B346" s="1643"/>
      <c r="C346" s="1644" t="n">
        <v>3</v>
      </c>
      <c r="D346" s="1645" t="n">
        <f aca="false">$B346*C346</f>
        <v>0</v>
      </c>
      <c r="E346" s="1526" t="n">
        <v>0</v>
      </c>
      <c r="F346" s="1504"/>
      <c r="G346" s="1504"/>
      <c r="H346" s="1502"/>
      <c r="I346" s="1504"/>
      <c r="J346" s="1504"/>
      <c r="K346" s="1504"/>
      <c r="L346" s="1504"/>
      <c r="M346" s="1504"/>
      <c r="N346" s="1504"/>
      <c r="O346" s="1504"/>
    </row>
    <row r="347" customFormat="false" ht="12.75" hidden="false" customHeight="true" outlineLevel="0" collapsed="false">
      <c r="A347" s="1523" t="s">
        <v>1942</v>
      </c>
      <c r="B347" s="1643"/>
      <c r="C347" s="1644" t="n">
        <v>33</v>
      </c>
      <c r="D347" s="1645" t="n">
        <f aca="false">$B347*C347</f>
        <v>0</v>
      </c>
      <c r="E347" s="1526" t="n">
        <v>0</v>
      </c>
      <c r="F347" s="1504"/>
      <c r="G347" s="1504"/>
      <c r="H347" s="1502"/>
      <c r="I347" s="1504"/>
      <c r="J347" s="1504"/>
      <c r="K347" s="1504"/>
      <c r="L347" s="1504"/>
      <c r="M347" s="1504"/>
      <c r="N347" s="1504"/>
      <c r="O347" s="1504"/>
    </row>
    <row r="348" customFormat="false" ht="15.75" hidden="false" customHeight="true" outlineLevel="0" collapsed="false">
      <c r="A348" s="1523" t="s">
        <v>1943</v>
      </c>
      <c r="B348" s="1643"/>
      <c r="C348" s="1644" t="n">
        <v>2</v>
      </c>
      <c r="D348" s="1645" t="n">
        <f aca="false">$B348*C348</f>
        <v>0</v>
      </c>
      <c r="E348" s="1526" t="n">
        <v>0</v>
      </c>
      <c r="F348" s="1504"/>
      <c r="G348" s="1504"/>
      <c r="H348" s="1502"/>
      <c r="I348" s="1504"/>
      <c r="J348" s="1504"/>
      <c r="K348" s="1504"/>
      <c r="L348" s="1504"/>
      <c r="M348" s="1504"/>
      <c r="N348" s="1504"/>
      <c r="O348" s="1504"/>
    </row>
    <row r="349" customFormat="false" ht="12.75" hidden="false" customHeight="true" outlineLevel="0" collapsed="false">
      <c r="A349" s="1523" t="s">
        <v>1944</v>
      </c>
      <c r="B349" s="1643"/>
      <c r="C349" s="1644" t="n">
        <v>2.79999995231628</v>
      </c>
      <c r="D349" s="1645" t="n">
        <f aca="false">$B349*C349</f>
        <v>0</v>
      </c>
      <c r="E349" s="1526" t="n">
        <v>0</v>
      </c>
      <c r="F349" s="1504"/>
      <c r="G349" s="1504"/>
      <c r="H349" s="1504"/>
      <c r="I349" s="1504"/>
      <c r="J349" s="1504"/>
      <c r="K349" s="1504"/>
      <c r="L349" s="1504"/>
      <c r="M349" s="1504"/>
      <c r="N349" s="1504"/>
      <c r="O349" s="1504"/>
    </row>
    <row r="350" customFormat="false" ht="12.75" hidden="false" customHeight="true" outlineLevel="0" collapsed="false">
      <c r="A350" s="1523" t="s">
        <v>1945</v>
      </c>
      <c r="B350" s="1643"/>
      <c r="C350" s="1644" t="n">
        <v>2.6</v>
      </c>
      <c r="D350" s="1645" t="n">
        <f aca="false">$B350*C350</f>
        <v>0</v>
      </c>
      <c r="E350" s="1526" t="n">
        <v>0</v>
      </c>
      <c r="F350" s="1504"/>
      <c r="G350" s="1504"/>
      <c r="H350" s="1504"/>
      <c r="I350" s="1504"/>
      <c r="J350" s="1504"/>
      <c r="K350" s="1504"/>
      <c r="L350" s="1504"/>
      <c r="M350" s="1504"/>
      <c r="N350" s="1504"/>
      <c r="O350" s="1504"/>
    </row>
    <row r="351" customFormat="false" ht="12.75" hidden="false" customHeight="true" outlineLevel="0" collapsed="false">
      <c r="A351" s="1523" t="s">
        <v>1946</v>
      </c>
      <c r="B351" s="1643"/>
      <c r="C351" s="1644" t="n">
        <v>2.29999995231628</v>
      </c>
      <c r="D351" s="1645" t="n">
        <f aca="false">$B351*C351</f>
        <v>0</v>
      </c>
      <c r="E351" s="1526" t="n">
        <v>0</v>
      </c>
      <c r="F351" s="1504"/>
      <c r="G351" s="1504"/>
      <c r="H351" s="1504"/>
      <c r="I351" s="1504"/>
      <c r="J351" s="1504"/>
      <c r="K351" s="1504"/>
      <c r="L351" s="1504"/>
      <c r="M351" s="1504"/>
      <c r="N351" s="1504"/>
      <c r="O351" s="1504"/>
    </row>
    <row r="352" customFormat="false" ht="12.75" hidden="false" customHeight="true" outlineLevel="0" collapsed="false">
      <c r="A352" s="1523" t="s">
        <v>1947</v>
      </c>
      <c r="B352" s="1643"/>
      <c r="C352" s="1644" t="n">
        <v>3.29999995231628</v>
      </c>
      <c r="D352" s="1645" t="n">
        <f aca="false">$B352*C352</f>
        <v>0</v>
      </c>
      <c r="E352" s="1526" t="n">
        <v>0</v>
      </c>
      <c r="F352" s="1504"/>
      <c r="G352" s="1504"/>
      <c r="H352" s="1504"/>
      <c r="I352" s="1504"/>
      <c r="J352" s="1504"/>
      <c r="K352" s="1504"/>
      <c r="L352" s="1504"/>
      <c r="M352" s="1504"/>
      <c r="N352" s="1504"/>
      <c r="O352" s="1504"/>
    </row>
    <row r="353" customFormat="false" ht="12.75" hidden="false" customHeight="true" outlineLevel="0" collapsed="false">
      <c r="A353" s="1523" t="s">
        <v>1948</v>
      </c>
      <c r="B353" s="1643"/>
      <c r="C353" s="1644" t="n">
        <v>10.7</v>
      </c>
      <c r="D353" s="1645" t="n">
        <f aca="false">$B353*C353</f>
        <v>0</v>
      </c>
      <c r="E353" s="1526" t="n">
        <v>0</v>
      </c>
      <c r="F353" s="1504"/>
      <c r="G353" s="1504"/>
      <c r="H353" s="1610"/>
      <c r="I353" s="1610"/>
      <c r="J353" s="1610"/>
      <c r="K353" s="1610"/>
      <c r="L353" s="1610"/>
      <c r="M353" s="1610"/>
      <c r="N353" s="1610"/>
      <c r="O353" s="1610"/>
      <c r="P353" s="1611"/>
      <c r="Q353" s="1611"/>
      <c r="R353" s="1611"/>
      <c r="S353" s="1611"/>
      <c r="T353" s="1611"/>
      <c r="U353" s="1611"/>
    </row>
    <row r="354" customFormat="false" ht="25.5" hidden="false" customHeight="true" outlineLevel="0" collapsed="false">
      <c r="A354" s="1523" t="s">
        <v>1949</v>
      </c>
      <c r="B354" s="1643"/>
      <c r="C354" s="1644" t="n">
        <v>3.2</v>
      </c>
      <c r="D354" s="1645" t="n">
        <f aca="false">$B354*C354</f>
        <v>0</v>
      </c>
      <c r="E354" s="1526" t="n">
        <v>0</v>
      </c>
      <c r="F354" s="1504"/>
      <c r="G354" s="1504"/>
      <c r="H354" s="1504"/>
      <c r="I354" s="1504"/>
      <c r="J354" s="1504"/>
      <c r="K354" s="1504"/>
      <c r="L354" s="1504"/>
      <c r="M354" s="1504"/>
      <c r="N354" s="1504"/>
      <c r="O354" s="1504"/>
    </row>
    <row r="355" customFormat="false" ht="12.75" hidden="false" customHeight="true" outlineLevel="0" collapsed="false">
      <c r="A355" s="1523" t="s">
        <v>1950</v>
      </c>
      <c r="B355" s="1643"/>
      <c r="C355" s="1644" t="n">
        <v>3.2</v>
      </c>
      <c r="D355" s="1645" t="n">
        <f aca="false">$B355*C355</f>
        <v>0</v>
      </c>
      <c r="E355" s="1526" t="n">
        <v>0</v>
      </c>
      <c r="F355" s="1504"/>
      <c r="G355" s="1504"/>
      <c r="H355" s="1502"/>
      <c r="I355" s="1504"/>
      <c r="J355" s="1504"/>
      <c r="K355" s="1504"/>
      <c r="L355" s="1504"/>
      <c r="M355" s="1504"/>
      <c r="N355" s="1504"/>
      <c r="O355" s="1504"/>
    </row>
    <row r="356" customFormat="false" ht="14.65" hidden="false" customHeight="true" outlineLevel="0" collapsed="false">
      <c r="A356" s="1523" t="s">
        <v>1951</v>
      </c>
      <c r="B356" s="1643"/>
      <c r="C356" s="1644" t="n">
        <v>1.8</v>
      </c>
      <c r="D356" s="1645" t="n">
        <f aca="false">$B356*C356</f>
        <v>0</v>
      </c>
      <c r="E356" s="1526" t="n">
        <v>0</v>
      </c>
      <c r="F356" s="1504"/>
      <c r="G356" s="1504"/>
      <c r="H356" s="1502"/>
      <c r="I356" s="1504"/>
      <c r="J356" s="1504"/>
      <c r="K356" s="1504"/>
      <c r="L356" s="1504"/>
      <c r="M356" s="1504"/>
      <c r="N356" s="1504"/>
      <c r="O356" s="1504"/>
    </row>
    <row r="357" customFormat="false" ht="25.35" hidden="false" customHeight="true" outlineLevel="0" collapsed="false">
      <c r="A357" s="1523" t="s">
        <v>1952</v>
      </c>
      <c r="B357" s="1643"/>
      <c r="C357" s="1644" t="n">
        <v>1.6</v>
      </c>
      <c r="D357" s="1645" t="n">
        <f aca="false">$B357*C357</f>
        <v>0</v>
      </c>
      <c r="E357" s="1522" t="n">
        <v>2</v>
      </c>
      <c r="F357" s="1647" t="s">
        <v>1953</v>
      </c>
      <c r="G357" s="1647"/>
      <c r="H357" s="1647"/>
      <c r="I357" s="1647"/>
      <c r="J357" s="1647"/>
      <c r="K357" s="1504"/>
      <c r="L357" s="1504"/>
      <c r="M357" s="1504"/>
      <c r="N357" s="1504"/>
      <c r="O357" s="1504"/>
    </row>
    <row r="358" customFormat="false" ht="38.25" hidden="false" customHeight="true" outlineLevel="0" collapsed="false">
      <c r="A358" s="1523" t="s">
        <v>1954</v>
      </c>
      <c r="B358" s="1643"/>
      <c r="C358" s="1643"/>
      <c r="D358" s="1645" t="n">
        <f aca="false">$B358*C358</f>
        <v>0</v>
      </c>
      <c r="E358" s="1522"/>
      <c r="F358" s="1647" t="s">
        <v>1955</v>
      </c>
      <c r="G358" s="1504"/>
      <c r="H358" s="1504"/>
      <c r="I358" s="1504"/>
      <c r="J358" s="1504"/>
      <c r="K358" s="1504"/>
      <c r="L358" s="1504"/>
      <c r="M358" s="1648" t="s">
        <v>1956</v>
      </c>
      <c r="N358" s="1504"/>
      <c r="O358" s="1504"/>
    </row>
    <row r="359" customFormat="false" ht="38.25" hidden="false" customHeight="true" outlineLevel="0" collapsed="false">
      <c r="A359" s="1523" t="s">
        <v>1957</v>
      </c>
      <c r="B359" s="1643"/>
      <c r="C359" s="1643"/>
      <c r="D359" s="1645" t="n">
        <f aca="false">$B359*C359</f>
        <v>0</v>
      </c>
      <c r="E359" s="1522"/>
      <c r="F359" s="1647" t="s">
        <v>1958</v>
      </c>
      <c r="G359" s="1504"/>
      <c r="H359" s="1504"/>
      <c r="I359" s="1504"/>
      <c r="J359" s="1504"/>
      <c r="K359" s="1504"/>
      <c r="L359" s="1504"/>
      <c r="M359" s="1648" t="s">
        <v>1956</v>
      </c>
      <c r="N359" s="1504"/>
      <c r="O359" s="1504"/>
    </row>
    <row r="360" customFormat="false" ht="15.6" hidden="false" customHeight="true" outlineLevel="0" collapsed="false">
      <c r="A360" s="1523" t="s">
        <v>1959</v>
      </c>
      <c r="B360" s="1643"/>
      <c r="C360" s="1644" t="n">
        <v>0.7</v>
      </c>
      <c r="D360" s="1645" t="n">
        <f aca="false">$B360*C360</f>
        <v>0</v>
      </c>
      <c r="E360" s="1526" t="n">
        <v>0</v>
      </c>
      <c r="F360" s="1504"/>
      <c r="G360" s="1504"/>
      <c r="H360" s="1502"/>
      <c r="I360" s="1504"/>
      <c r="J360" s="1504"/>
      <c r="K360" s="1504"/>
      <c r="L360" s="1504"/>
      <c r="M360" s="1504"/>
      <c r="N360" s="1504"/>
      <c r="O360" s="1504"/>
    </row>
    <row r="361" customFormat="false" ht="12.75" hidden="false" customHeight="true" outlineLevel="0" collapsed="false">
      <c r="A361" s="1523" t="s">
        <v>1877</v>
      </c>
      <c r="B361" s="1643"/>
      <c r="C361" s="1644" t="n">
        <v>71</v>
      </c>
      <c r="D361" s="1645" t="n">
        <f aca="false">$B361*C361</f>
        <v>0</v>
      </c>
      <c r="E361" s="1526" t="n">
        <v>0</v>
      </c>
      <c r="F361" s="1504"/>
      <c r="G361" s="1504"/>
      <c r="H361" s="1502"/>
      <c r="I361" s="1504"/>
      <c r="J361" s="1504"/>
      <c r="K361" s="1504"/>
      <c r="L361" s="1504"/>
      <c r="M361" s="1504"/>
      <c r="N361" s="1504"/>
      <c r="O361" s="1504"/>
    </row>
    <row r="362" customFormat="false" ht="12.75" hidden="false" customHeight="true" outlineLevel="0" collapsed="false">
      <c r="A362" s="1523" t="s">
        <v>1960</v>
      </c>
      <c r="B362" s="1643"/>
      <c r="C362" s="1644" t="n">
        <v>23</v>
      </c>
      <c r="D362" s="1645" t="n">
        <f aca="false">$B362*C362</f>
        <v>0</v>
      </c>
      <c r="E362" s="1526" t="n">
        <v>0</v>
      </c>
      <c r="F362" s="1504"/>
      <c r="G362" s="1504"/>
      <c r="H362" s="1502"/>
      <c r="I362" s="1504"/>
      <c r="J362" s="1504"/>
      <c r="K362" s="1504"/>
      <c r="L362" s="1504"/>
      <c r="M362" s="1504"/>
      <c r="N362" s="1504"/>
      <c r="O362" s="1504"/>
    </row>
    <row r="363" customFormat="false" ht="12.75" hidden="false" customHeight="true" outlineLevel="0" collapsed="false">
      <c r="A363" s="1523" t="s">
        <v>364</v>
      </c>
      <c r="B363" s="1643"/>
      <c r="C363" s="1643"/>
      <c r="D363" s="1645" t="n">
        <f aca="false">$B363*C363</f>
        <v>0</v>
      </c>
      <c r="E363" s="1526"/>
      <c r="F363" s="1504"/>
      <c r="G363" s="1504"/>
      <c r="H363" s="1502"/>
      <c r="I363" s="1504"/>
      <c r="J363" s="1504"/>
      <c r="K363" s="1504"/>
      <c r="L363" s="1504"/>
      <c r="M363" s="1504"/>
      <c r="N363" s="1504"/>
      <c r="O363" s="1504"/>
    </row>
    <row r="364" customFormat="false" ht="14.65" hidden="false" customHeight="true" outlineLevel="0" collapsed="false">
      <c r="A364" s="1523" t="s">
        <v>365</v>
      </c>
      <c r="B364" s="1643"/>
      <c r="C364" s="1643"/>
      <c r="D364" s="1645" t="n">
        <f aca="false">$B364*C364</f>
        <v>0</v>
      </c>
      <c r="E364" s="1526"/>
      <c r="F364" s="1504"/>
      <c r="G364" s="1504"/>
      <c r="H364" s="1502"/>
      <c r="I364" s="1504"/>
      <c r="J364" s="1504"/>
      <c r="K364" s="1504"/>
      <c r="L364" s="1504"/>
      <c r="M364" s="1504"/>
      <c r="N364" s="1504"/>
      <c r="O364" s="1504"/>
    </row>
    <row r="365" customFormat="false" ht="12.75" hidden="false" customHeight="true" outlineLevel="0" collapsed="false">
      <c r="A365" s="1523" t="s">
        <v>366</v>
      </c>
      <c r="B365" s="1643"/>
      <c r="C365" s="1643"/>
      <c r="D365" s="1645" t="n">
        <f aca="false">$B365*C365</f>
        <v>0</v>
      </c>
      <c r="E365" s="1526"/>
      <c r="F365" s="1504"/>
      <c r="G365" s="1504"/>
      <c r="H365" s="1502"/>
      <c r="I365" s="1504"/>
      <c r="J365" s="1504"/>
      <c r="K365" s="1504"/>
      <c r="L365" s="1504"/>
      <c r="M365" s="1504"/>
      <c r="N365" s="1504"/>
      <c r="O365" s="1504"/>
    </row>
    <row r="366" customFormat="false" ht="14.65" hidden="false" customHeight="true" outlineLevel="0" collapsed="false">
      <c r="A366" s="1523" t="s">
        <v>1961</v>
      </c>
      <c r="B366" s="1643"/>
      <c r="C366" s="1643"/>
      <c r="D366" s="1645" t="n">
        <f aca="false">$B366*C366</f>
        <v>0</v>
      </c>
      <c r="E366" s="1526"/>
      <c r="F366" s="1504" t="s">
        <v>1962</v>
      </c>
      <c r="G366" s="1504"/>
      <c r="H366" s="1648" t="s">
        <v>1956</v>
      </c>
      <c r="I366" s="1504" t="s">
        <v>1963</v>
      </c>
      <c r="J366" s="1504"/>
      <c r="K366" s="1504"/>
      <c r="L366" s="1504"/>
      <c r="M366" s="1504"/>
      <c r="N366" s="1504"/>
      <c r="O366" s="1504"/>
    </row>
    <row r="367" customFormat="false" ht="25.5" hidden="false" customHeight="true" outlineLevel="0" collapsed="false">
      <c r="A367" s="1523" t="s">
        <v>1964</v>
      </c>
      <c r="B367" s="1643"/>
      <c r="C367" s="1643"/>
      <c r="D367" s="1645" t="n">
        <f aca="false">$B367*C367</f>
        <v>0</v>
      </c>
      <c r="E367" s="1526"/>
      <c r="F367" s="1504" t="s">
        <v>1962</v>
      </c>
      <c r="G367" s="1504"/>
      <c r="H367" s="1648" t="s">
        <v>1956</v>
      </c>
      <c r="I367" s="1504" t="s">
        <v>1963</v>
      </c>
      <c r="J367" s="1504"/>
      <c r="K367" s="1504"/>
      <c r="L367" s="1504"/>
      <c r="M367" s="1504"/>
      <c r="N367" s="1504"/>
      <c r="O367" s="1504"/>
    </row>
    <row r="368" s="1611" customFormat="true" ht="12.75" hidden="false" customHeight="true" outlineLevel="0" collapsed="false">
      <c r="A368" s="1528" t="s">
        <v>1136</v>
      </c>
      <c r="B368" s="1643"/>
      <c r="C368" s="1643"/>
      <c r="D368" s="1649" t="n">
        <f aca="false">$B368*C368</f>
        <v>0</v>
      </c>
      <c r="E368" s="1526" t="s">
        <v>697</v>
      </c>
      <c r="F368" s="1610"/>
      <c r="G368" s="1610"/>
      <c r="H368" s="1502"/>
      <c r="I368" s="1504"/>
      <c r="J368" s="1504"/>
      <c r="K368" s="1504"/>
      <c r="L368" s="1504"/>
      <c r="M368" s="1504"/>
      <c r="N368" s="1504"/>
      <c r="O368" s="1504"/>
      <c r="P368" s="0"/>
      <c r="Q368" s="0"/>
      <c r="R368" s="0"/>
      <c r="S368" s="0"/>
      <c r="T368" s="0"/>
      <c r="U368" s="0"/>
    </row>
    <row r="369" customFormat="false" ht="12.75" hidden="false" customHeight="true" outlineLevel="0" collapsed="false">
      <c r="A369" s="1528" t="s">
        <v>1136</v>
      </c>
      <c r="B369" s="1643"/>
      <c r="C369" s="1643"/>
      <c r="D369" s="1649" t="n">
        <f aca="false">$B369*C369</f>
        <v>0</v>
      </c>
      <c r="E369" s="1526" t="s">
        <v>697</v>
      </c>
      <c r="F369" s="1504"/>
      <c r="G369" s="1504"/>
      <c r="H369" s="1504"/>
      <c r="I369" s="1504"/>
      <c r="J369" s="1504"/>
      <c r="K369" s="1504"/>
      <c r="L369" s="1504"/>
      <c r="M369" s="1504"/>
      <c r="N369" s="1504"/>
      <c r="O369" s="1504"/>
    </row>
    <row r="370" customFormat="false" ht="12.75" hidden="false" customHeight="true" outlineLevel="0" collapsed="false">
      <c r="A370" s="1639"/>
      <c r="B370" s="1627"/>
      <c r="C370" s="1502"/>
      <c r="D370" s="1504"/>
      <c r="E370" s="1504"/>
      <c r="F370" s="1504"/>
      <c r="G370" s="1502"/>
      <c r="H370" s="1502"/>
      <c r="I370" s="1502"/>
      <c r="J370" s="1504"/>
      <c r="K370" s="1504"/>
      <c r="L370" s="1504"/>
      <c r="M370" s="1504"/>
      <c r="N370" s="1504"/>
      <c r="O370" s="1504"/>
    </row>
    <row r="371" customFormat="false" ht="12.75" hidden="false" customHeight="true" outlineLevel="0" collapsed="false">
      <c r="A371" s="1502"/>
      <c r="B371" s="1532" t="s">
        <v>1244</v>
      </c>
      <c r="C371" s="1533" t="s">
        <v>551</v>
      </c>
      <c r="D371" s="738" t="n">
        <f aca="false">SUM(D324:D369)</f>
        <v>0</v>
      </c>
      <c r="E371" s="1502"/>
      <c r="F371" s="1502"/>
      <c r="G371" s="1502"/>
      <c r="H371" s="1502"/>
      <c r="I371" s="1502"/>
      <c r="J371" s="1502"/>
      <c r="K371" s="1502"/>
      <c r="L371" s="1504"/>
      <c r="M371" s="1504"/>
      <c r="N371" s="1504"/>
      <c r="O371" s="1504"/>
    </row>
    <row r="372" customFormat="false" ht="12.75" hidden="false" customHeight="true" outlineLevel="0" collapsed="false">
      <c r="A372" s="1502"/>
      <c r="B372" s="1650"/>
      <c r="C372" s="1650"/>
      <c r="D372" s="1651"/>
      <c r="E372" s="1502"/>
      <c r="F372" s="1502"/>
      <c r="G372" s="1502"/>
      <c r="H372" s="1502"/>
      <c r="I372" s="1502"/>
      <c r="J372" s="1502"/>
      <c r="K372" s="1502"/>
      <c r="L372" s="1504"/>
      <c r="M372" s="1504"/>
      <c r="N372" s="1504"/>
      <c r="O372" s="1504"/>
    </row>
    <row r="373" customFormat="false" ht="12.75" hidden="false" customHeight="true" outlineLevel="0" collapsed="false">
      <c r="A373" s="1502"/>
      <c r="B373" s="1502"/>
      <c r="C373" s="1502"/>
      <c r="D373" s="1502"/>
      <c r="E373" s="1502"/>
      <c r="F373" s="1502"/>
      <c r="G373" s="1502"/>
      <c r="H373" s="1502"/>
      <c r="I373" s="1502"/>
      <c r="J373" s="1502"/>
      <c r="K373" s="1502"/>
      <c r="L373" s="1504"/>
      <c r="M373" s="1504"/>
      <c r="N373" s="1504"/>
      <c r="O373" s="1504"/>
    </row>
    <row r="374" s="1653" customFormat="true" ht="20.25" hidden="false" customHeight="true" outlineLevel="0" collapsed="false">
      <c r="A374" s="1511" t="s">
        <v>1965</v>
      </c>
      <c r="B374" s="1511"/>
      <c r="C374" s="1511"/>
      <c r="D374" s="1511"/>
      <c r="E374" s="1511"/>
      <c r="F374" s="1511"/>
      <c r="G374" s="1511"/>
      <c r="H374" s="1511"/>
      <c r="I374" s="1511"/>
      <c r="J374" s="1652"/>
      <c r="K374" s="1652"/>
    </row>
    <row r="375" customFormat="false" ht="12.75" hidden="false" customHeight="true" outlineLevel="0" collapsed="false">
      <c r="A375" s="1513"/>
      <c r="B375" s="1502"/>
      <c r="C375" s="1502"/>
      <c r="D375" s="1502"/>
      <c r="E375" s="1502"/>
      <c r="F375" s="1502"/>
      <c r="G375" s="1502"/>
      <c r="H375" s="1502"/>
      <c r="I375" s="1502"/>
      <c r="J375" s="1502"/>
      <c r="K375" s="1502"/>
      <c r="L375" s="1504"/>
      <c r="M375" s="1504"/>
      <c r="N375" s="1504"/>
      <c r="O375" s="1504"/>
    </row>
    <row r="376" customFormat="false" ht="12.75" hidden="false" customHeight="true" outlineLevel="0" collapsed="false">
      <c r="A376" s="1502"/>
      <c r="B376" s="1502"/>
      <c r="C376" s="1502"/>
      <c r="D376" s="1502"/>
      <c r="E376" s="1502"/>
      <c r="F376" s="1502"/>
      <c r="G376" s="1502"/>
      <c r="H376" s="1502"/>
      <c r="I376" s="1502"/>
      <c r="J376" s="1502"/>
      <c r="K376" s="1502"/>
      <c r="L376" s="1504"/>
      <c r="M376" s="1504"/>
      <c r="N376" s="1504"/>
      <c r="O376" s="1504"/>
    </row>
    <row r="377" customFormat="false" ht="25.5" hidden="false" customHeight="true" outlineLevel="0" collapsed="false">
      <c r="A377" s="1559" t="s">
        <v>1966</v>
      </c>
      <c r="B377" s="924" t="s">
        <v>1967</v>
      </c>
      <c r="C377" s="1532" t="s">
        <v>1968</v>
      </c>
      <c r="D377" s="1532" t="s">
        <v>406</v>
      </c>
      <c r="E377" s="1532" t="s">
        <v>406</v>
      </c>
      <c r="F377" s="1517" t="s">
        <v>1827</v>
      </c>
      <c r="G377" s="1502"/>
      <c r="H377" s="1504"/>
      <c r="I377" s="1504"/>
      <c r="J377" s="1504"/>
      <c r="K377" s="1504"/>
      <c r="L377" s="1504"/>
      <c r="M377" s="1504"/>
      <c r="N377" s="1504"/>
      <c r="O377" s="1504"/>
    </row>
    <row r="378" customFormat="false" ht="12.75" hidden="false" customHeight="true" outlineLevel="0" collapsed="false">
      <c r="A378" s="1559"/>
      <c r="B378" s="1654" t="s">
        <v>1969</v>
      </c>
      <c r="C378" s="1654" t="s">
        <v>1970</v>
      </c>
      <c r="D378" s="1533" t="s">
        <v>1971</v>
      </c>
      <c r="E378" s="1533" t="s">
        <v>1862</v>
      </c>
      <c r="F378" s="1522"/>
      <c r="G378" s="1502"/>
      <c r="H378" s="1504"/>
      <c r="I378" s="1504"/>
      <c r="J378" s="1504"/>
      <c r="K378" s="1504"/>
      <c r="L378" s="1504"/>
      <c r="M378" s="1504"/>
      <c r="N378" s="1504"/>
      <c r="O378" s="1504"/>
    </row>
    <row r="379" customFormat="false" ht="12.75" hidden="false" customHeight="true" outlineLevel="0" collapsed="false">
      <c r="A379" s="1624" t="s">
        <v>1972</v>
      </c>
      <c r="B379" s="1632" t="n">
        <f aca="false">'Saisie et Calculateur'!C105</f>
        <v>0</v>
      </c>
      <c r="C379" s="1632" t="n">
        <f aca="false">'Saisie et Calculateur'!F105</f>
        <v>0</v>
      </c>
      <c r="D379" s="1655" t="n">
        <f aca="false">C379/6.06</f>
        <v>0</v>
      </c>
      <c r="E379" s="1548" t="n">
        <f aca="false">D379*$B379/1000</f>
        <v>0</v>
      </c>
      <c r="F379" s="1526" t="n">
        <v>0</v>
      </c>
      <c r="G379" s="1502"/>
      <c r="H379" s="1504"/>
      <c r="I379" s="1504"/>
      <c r="J379" s="1504"/>
      <c r="K379" s="1504"/>
      <c r="L379" s="1504"/>
      <c r="M379" s="1504"/>
      <c r="N379" s="1504"/>
      <c r="O379" s="1504"/>
    </row>
    <row r="380" customFormat="false" ht="12.75" hidden="false" customHeight="true" outlineLevel="0" collapsed="false">
      <c r="A380" s="1624" t="s">
        <v>1973</v>
      </c>
      <c r="B380" s="1632" t="n">
        <f aca="false">'Saisie et Calculateur'!C107</f>
        <v>0</v>
      </c>
      <c r="C380" s="1632" t="n">
        <f aca="false">'Saisie et Calculateur'!F107</f>
        <v>0</v>
      </c>
      <c r="D380" s="1655" t="n">
        <f aca="false">C380/6.06</f>
        <v>0</v>
      </c>
      <c r="E380" s="1548" t="n">
        <f aca="false">D380*$B380/1000</f>
        <v>0</v>
      </c>
      <c r="F380" s="1526" t="n">
        <v>0</v>
      </c>
      <c r="G380" s="1502"/>
      <c r="H380" s="1504"/>
      <c r="I380" s="1504"/>
      <c r="J380" s="1504"/>
      <c r="K380" s="1504"/>
      <c r="L380" s="1504"/>
      <c r="M380" s="1504"/>
      <c r="N380" s="1504"/>
      <c r="O380" s="1504"/>
    </row>
    <row r="381" customFormat="false" ht="12.75" hidden="false" customHeight="true" outlineLevel="0" collapsed="false">
      <c r="A381" s="1624" t="s">
        <v>1974</v>
      </c>
      <c r="B381" s="1632" t="n">
        <f aca="false">'Saisie et Calculateur'!C106</f>
        <v>0</v>
      </c>
      <c r="C381" s="1632" t="n">
        <f aca="false">'Saisie et Calculateur'!F106</f>
        <v>0</v>
      </c>
      <c r="D381" s="1655" t="n">
        <f aca="false">C381/5.74</f>
        <v>0</v>
      </c>
      <c r="E381" s="1548" t="n">
        <f aca="false">D381*$B381/1000</f>
        <v>0</v>
      </c>
      <c r="F381" s="1526" t="n">
        <v>0</v>
      </c>
      <c r="G381" s="1502"/>
      <c r="K381" s="1504"/>
      <c r="L381" s="1504"/>
      <c r="M381" s="1504"/>
      <c r="N381" s="1504"/>
      <c r="O381" s="1504"/>
    </row>
    <row r="382" s="1611" customFormat="true" ht="12.75" hidden="false" customHeight="true" outlineLevel="0" collapsed="false">
      <c r="A382" s="1656"/>
      <c r="B382" s="1657"/>
      <c r="C382" s="1657"/>
      <c r="D382" s="1658"/>
      <c r="E382" s="1659"/>
      <c r="F382" s="1554"/>
      <c r="G382" s="1646"/>
      <c r="H382" s="1504"/>
      <c r="I382" s="1504"/>
      <c r="J382" s="1504"/>
      <c r="K382" s="1504"/>
      <c r="L382" s="1610"/>
      <c r="M382" s="1610"/>
      <c r="N382" s="1610"/>
      <c r="O382" s="1610"/>
    </row>
    <row r="383" customFormat="false" ht="12.75" hidden="false" customHeight="true" outlineLevel="0" collapsed="false">
      <c r="A383" s="1656" t="s">
        <v>1136</v>
      </c>
      <c r="B383" s="1632" t="n">
        <f aca="false">'Saisie et Calculateur'!C108</f>
        <v>0</v>
      </c>
      <c r="C383" s="1632" t="n">
        <f aca="false">'Saisie et Calculateur'!F108</f>
        <v>0</v>
      </c>
      <c r="D383" s="1660" t="n">
        <f aca="false">C383/5.74</f>
        <v>0</v>
      </c>
      <c r="E383" s="1565" t="n">
        <f aca="false">D383*$B383/1000</f>
        <v>0</v>
      </c>
      <c r="F383" s="1526" t="s">
        <v>697</v>
      </c>
      <c r="G383" s="1502"/>
      <c r="H383" s="1504"/>
      <c r="I383" s="1504"/>
      <c r="J383" s="1504"/>
      <c r="K383" s="1504"/>
      <c r="L383" s="1504"/>
      <c r="M383" s="1504"/>
      <c r="N383" s="1504"/>
      <c r="O383" s="1504"/>
    </row>
    <row r="384" customFormat="false" ht="12.75" hidden="false" customHeight="true" outlineLevel="0" collapsed="false">
      <c r="A384" s="1502"/>
      <c r="B384" s="1502"/>
      <c r="C384" s="1532" t="s">
        <v>1244</v>
      </c>
      <c r="D384" s="1556" t="s">
        <v>551</v>
      </c>
      <c r="E384" s="738" t="n">
        <f aca="false">SUM(E379:E383)</f>
        <v>0</v>
      </c>
      <c r="F384" s="1504"/>
      <c r="G384" s="1504"/>
      <c r="H384" s="1502"/>
      <c r="I384" s="1502"/>
      <c r="J384" s="1504"/>
      <c r="K384" s="1504"/>
      <c r="L384" s="1504"/>
      <c r="M384" s="1504"/>
      <c r="N384" s="1504"/>
      <c r="O384" s="1504"/>
    </row>
    <row r="385" customFormat="false" ht="12.75" hidden="false" customHeight="true" outlineLevel="0" collapsed="false">
      <c r="A385" s="1661"/>
      <c r="B385" s="1661"/>
      <c r="C385" s="1502"/>
      <c r="D385" s="1662"/>
      <c r="E385" s="1662"/>
      <c r="F385" s="1502"/>
      <c r="G385" s="1502"/>
      <c r="H385" s="1502"/>
      <c r="I385" s="1502"/>
      <c r="J385" s="1502"/>
      <c r="K385" s="1502"/>
      <c r="L385" s="1504"/>
      <c r="M385" s="1504"/>
      <c r="N385" s="1504"/>
      <c r="O385" s="1504"/>
    </row>
    <row r="386" customFormat="false" ht="25.5" hidden="false" customHeight="true" outlineLevel="0" collapsed="false">
      <c r="A386" s="1559" t="s">
        <v>1975</v>
      </c>
      <c r="B386" s="924" t="s">
        <v>1976</v>
      </c>
      <c r="C386" s="1516" t="s">
        <v>1977</v>
      </c>
      <c r="D386" s="1532" t="s">
        <v>406</v>
      </c>
      <c r="E386" s="1532" t="s">
        <v>406</v>
      </c>
      <c r="F386" s="1517" t="s">
        <v>1827</v>
      </c>
      <c r="G386" s="1502"/>
      <c r="H386" s="1504"/>
      <c r="I386" s="1504"/>
      <c r="J386" s="1504"/>
      <c r="K386" s="1504"/>
      <c r="L386" s="1504"/>
      <c r="M386" s="1504"/>
      <c r="N386" s="1504"/>
      <c r="O386" s="1504"/>
    </row>
    <row r="387" customFormat="false" ht="25.5" hidden="false" customHeight="true" outlineLevel="0" collapsed="false">
      <c r="A387" s="1559"/>
      <c r="B387" s="1533" t="s">
        <v>1978</v>
      </c>
      <c r="C387" s="1604" t="s">
        <v>551</v>
      </c>
      <c r="D387" s="1604" t="s">
        <v>1979</v>
      </c>
      <c r="E387" s="1533" t="s">
        <v>1862</v>
      </c>
      <c r="F387" s="1522"/>
      <c r="G387" s="1502"/>
      <c r="H387" s="1504"/>
      <c r="I387" s="1504"/>
      <c r="J387" s="1504"/>
      <c r="K387" s="1504"/>
      <c r="L387" s="1504"/>
      <c r="M387" s="1504"/>
      <c r="N387" s="1504"/>
      <c r="O387" s="1504"/>
    </row>
    <row r="388" customFormat="false" ht="12.75" hidden="false" customHeight="true" outlineLevel="0" collapsed="false">
      <c r="A388" s="1554" t="s">
        <v>1980</v>
      </c>
      <c r="B388" s="1663"/>
      <c r="C388" s="1664" t="n">
        <v>0.0750000029802322</v>
      </c>
      <c r="D388" s="1665" t="n">
        <v>21.2999992370605</v>
      </c>
      <c r="E388" s="1645" t="n">
        <f aca="false">($B388*$C388)/1000*D388</f>
        <v>0</v>
      </c>
      <c r="F388" s="1526" t="n">
        <v>0</v>
      </c>
      <c r="G388" s="1504"/>
      <c r="H388" s="1558"/>
      <c r="I388" s="1504"/>
      <c r="J388" s="1504"/>
      <c r="K388" s="1504"/>
      <c r="L388" s="1504"/>
      <c r="M388" s="1504"/>
      <c r="N388" s="1504"/>
      <c r="O388" s="1504"/>
    </row>
    <row r="389" customFormat="false" ht="12.75" hidden="false" customHeight="true" outlineLevel="0" collapsed="false">
      <c r="A389" s="1554" t="s">
        <v>1981</v>
      </c>
      <c r="B389" s="1663"/>
      <c r="C389" s="1664" t="n">
        <v>0.0750000029802322</v>
      </c>
      <c r="D389" s="1665" t="n">
        <v>21</v>
      </c>
      <c r="E389" s="1645" t="n">
        <f aca="false">($B389*$C389)/1000*D389</f>
        <v>0</v>
      </c>
      <c r="F389" s="1526" t="n">
        <v>0</v>
      </c>
      <c r="G389" s="1504"/>
      <c r="H389" s="1504"/>
      <c r="I389" s="1504"/>
      <c r="J389" s="1504"/>
      <c r="K389" s="1504"/>
      <c r="L389" s="1504"/>
      <c r="M389" s="1504"/>
      <c r="N389" s="1504"/>
      <c r="O389" s="1504"/>
    </row>
    <row r="390" customFormat="false" ht="12.75" hidden="false" customHeight="true" outlineLevel="0" collapsed="false">
      <c r="A390" s="1554" t="s">
        <v>1982</v>
      </c>
      <c r="B390" s="1663"/>
      <c r="C390" s="1664" t="n">
        <v>0.0599999986588955</v>
      </c>
      <c r="D390" s="1665" t="n">
        <v>19.2000007629395</v>
      </c>
      <c r="E390" s="1645" t="n">
        <f aca="false">($B390*$C390)/1000*D390</f>
        <v>0</v>
      </c>
      <c r="F390" s="1526" t="n">
        <v>0</v>
      </c>
      <c r="G390" s="1504"/>
      <c r="H390" s="1504"/>
      <c r="I390" s="1504"/>
      <c r="J390" s="1504"/>
      <c r="K390" s="1504"/>
      <c r="L390" s="1504"/>
      <c r="M390" s="1504"/>
      <c r="N390" s="1504"/>
      <c r="O390" s="1504"/>
    </row>
    <row r="391" customFormat="false" ht="12.75" hidden="false" customHeight="true" outlineLevel="0" collapsed="false">
      <c r="A391" s="1554" t="s">
        <v>1983</v>
      </c>
      <c r="B391" s="1663"/>
      <c r="C391" s="1664" t="n">
        <v>0.100000001490116</v>
      </c>
      <c r="D391" s="1665" t="n">
        <v>22.2000007629395</v>
      </c>
      <c r="E391" s="1645" t="n">
        <f aca="false">($B391*$C391)/1000*D391</f>
        <v>0</v>
      </c>
      <c r="F391" s="1526" t="n">
        <v>0</v>
      </c>
      <c r="G391" s="1504"/>
      <c r="H391" s="1504"/>
      <c r="I391" s="1504"/>
      <c r="J391" s="1504"/>
      <c r="K391" s="1504"/>
      <c r="L391" s="1504"/>
      <c r="M391" s="1504"/>
      <c r="N391" s="1504"/>
      <c r="O391" s="1504"/>
    </row>
    <row r="392" s="1611" customFormat="true" ht="12.75" hidden="false" customHeight="true" outlineLevel="0" collapsed="false">
      <c r="A392" s="1666" t="s">
        <v>1136</v>
      </c>
      <c r="B392" s="1663"/>
      <c r="C392" s="1663"/>
      <c r="D392" s="1663"/>
      <c r="E392" s="1645" t="n">
        <f aca="false">($B392*$C392)/1000*D392</f>
        <v>0</v>
      </c>
      <c r="F392" s="1526" t="s">
        <v>697</v>
      </c>
      <c r="G392" s="1610"/>
      <c r="H392" s="1504"/>
      <c r="I392" s="1504"/>
      <c r="J392" s="1504"/>
      <c r="K392" s="1504"/>
      <c r="L392" s="1610"/>
      <c r="M392" s="1610"/>
      <c r="N392" s="1610"/>
      <c r="O392" s="1610"/>
    </row>
    <row r="393" customFormat="false" ht="13.5" hidden="false" customHeight="true" outlineLevel="0" collapsed="false">
      <c r="A393" s="1666" t="s">
        <v>1136</v>
      </c>
      <c r="B393" s="1667"/>
      <c r="C393" s="1663"/>
      <c r="D393" s="1663"/>
      <c r="E393" s="1649" t="n">
        <f aca="false">($B393*$C393)/1000*D393</f>
        <v>0</v>
      </c>
      <c r="F393" s="1526" t="s">
        <v>697</v>
      </c>
      <c r="G393" s="1504"/>
      <c r="H393" s="1504"/>
      <c r="I393" s="1504"/>
      <c r="J393" s="1504"/>
      <c r="K393" s="1504"/>
      <c r="L393" s="1504"/>
      <c r="M393" s="1504"/>
      <c r="N393" s="1504"/>
      <c r="O393" s="1504"/>
    </row>
    <row r="394" customFormat="false" ht="13.5" hidden="false" customHeight="true" outlineLevel="0" collapsed="false">
      <c r="A394" s="1661"/>
      <c r="B394" s="1668" t="n">
        <f aca="false">'Saisie et Calculateur'!H133</f>
        <v>0</v>
      </c>
      <c r="C394" s="1669" t="s">
        <v>1244</v>
      </c>
      <c r="D394" s="1533" t="s">
        <v>551</v>
      </c>
      <c r="E394" s="738" t="n">
        <f aca="false">SUM(E388:E393)</f>
        <v>0</v>
      </c>
      <c r="F394" s="1504"/>
      <c r="G394" s="1504"/>
      <c r="H394" s="1502"/>
      <c r="I394" s="1502"/>
      <c r="J394" s="1504"/>
      <c r="K394" s="1504"/>
      <c r="L394" s="1504"/>
      <c r="M394" s="1504"/>
      <c r="N394" s="1504"/>
      <c r="O394" s="1504"/>
    </row>
    <row r="395" customFormat="false" ht="12.75" hidden="false" customHeight="true" outlineLevel="0" collapsed="false">
      <c r="A395" s="1661"/>
      <c r="B395" s="1661"/>
      <c r="C395" s="1502"/>
      <c r="D395" s="1670"/>
      <c r="E395" s="1662"/>
      <c r="F395" s="1502"/>
      <c r="G395" s="1502"/>
      <c r="H395" s="1502"/>
      <c r="I395" s="1502"/>
      <c r="J395" s="1502"/>
      <c r="K395" s="1502"/>
      <c r="L395" s="1504"/>
      <c r="M395" s="1504"/>
      <c r="N395" s="1504"/>
      <c r="O395" s="1504"/>
    </row>
    <row r="396" customFormat="false" ht="12.75" hidden="false" customHeight="true" outlineLevel="0" collapsed="false">
      <c r="A396" s="1661"/>
      <c r="B396" s="1577" t="s">
        <v>1984</v>
      </c>
      <c r="C396" s="1577"/>
      <c r="D396" s="1578" t="s">
        <v>551</v>
      </c>
      <c r="E396" s="738" t="n">
        <f aca="false">E384+E394</f>
        <v>0</v>
      </c>
      <c r="F396" s="1504"/>
      <c r="G396" s="1504"/>
      <c r="H396" s="1502"/>
      <c r="I396" s="1502"/>
      <c r="J396" s="1504"/>
      <c r="K396" s="1504"/>
      <c r="L396" s="1504"/>
      <c r="M396" s="1504"/>
      <c r="N396" s="1504"/>
      <c r="O396" s="1504"/>
    </row>
    <row r="397" customFormat="false" ht="12.75" hidden="false" customHeight="true" outlineLevel="0" collapsed="false">
      <c r="A397" s="1661"/>
      <c r="B397" s="1661"/>
      <c r="C397" s="1502"/>
      <c r="D397" s="1662"/>
      <c r="E397" s="1662"/>
      <c r="F397" s="1502"/>
      <c r="G397" s="1502"/>
      <c r="H397" s="1502"/>
      <c r="I397" s="1502"/>
      <c r="J397" s="1502"/>
      <c r="K397" s="1502"/>
      <c r="L397" s="1504"/>
      <c r="M397" s="1504"/>
      <c r="N397" s="1504"/>
      <c r="O397" s="1504"/>
    </row>
    <row r="398" customFormat="false" ht="12.75" hidden="false" customHeight="true" outlineLevel="0" collapsed="false">
      <c r="A398" s="1502"/>
      <c r="B398" s="1502"/>
      <c r="C398" s="1502"/>
      <c r="D398" s="1502"/>
      <c r="E398" s="1502"/>
      <c r="F398" s="1502"/>
      <c r="G398" s="1502"/>
      <c r="H398" s="1502"/>
      <c r="I398" s="1502"/>
      <c r="J398" s="1502"/>
      <c r="K398" s="1502"/>
      <c r="L398" s="1504"/>
      <c r="M398" s="1504"/>
      <c r="N398" s="1504"/>
      <c r="O398" s="1504"/>
    </row>
    <row r="399" customFormat="false" ht="20.25" hidden="false" customHeight="true" outlineLevel="0" collapsed="false">
      <c r="A399" s="1511" t="s">
        <v>1985</v>
      </c>
      <c r="B399" s="1511"/>
      <c r="C399" s="1511"/>
      <c r="D399" s="1511"/>
      <c r="E399" s="1511"/>
      <c r="F399" s="1511"/>
      <c r="G399" s="1511"/>
      <c r="H399" s="1511"/>
      <c r="I399" s="1511"/>
      <c r="J399" s="1502" t="s">
        <v>1986</v>
      </c>
      <c r="K399" s="1502"/>
      <c r="L399" s="1504"/>
      <c r="M399" s="1504"/>
      <c r="N399" s="1504"/>
      <c r="O399" s="1504"/>
    </row>
    <row r="400" customFormat="false" ht="13.5" hidden="false" customHeight="true" outlineLevel="0" collapsed="false">
      <c r="A400" s="1502"/>
      <c r="B400" s="1502"/>
      <c r="C400" s="1502"/>
      <c r="D400" s="1502"/>
      <c r="E400" s="1502"/>
      <c r="F400" s="1502"/>
      <c r="G400" s="1502"/>
      <c r="H400" s="1502"/>
      <c r="I400" s="1502"/>
      <c r="J400" s="1502"/>
      <c r="K400" s="1502"/>
      <c r="L400" s="1504"/>
      <c r="M400" s="1504"/>
      <c r="N400" s="1504"/>
      <c r="O400" s="1504"/>
    </row>
    <row r="401" customFormat="false" ht="45" hidden="false" customHeight="true" outlineLevel="0" collapsed="false">
      <c r="A401" s="1671" t="s">
        <v>1987</v>
      </c>
      <c r="B401" s="1600" t="s">
        <v>1988</v>
      </c>
      <c r="C401" s="1600" t="s">
        <v>1895</v>
      </c>
      <c r="D401" s="1672" t="s">
        <v>1989</v>
      </c>
      <c r="E401" s="1601" t="s">
        <v>406</v>
      </c>
      <c r="F401" s="1602" t="s">
        <v>406</v>
      </c>
      <c r="G401" s="1504"/>
      <c r="H401" s="1504"/>
      <c r="I401" s="1504"/>
      <c r="J401" s="1504"/>
      <c r="K401" s="1504"/>
      <c r="L401" s="1504"/>
      <c r="M401" s="1504"/>
      <c r="N401" s="1504"/>
      <c r="O401" s="1504"/>
    </row>
    <row r="402" customFormat="false" ht="25.5" hidden="false" customHeight="true" outlineLevel="0" collapsed="false">
      <c r="A402" s="1603"/>
      <c r="B402" s="1604"/>
      <c r="C402" s="1605" t="s">
        <v>1896</v>
      </c>
      <c r="D402" s="1604" t="s">
        <v>1053</v>
      </c>
      <c r="E402" s="1604" t="s">
        <v>1897</v>
      </c>
      <c r="F402" s="1606" t="s">
        <v>1862</v>
      </c>
      <c r="G402" s="1504"/>
      <c r="H402" s="1504"/>
      <c r="I402" s="1504"/>
      <c r="J402" s="1504"/>
      <c r="K402" s="1504"/>
      <c r="L402" s="1504"/>
      <c r="M402" s="1504"/>
      <c r="N402" s="1504"/>
      <c r="O402" s="1504"/>
    </row>
    <row r="403" customFormat="false" ht="12.75" hidden="false" customHeight="true" outlineLevel="0" collapsed="false">
      <c r="A403" s="1673" t="s">
        <v>1055</v>
      </c>
      <c r="B403" s="1547" t="n">
        <f aca="false">'Saisie et Calculateur'!H113</f>
        <v>0</v>
      </c>
      <c r="C403" s="1547" t="n">
        <f aca="false">'Saisie et Calculateur'!I113</f>
        <v>0</v>
      </c>
      <c r="D403" s="619" t="n">
        <f aca="false">C403*B403/1000</f>
        <v>0</v>
      </c>
      <c r="E403" s="1584" t="n">
        <v>24</v>
      </c>
      <c r="F403" s="1608" t="n">
        <f aca="false">D403*E403</f>
        <v>0</v>
      </c>
      <c r="G403" s="1504"/>
      <c r="H403" s="1504"/>
      <c r="I403" s="1504"/>
      <c r="J403" s="1504"/>
      <c r="K403" s="1504"/>
      <c r="L403" s="1504"/>
      <c r="M403" s="1504"/>
      <c r="N403" s="1504"/>
      <c r="O403" s="1504"/>
    </row>
    <row r="404" customFormat="false" ht="12.75" hidden="false" customHeight="true" outlineLevel="0" collapsed="false">
      <c r="A404" s="1673" t="s">
        <v>1056</v>
      </c>
      <c r="B404" s="1547" t="n">
        <f aca="false">'Saisie et Calculateur'!H114</f>
        <v>0</v>
      </c>
      <c r="C404" s="1547" t="n">
        <f aca="false">'Saisie et Calculateur'!I114</f>
        <v>0</v>
      </c>
      <c r="D404" s="619" t="n">
        <f aca="false">C404*B404/1000</f>
        <v>0</v>
      </c>
      <c r="E404" s="1584" t="n">
        <v>24</v>
      </c>
      <c r="F404" s="1608" t="n">
        <f aca="false">D404*E404</f>
        <v>0</v>
      </c>
      <c r="G404" s="1504"/>
      <c r="H404" s="1504"/>
      <c r="I404" s="1558"/>
      <c r="J404" s="1504"/>
      <c r="K404" s="1504"/>
      <c r="L404" s="1504"/>
      <c r="M404" s="1504"/>
      <c r="N404" s="1504"/>
      <c r="O404" s="1504"/>
    </row>
    <row r="405" customFormat="false" ht="12.75" hidden="false" customHeight="true" outlineLevel="0" collapsed="false">
      <c r="A405" s="1673" t="s">
        <v>1057</v>
      </c>
      <c r="B405" s="1547" t="n">
        <f aca="false">'Saisie et Calculateur'!H115</f>
        <v>0</v>
      </c>
      <c r="C405" s="1547" t="n">
        <f aca="false">'Saisie et Calculateur'!I115</f>
        <v>0</v>
      </c>
      <c r="D405" s="619" t="n">
        <f aca="false">C405*B405/1000</f>
        <v>0</v>
      </c>
      <c r="E405" s="1584" t="n">
        <v>24</v>
      </c>
      <c r="F405" s="1608" t="n">
        <f aca="false">D405*E405</f>
        <v>0</v>
      </c>
      <c r="G405" s="1504"/>
      <c r="H405" s="1504"/>
      <c r="I405" s="1504"/>
      <c r="J405" s="1504"/>
      <c r="K405" s="1504"/>
      <c r="L405" s="1504"/>
      <c r="M405" s="1504"/>
      <c r="N405" s="1504"/>
      <c r="O405" s="1504"/>
    </row>
    <row r="406" customFormat="false" ht="12.75" hidden="false" customHeight="true" outlineLevel="0" collapsed="false">
      <c r="A406" s="1673" t="s">
        <v>1058</v>
      </c>
      <c r="B406" s="1547" t="n">
        <f aca="false">'Saisie et Calculateur'!H116</f>
        <v>0</v>
      </c>
      <c r="C406" s="1547" t="n">
        <f aca="false">'Saisie et Calculateur'!I116</f>
        <v>0</v>
      </c>
      <c r="D406" s="619" t="n">
        <f aca="false">C406*B406/1000</f>
        <v>0</v>
      </c>
      <c r="E406" s="1584" t="n">
        <v>24</v>
      </c>
      <c r="F406" s="1608" t="n">
        <f aca="false">D406*E406</f>
        <v>0</v>
      </c>
      <c r="G406" s="1504"/>
      <c r="H406" s="1504"/>
      <c r="I406" s="1504"/>
      <c r="J406" s="1504"/>
      <c r="K406" s="1504"/>
      <c r="L406" s="1504"/>
      <c r="M406" s="1504"/>
      <c r="N406" s="1504"/>
      <c r="O406" s="1504"/>
    </row>
    <row r="407" customFormat="false" ht="12.75" hidden="false" customHeight="true" outlineLevel="0" collapsed="false">
      <c r="A407" s="1673" t="s">
        <v>1059</v>
      </c>
      <c r="B407" s="1547" t="n">
        <f aca="false">'Saisie et Calculateur'!H117</f>
        <v>0</v>
      </c>
      <c r="C407" s="1547" t="n">
        <f aca="false">'Saisie et Calculateur'!I117</f>
        <v>0</v>
      </c>
      <c r="D407" s="619" t="n">
        <f aca="false">C407*B407/1000</f>
        <v>0</v>
      </c>
      <c r="E407" s="1584" t="n">
        <v>24</v>
      </c>
      <c r="F407" s="1608" t="n">
        <f aca="false">D407*E407</f>
        <v>0</v>
      </c>
      <c r="G407" s="1504"/>
      <c r="H407" s="1504"/>
      <c r="I407" s="1504"/>
      <c r="J407" s="1504"/>
      <c r="K407" s="1504"/>
      <c r="L407" s="1504"/>
      <c r="M407" s="1504"/>
      <c r="N407" s="1504"/>
      <c r="O407" s="1504"/>
    </row>
    <row r="408" customFormat="false" ht="12.75" hidden="false" customHeight="true" outlineLevel="0" collapsed="false">
      <c r="A408" s="1673" t="s">
        <v>1060</v>
      </c>
      <c r="B408" s="1547" t="n">
        <f aca="false">'Saisie et Calculateur'!H118</f>
        <v>0</v>
      </c>
      <c r="C408" s="1547" t="n">
        <f aca="false">'Saisie et Calculateur'!I118</f>
        <v>0</v>
      </c>
      <c r="D408" s="619" t="n">
        <f aca="false">C408*B408/1000</f>
        <v>0</v>
      </c>
      <c r="E408" s="1584" t="n">
        <v>24</v>
      </c>
      <c r="F408" s="1608" t="n">
        <f aca="false">D408*E408</f>
        <v>0</v>
      </c>
      <c r="G408" s="1504"/>
      <c r="H408" s="1504"/>
      <c r="I408" s="1504"/>
      <c r="J408" s="1504"/>
      <c r="K408" s="1504"/>
      <c r="L408" s="1504"/>
      <c r="M408" s="1504"/>
      <c r="N408" s="1504"/>
      <c r="O408" s="1504"/>
    </row>
    <row r="409" customFormat="false" ht="12.75" hidden="false" customHeight="true" outlineLevel="0" collapsed="false">
      <c r="A409" s="1673" t="s">
        <v>1061</v>
      </c>
      <c r="B409" s="1547" t="n">
        <f aca="false">'Saisie et Calculateur'!H119</f>
        <v>0</v>
      </c>
      <c r="C409" s="1547" t="n">
        <f aca="false">'Saisie et Calculateur'!I119</f>
        <v>0</v>
      </c>
      <c r="D409" s="619" t="n">
        <f aca="false">C409*B409/1000</f>
        <v>0</v>
      </c>
      <c r="E409" s="1584" t="n">
        <v>24</v>
      </c>
      <c r="F409" s="1608" t="n">
        <f aca="false">D409*E409</f>
        <v>0</v>
      </c>
      <c r="G409" s="1504"/>
      <c r="H409" s="1504"/>
      <c r="I409" s="1504"/>
      <c r="J409" s="1504"/>
      <c r="K409" s="1504"/>
      <c r="L409" s="1504"/>
      <c r="M409" s="1504"/>
      <c r="N409" s="1504"/>
      <c r="O409" s="1504"/>
    </row>
    <row r="410" customFormat="false" ht="12.75" hidden="false" customHeight="true" outlineLevel="0" collapsed="false">
      <c r="A410" s="1673" t="s">
        <v>1062</v>
      </c>
      <c r="B410" s="1547" t="n">
        <f aca="false">'Saisie et Calculateur'!H120</f>
        <v>0</v>
      </c>
      <c r="C410" s="1547" t="n">
        <f aca="false">'Saisie et Calculateur'!I120</f>
        <v>0</v>
      </c>
      <c r="D410" s="619" t="n">
        <f aca="false">C410*B410/1000</f>
        <v>0</v>
      </c>
      <c r="E410" s="1584" t="n">
        <v>24</v>
      </c>
      <c r="F410" s="1608" t="n">
        <f aca="false">D410*E410</f>
        <v>0</v>
      </c>
      <c r="G410" s="1504"/>
      <c r="H410" s="1504"/>
      <c r="I410" s="1504"/>
      <c r="J410" s="1504"/>
      <c r="K410" s="1504"/>
      <c r="L410" s="1504"/>
      <c r="M410" s="1504"/>
      <c r="N410" s="1504"/>
      <c r="O410" s="1504"/>
    </row>
    <row r="411" customFormat="false" ht="12.75" hidden="false" customHeight="true" outlineLevel="0" collapsed="false">
      <c r="A411" s="1673" t="s">
        <v>1064</v>
      </c>
      <c r="B411" s="1547" t="n">
        <f aca="false">'Saisie et Calculateur'!H122</f>
        <v>0</v>
      </c>
      <c r="C411" s="1547" t="n">
        <f aca="false">'Saisie et Calculateur'!I122</f>
        <v>0</v>
      </c>
      <c r="D411" s="619" t="n">
        <f aca="false">C411*B411/1000</f>
        <v>0</v>
      </c>
      <c r="E411" s="1584" t="n">
        <v>24</v>
      </c>
      <c r="F411" s="1608" t="n">
        <f aca="false">D411*E411</f>
        <v>0</v>
      </c>
      <c r="G411" s="1504"/>
      <c r="H411" s="1504"/>
      <c r="I411" s="1504"/>
      <c r="J411" s="1504"/>
      <c r="K411" s="1504"/>
      <c r="L411" s="1504"/>
      <c r="M411" s="1504"/>
      <c r="N411" s="1504"/>
      <c r="O411" s="1504"/>
    </row>
    <row r="412" customFormat="false" ht="12.75" hidden="false" customHeight="true" outlineLevel="0" collapsed="false">
      <c r="A412" s="1673" t="s">
        <v>1065</v>
      </c>
      <c r="B412" s="1547" t="n">
        <f aca="false">'Saisie et Calculateur'!H123</f>
        <v>0</v>
      </c>
      <c r="C412" s="1547" t="n">
        <f aca="false">'Saisie et Calculateur'!I123</f>
        <v>0</v>
      </c>
      <c r="D412" s="619" t="n">
        <f aca="false">C412*B412/1000</f>
        <v>0</v>
      </c>
      <c r="E412" s="1584" t="n">
        <v>24</v>
      </c>
      <c r="F412" s="1608" t="n">
        <f aca="false">D412*E412</f>
        <v>0</v>
      </c>
      <c r="G412" s="1504"/>
      <c r="H412" s="1504"/>
      <c r="I412" s="1504"/>
      <c r="J412" s="1504"/>
      <c r="K412" s="1504"/>
      <c r="L412" s="1504"/>
      <c r="M412" s="1504"/>
      <c r="N412" s="1504"/>
      <c r="O412" s="1504"/>
    </row>
    <row r="413" customFormat="false" ht="12.75" hidden="false" customHeight="true" outlineLevel="0" collapsed="false">
      <c r="A413" s="1673" t="s">
        <v>1066</v>
      </c>
      <c r="B413" s="1547" t="n">
        <f aca="false">'Saisie et Calculateur'!H124</f>
        <v>0</v>
      </c>
      <c r="C413" s="1547" t="n">
        <f aca="false">'Saisie et Calculateur'!I124</f>
        <v>0</v>
      </c>
      <c r="D413" s="619" t="n">
        <f aca="false">C413*B413/1000</f>
        <v>0</v>
      </c>
      <c r="E413" s="1584" t="n">
        <v>24</v>
      </c>
      <c r="F413" s="1608" t="n">
        <f aca="false">D413*E413</f>
        <v>0</v>
      </c>
      <c r="G413" s="1504"/>
      <c r="H413" s="1504"/>
      <c r="I413" s="1504"/>
      <c r="J413" s="1504"/>
      <c r="K413" s="1504"/>
      <c r="L413" s="1504"/>
      <c r="M413" s="1504"/>
      <c r="N413" s="1504"/>
      <c r="O413" s="1504"/>
    </row>
    <row r="414" customFormat="false" ht="12.75" hidden="false" customHeight="true" outlineLevel="0" collapsed="false">
      <c r="A414" s="1674" t="s">
        <v>1067</v>
      </c>
      <c r="B414" s="1547" t="n">
        <f aca="false">'Saisie et Calculateur'!H125</f>
        <v>0</v>
      </c>
      <c r="C414" s="1547" t="n">
        <f aca="false">'Saisie et Calculateur'!I125</f>
        <v>0</v>
      </c>
      <c r="D414" s="619" t="n">
        <f aca="false">C414*B414/1000</f>
        <v>0</v>
      </c>
      <c r="E414" s="1584" t="n">
        <v>24</v>
      </c>
      <c r="F414" s="1608" t="n">
        <f aca="false">D414*E414</f>
        <v>0</v>
      </c>
      <c r="G414" s="1504"/>
      <c r="H414" s="1504"/>
      <c r="I414" s="1504"/>
      <c r="J414" s="1504"/>
      <c r="K414" s="1504"/>
      <c r="L414" s="1504"/>
      <c r="M414" s="1504"/>
      <c r="N414" s="1504"/>
      <c r="O414" s="1504"/>
    </row>
    <row r="415" customFormat="false" ht="12.75" hidden="false" customHeight="true" outlineLevel="0" collapsed="false">
      <c r="A415" s="1673" t="s">
        <v>142</v>
      </c>
      <c r="B415" s="1547" t="n">
        <f aca="false">'Saisie et Calculateur'!H127</f>
        <v>0</v>
      </c>
      <c r="C415" s="1547" t="n">
        <f aca="false">'Saisie et Calculateur'!I127</f>
        <v>0</v>
      </c>
      <c r="D415" s="619" t="n">
        <f aca="false">C415*B415/1000</f>
        <v>0</v>
      </c>
      <c r="E415" s="1584" t="n">
        <v>24</v>
      </c>
      <c r="F415" s="1608" t="n">
        <f aca="false">D415*E415</f>
        <v>0</v>
      </c>
      <c r="G415" s="1504"/>
      <c r="H415" s="1504"/>
      <c r="I415" s="1504"/>
      <c r="J415" s="1504"/>
      <c r="K415" s="1504"/>
      <c r="L415" s="1504"/>
      <c r="M415" s="1504"/>
      <c r="N415" s="1504"/>
      <c r="O415" s="1504"/>
    </row>
    <row r="416" customFormat="false" ht="12.75" hidden="false" customHeight="true" outlineLevel="0" collapsed="false">
      <c r="A416" s="1673" t="s">
        <v>1069</v>
      </c>
      <c r="B416" s="1547" t="n">
        <f aca="false">'Saisie et Calculateur'!H128</f>
        <v>0</v>
      </c>
      <c r="C416" s="1547" t="n">
        <f aca="false">'Saisie et Calculateur'!I128</f>
        <v>0</v>
      </c>
      <c r="D416" s="619" t="n">
        <f aca="false">C416*B416/1000</f>
        <v>0</v>
      </c>
      <c r="E416" s="1584" t="n">
        <v>24</v>
      </c>
      <c r="F416" s="1608" t="n">
        <f aca="false">D416*E416</f>
        <v>0</v>
      </c>
      <c r="G416" s="1504"/>
      <c r="H416" s="1504"/>
      <c r="I416" s="1504"/>
      <c r="J416" s="1504"/>
      <c r="K416" s="1504"/>
      <c r="L416" s="1504"/>
      <c r="M416" s="1504"/>
      <c r="N416" s="1504"/>
      <c r="O416" s="1504"/>
    </row>
    <row r="417" customFormat="false" ht="12.75" hidden="false" customHeight="true" outlineLevel="0" collapsed="false">
      <c r="A417" s="1673" t="s">
        <v>144</v>
      </c>
      <c r="B417" s="1547" t="n">
        <f aca="false">'Saisie et Calculateur'!H129</f>
        <v>0</v>
      </c>
      <c r="C417" s="1547" t="n">
        <f aca="false">'Saisie et Calculateur'!I129</f>
        <v>0</v>
      </c>
      <c r="D417" s="619" t="n">
        <f aca="false">C417*B417/1000</f>
        <v>0</v>
      </c>
      <c r="E417" s="1584" t="n">
        <v>24</v>
      </c>
      <c r="F417" s="1608" t="n">
        <f aca="false">D417*E417</f>
        <v>0</v>
      </c>
      <c r="G417" s="1504"/>
      <c r="H417" s="1504"/>
      <c r="I417" s="1504"/>
      <c r="J417" s="1504"/>
      <c r="K417" s="1504"/>
      <c r="L417" s="1504"/>
      <c r="M417" s="1504"/>
      <c r="N417" s="1504"/>
      <c r="O417" s="1504"/>
    </row>
    <row r="418" customFormat="false" ht="12.75" hidden="false" customHeight="true" outlineLevel="0" collapsed="false">
      <c r="A418" s="1673" t="s">
        <v>1070</v>
      </c>
      <c r="B418" s="1547" t="n">
        <f aca="false">'Saisie et Calculateur'!H130</f>
        <v>0</v>
      </c>
      <c r="C418" s="1547" t="n">
        <f aca="false">'Saisie et Calculateur'!I130</f>
        <v>0</v>
      </c>
      <c r="D418" s="619" t="n">
        <f aca="false">C418*B418/1000</f>
        <v>0</v>
      </c>
      <c r="E418" s="1584" t="n">
        <v>24</v>
      </c>
      <c r="F418" s="1608" t="n">
        <f aca="false">D418*E418</f>
        <v>0</v>
      </c>
      <c r="G418" s="1504"/>
      <c r="H418" s="1504"/>
      <c r="I418" s="1504"/>
      <c r="J418" s="1504"/>
      <c r="K418" s="1504"/>
      <c r="L418" s="1504"/>
      <c r="M418" s="1504"/>
      <c r="N418" s="1504"/>
      <c r="O418" s="1504"/>
    </row>
    <row r="419" customFormat="false" ht="12.75" hidden="false" customHeight="true" outlineLevel="0" collapsed="false">
      <c r="A419" s="1673" t="s">
        <v>1071</v>
      </c>
      <c r="B419" s="1547" t="n">
        <f aca="false">'Saisie et Calculateur'!H131</f>
        <v>0</v>
      </c>
      <c r="C419" s="1547" t="n">
        <f aca="false">'Saisie et Calculateur'!I131</f>
        <v>0</v>
      </c>
      <c r="D419" s="619" t="n">
        <f aca="false">C419*B419/1000</f>
        <v>0</v>
      </c>
      <c r="E419" s="1584" t="n">
        <v>24</v>
      </c>
      <c r="F419" s="1608" t="n">
        <f aca="false">D419*E419</f>
        <v>0</v>
      </c>
      <c r="G419" s="1504"/>
      <c r="H419" s="1504"/>
      <c r="I419" s="1504"/>
      <c r="J419" s="1504"/>
      <c r="K419" s="1504"/>
      <c r="L419" s="1504"/>
      <c r="M419" s="1504"/>
      <c r="N419" s="1504"/>
      <c r="O419" s="1504"/>
    </row>
    <row r="420" customFormat="false" ht="12.75" hidden="false" customHeight="true" outlineLevel="0" collapsed="false">
      <c r="A420" s="1674" t="s">
        <v>1072</v>
      </c>
      <c r="B420" s="1547" t="n">
        <f aca="false">'Saisie et Calculateur'!H134</f>
        <v>0</v>
      </c>
      <c r="C420" s="1547" t="n">
        <f aca="false">'Saisie et Calculateur'!I134</f>
        <v>0</v>
      </c>
      <c r="D420" s="619" t="n">
        <f aca="false">C420*B420/1000</f>
        <v>0</v>
      </c>
      <c r="E420" s="1584" t="n">
        <v>22.4</v>
      </c>
      <c r="F420" s="1608" t="n">
        <f aca="false">D420*E420</f>
        <v>0</v>
      </c>
      <c r="G420" s="1504"/>
      <c r="H420" s="1504"/>
      <c r="I420" s="1504"/>
      <c r="J420" s="1504"/>
      <c r="K420" s="1504"/>
      <c r="L420" s="1504"/>
      <c r="M420" s="1504"/>
      <c r="N420" s="1504"/>
      <c r="O420" s="1504"/>
    </row>
    <row r="421" customFormat="false" ht="12.75" hidden="false" customHeight="true" outlineLevel="0" collapsed="false">
      <c r="A421" s="1674" t="s">
        <v>1073</v>
      </c>
      <c r="B421" s="1547" t="n">
        <f aca="false">'Saisie et Calculateur'!H135</f>
        <v>0</v>
      </c>
      <c r="C421" s="1547" t="n">
        <f aca="false">'Saisie et Calculateur'!I135</f>
        <v>0</v>
      </c>
      <c r="D421" s="619" t="n">
        <f aca="false">C421*B421/1000</f>
        <v>0</v>
      </c>
      <c r="E421" s="1584" t="n">
        <v>32</v>
      </c>
      <c r="F421" s="1608" t="n">
        <f aca="false">D421*E421</f>
        <v>0</v>
      </c>
      <c r="G421" s="1504"/>
      <c r="H421" s="1504"/>
      <c r="I421" s="1504"/>
      <c r="J421" s="1504"/>
      <c r="K421" s="1504"/>
      <c r="L421" s="1504"/>
      <c r="M421" s="1504"/>
      <c r="N421" s="1504"/>
      <c r="O421" s="1504"/>
    </row>
    <row r="422" customFormat="false" ht="12.75" hidden="false" customHeight="true" outlineLevel="0" collapsed="false">
      <c r="A422" s="1674" t="s">
        <v>1074</v>
      </c>
      <c r="B422" s="1547" t="n">
        <f aca="false">'Saisie et Calculateur'!H136</f>
        <v>0</v>
      </c>
      <c r="C422" s="1547" t="n">
        <f aca="false">'Saisie et Calculateur'!I136</f>
        <v>0</v>
      </c>
      <c r="D422" s="619" t="n">
        <f aca="false">C422*B422/1000</f>
        <v>0</v>
      </c>
      <c r="E422" s="1584" t="n">
        <v>20.7</v>
      </c>
      <c r="F422" s="1608" t="n">
        <f aca="false">D422*E422</f>
        <v>0</v>
      </c>
      <c r="G422" s="1504"/>
      <c r="H422" s="1504"/>
      <c r="I422" s="1504"/>
      <c r="J422" s="1504"/>
      <c r="K422" s="1504"/>
      <c r="L422" s="1504"/>
      <c r="M422" s="1504"/>
      <c r="N422" s="1504"/>
      <c r="O422" s="1504"/>
    </row>
    <row r="423" customFormat="false" ht="12.75" hidden="false" customHeight="true" outlineLevel="0" collapsed="false">
      <c r="A423" s="1674" t="s">
        <v>1075</v>
      </c>
      <c r="B423" s="1547" t="n">
        <f aca="false">'Saisie et Calculateur'!H137</f>
        <v>0</v>
      </c>
      <c r="C423" s="1547" t="n">
        <f aca="false">'Saisie et Calculateur'!I137</f>
        <v>0</v>
      </c>
      <c r="D423" s="619" t="n">
        <f aca="false">C423*B423/1000</f>
        <v>0</v>
      </c>
      <c r="E423" s="1584" t="n">
        <v>37.6</v>
      </c>
      <c r="F423" s="1608" t="n">
        <f aca="false">D423*E423</f>
        <v>0</v>
      </c>
      <c r="G423" s="1504"/>
      <c r="H423" s="1504"/>
      <c r="I423" s="1504"/>
      <c r="J423" s="1504"/>
      <c r="K423" s="1504"/>
      <c r="L423" s="1504"/>
      <c r="M423" s="1504"/>
      <c r="N423" s="1504"/>
      <c r="O423" s="1504"/>
    </row>
    <row r="424" customFormat="false" ht="12.75" hidden="false" customHeight="true" outlineLevel="0" collapsed="false">
      <c r="A424" s="1674" t="s">
        <v>1076</v>
      </c>
      <c r="B424" s="1547" t="n">
        <f aca="false">'Saisie et Calculateur'!H138</f>
        <v>0</v>
      </c>
      <c r="C424" s="1547" t="n">
        <f aca="false">'Saisie et Calculateur'!I138</f>
        <v>0</v>
      </c>
      <c r="D424" s="619" t="n">
        <f aca="false">C424*B424/1000</f>
        <v>0</v>
      </c>
      <c r="E424" s="1584" t="n">
        <v>18.9</v>
      </c>
      <c r="F424" s="1608" t="n">
        <f aca="false">D424*E424</f>
        <v>0</v>
      </c>
      <c r="G424" s="1504"/>
      <c r="H424" s="1504"/>
      <c r="I424" s="1504"/>
      <c r="J424" s="1504"/>
      <c r="K424" s="1504"/>
      <c r="L424" s="1504"/>
      <c r="M424" s="1504"/>
      <c r="N424" s="1504"/>
      <c r="O424" s="1504"/>
    </row>
    <row r="425" customFormat="false" ht="12.75" hidden="false" customHeight="true" outlineLevel="0" collapsed="false">
      <c r="A425" s="1674" t="s">
        <v>1077</v>
      </c>
      <c r="B425" s="1547" t="n">
        <f aca="false">'Saisie et Calculateur'!H139</f>
        <v>0</v>
      </c>
      <c r="C425" s="1547" t="n">
        <f aca="false">'Saisie et Calculateur'!I139</f>
        <v>0</v>
      </c>
      <c r="D425" s="619" t="n">
        <f aca="false">C425*B425/1000</f>
        <v>0</v>
      </c>
      <c r="E425" s="1584" t="n">
        <v>30.5</v>
      </c>
      <c r="F425" s="1608" t="n">
        <f aca="false">D425*E425</f>
        <v>0</v>
      </c>
      <c r="G425" s="1504"/>
      <c r="H425" s="1504"/>
      <c r="I425" s="1504"/>
      <c r="J425" s="1504"/>
      <c r="K425" s="1504"/>
      <c r="L425" s="1504"/>
      <c r="M425" s="1504"/>
      <c r="N425" s="1504"/>
      <c r="O425" s="1504"/>
    </row>
    <row r="426" customFormat="false" ht="12.75" hidden="false" customHeight="true" outlineLevel="0" collapsed="false">
      <c r="A426" s="1674" t="s">
        <v>1078</v>
      </c>
      <c r="B426" s="1547" t="n">
        <f aca="false">'Saisie et Calculateur'!H140</f>
        <v>0</v>
      </c>
      <c r="C426" s="1547" t="n">
        <f aca="false">'Saisie et Calculateur'!I140</f>
        <v>0</v>
      </c>
      <c r="D426" s="619" t="n">
        <f aca="false">C426*B426/1000</f>
        <v>0</v>
      </c>
      <c r="E426" s="1584" t="n">
        <v>20</v>
      </c>
      <c r="F426" s="1608" t="n">
        <f aca="false">D426*E426</f>
        <v>0</v>
      </c>
      <c r="G426" s="1504"/>
      <c r="H426" s="1504"/>
      <c r="I426" s="1504"/>
      <c r="J426" s="1504"/>
      <c r="K426" s="1504"/>
      <c r="L426" s="1504"/>
      <c r="M426" s="1504"/>
      <c r="N426" s="1504"/>
      <c r="O426" s="1504"/>
    </row>
    <row r="427" customFormat="false" ht="12.75" hidden="false" customHeight="true" outlineLevel="0" collapsed="false">
      <c r="A427" s="1674" t="s">
        <v>1079</v>
      </c>
      <c r="B427" s="1547" t="n">
        <f aca="false">'Saisie et Calculateur'!H141</f>
        <v>0</v>
      </c>
      <c r="C427" s="1547" t="n">
        <f aca="false">'Saisie et Calculateur'!I141</f>
        <v>0</v>
      </c>
      <c r="D427" s="619" t="n">
        <f aca="false">C427*B427/1000</f>
        <v>0</v>
      </c>
      <c r="E427" s="1584" t="n">
        <v>37.6</v>
      </c>
      <c r="F427" s="1608" t="n">
        <f aca="false">D427*E427</f>
        <v>0</v>
      </c>
      <c r="G427" s="1504"/>
      <c r="H427" s="1504"/>
      <c r="I427" s="1504"/>
      <c r="J427" s="1504"/>
      <c r="K427" s="1504"/>
      <c r="L427" s="1504"/>
      <c r="M427" s="1504"/>
      <c r="N427" s="1504"/>
      <c r="O427" s="1504"/>
    </row>
    <row r="428" customFormat="false" ht="12.75" hidden="false" customHeight="true" outlineLevel="0" collapsed="false">
      <c r="A428" s="1673" t="s">
        <v>1080</v>
      </c>
      <c r="B428" s="1547" t="n">
        <f aca="false">'Saisie et Calculateur'!H142</f>
        <v>6000</v>
      </c>
      <c r="C428" s="1547" t="n">
        <f aca="false">'Saisie et Calculateur'!I142</f>
        <v>9.5</v>
      </c>
      <c r="D428" s="619" t="n">
        <f aca="false">C428*B428/1000</f>
        <v>57</v>
      </c>
      <c r="E428" s="1584" t="n">
        <v>35.6</v>
      </c>
      <c r="F428" s="1608" t="n">
        <f aca="false">D428*E428</f>
        <v>2029.2</v>
      </c>
      <c r="G428" s="1504"/>
      <c r="H428" s="1504"/>
      <c r="I428" s="1504"/>
      <c r="J428" s="1504"/>
      <c r="K428" s="1504"/>
      <c r="L428" s="1504"/>
      <c r="M428" s="1504"/>
      <c r="N428" s="1504"/>
      <c r="O428" s="1504"/>
    </row>
    <row r="429" customFormat="false" ht="12.75" hidden="false" customHeight="true" outlineLevel="0" collapsed="false">
      <c r="A429" s="1675" t="s">
        <v>1990</v>
      </c>
      <c r="B429" s="1547" t="n">
        <f aca="false">'Saisie et Calculateur'!H144</f>
        <v>0</v>
      </c>
      <c r="C429" s="1547" t="n">
        <f aca="false">'Saisie et Calculateur'!I144</f>
        <v>0</v>
      </c>
      <c r="D429" s="619" t="n">
        <f aca="false">C429*B429/1000</f>
        <v>0</v>
      </c>
      <c r="E429" s="1584" t="n">
        <v>24</v>
      </c>
      <c r="F429" s="1608" t="n">
        <f aca="false">D429*E429</f>
        <v>0</v>
      </c>
      <c r="G429" s="1504"/>
      <c r="H429" s="1504"/>
      <c r="I429" s="1504"/>
      <c r="J429" s="1504"/>
      <c r="K429" s="1504"/>
      <c r="L429" s="1504"/>
      <c r="M429" s="1504"/>
      <c r="N429" s="1504"/>
      <c r="O429" s="1504"/>
    </row>
    <row r="430" customFormat="false" ht="12.6" hidden="false" customHeight="true" outlineLevel="0" collapsed="false">
      <c r="A430" s="1673" t="s">
        <v>1991</v>
      </c>
      <c r="B430" s="1547" t="n">
        <f aca="false">'Saisie et Calculateur'!H145</f>
        <v>0</v>
      </c>
      <c r="C430" s="1547" t="n">
        <f aca="false">'Saisie et Calculateur'!I145</f>
        <v>0</v>
      </c>
      <c r="D430" s="619" t="n">
        <f aca="false">C430*B430/1000</f>
        <v>0</v>
      </c>
      <c r="E430" s="1584" t="n">
        <v>24</v>
      </c>
      <c r="F430" s="1608" t="n">
        <f aca="false">D430*E430</f>
        <v>0</v>
      </c>
      <c r="G430" s="1504"/>
      <c r="H430" s="1504"/>
      <c r="I430" s="1504"/>
      <c r="J430" s="1504"/>
      <c r="K430" s="1504"/>
      <c r="L430" s="1504"/>
      <c r="M430" s="1504"/>
      <c r="N430" s="1504"/>
      <c r="O430" s="1504"/>
    </row>
    <row r="431" customFormat="false" ht="12.75" hidden="false" customHeight="true" outlineLevel="0" collapsed="false">
      <c r="A431" s="1674" t="s">
        <v>1900</v>
      </c>
      <c r="B431" s="1547" t="n">
        <f aca="false">'Saisie et Calculateur'!H146</f>
        <v>0</v>
      </c>
      <c r="C431" s="1547" t="n">
        <f aca="false">'Saisie et Calculateur'!I146</f>
        <v>0</v>
      </c>
      <c r="D431" s="619" t="n">
        <f aca="false">C431*B431/1000</f>
        <v>0</v>
      </c>
      <c r="E431" s="1663"/>
      <c r="F431" s="1608" t="n">
        <f aca="false">D431*E431</f>
        <v>0</v>
      </c>
      <c r="G431" s="1504"/>
      <c r="H431" s="1504"/>
      <c r="I431" s="1504"/>
      <c r="J431" s="1504"/>
      <c r="K431" s="1504"/>
      <c r="L431" s="1504"/>
      <c r="M431" s="1504"/>
      <c r="N431" s="1504"/>
      <c r="O431" s="1504"/>
    </row>
    <row r="432" customFormat="false" ht="12.75" hidden="false" customHeight="true" outlineLevel="0" collapsed="false">
      <c r="A432" s="1676"/>
      <c r="B432" s="1547" t="n">
        <f aca="false">'Saisie et Calculateur'!H147</f>
        <v>0</v>
      </c>
      <c r="C432" s="1547" t="n">
        <f aca="false">'Saisie et Calculateur'!I147</f>
        <v>0</v>
      </c>
      <c r="D432" s="619" t="n">
        <f aca="false">C432*B432/1000</f>
        <v>0</v>
      </c>
      <c r="E432" s="1663"/>
      <c r="F432" s="1608" t="n">
        <f aca="false">D432*E432</f>
        <v>0</v>
      </c>
      <c r="G432" s="1504"/>
      <c r="H432" s="1504"/>
      <c r="I432" s="1504"/>
      <c r="J432" s="1504"/>
      <c r="K432" s="1504"/>
      <c r="L432" s="1504"/>
      <c r="M432" s="1504"/>
      <c r="N432" s="1504"/>
      <c r="O432" s="1504"/>
    </row>
    <row r="433" customFormat="false" ht="13.5" hidden="false" customHeight="true" outlineLevel="0" collapsed="false">
      <c r="A433" s="1677"/>
      <c r="B433" s="1618" t="n">
        <f aca="false">'Saisie et Calculateur'!H148</f>
        <v>0</v>
      </c>
      <c r="C433" s="1618" t="n">
        <f aca="false">'Saisie et Calculateur'!I148</f>
        <v>0</v>
      </c>
      <c r="D433" s="1619" t="n">
        <f aca="false">C433*B433/1000</f>
        <v>0</v>
      </c>
      <c r="E433" s="1678"/>
      <c r="F433" s="1621" t="n">
        <f aca="false">D433*E433</f>
        <v>0</v>
      </c>
      <c r="G433" s="1504"/>
      <c r="H433" s="1504"/>
      <c r="I433" s="1504"/>
      <c r="J433" s="1504"/>
      <c r="K433" s="1504"/>
      <c r="L433" s="1504"/>
      <c r="M433" s="1504"/>
      <c r="N433" s="1504"/>
      <c r="O433" s="1504"/>
    </row>
    <row r="434" customFormat="false" ht="12.75" hidden="false" customHeight="true" outlineLevel="0" collapsed="false">
      <c r="A434" s="1502"/>
      <c r="B434" s="1504"/>
      <c r="C434" s="1504"/>
      <c r="D434" s="1504"/>
      <c r="E434" s="1504"/>
      <c r="F434" s="1504"/>
      <c r="G434" s="1504"/>
      <c r="H434" s="1504"/>
      <c r="I434" s="1504"/>
      <c r="J434" s="1504"/>
      <c r="K434" s="1504"/>
      <c r="L434" s="1504"/>
      <c r="M434" s="1504"/>
      <c r="N434" s="1504"/>
      <c r="O434" s="1504"/>
    </row>
    <row r="435" customFormat="false" ht="15" hidden="false" customHeight="true" outlineLevel="0" collapsed="false">
      <c r="A435" s="1502"/>
      <c r="B435" s="1504"/>
      <c r="C435" s="1504"/>
      <c r="D435" s="1532" t="s">
        <v>1901</v>
      </c>
      <c r="E435" s="1604" t="s">
        <v>551</v>
      </c>
      <c r="F435" s="738" t="n">
        <f aca="false">SUM(F403:F433)</f>
        <v>2029.2</v>
      </c>
      <c r="G435" s="1504"/>
      <c r="H435" s="1504"/>
      <c r="I435" s="1504"/>
      <c r="J435" s="1504"/>
      <c r="K435" s="1504"/>
      <c r="L435" s="1504"/>
      <c r="M435" s="1504"/>
      <c r="N435" s="1504"/>
      <c r="O435" s="1504"/>
    </row>
    <row r="436" customFormat="false" ht="12.75" hidden="false" customHeight="true" outlineLevel="0" collapsed="false">
      <c r="A436" s="1502"/>
      <c r="B436" s="1504"/>
      <c r="C436" s="1504"/>
      <c r="D436" s="1504"/>
      <c r="E436" s="1504"/>
      <c r="F436" s="1504"/>
      <c r="G436" s="1504"/>
      <c r="H436" s="1504"/>
      <c r="I436" s="1504"/>
      <c r="J436" s="1504"/>
      <c r="K436" s="1504"/>
      <c r="L436" s="1504"/>
      <c r="M436" s="1504"/>
      <c r="N436" s="1504"/>
      <c r="O436" s="1504"/>
    </row>
    <row r="437" customFormat="false" ht="12.75" hidden="false" customHeight="true" outlineLevel="0" collapsed="false">
      <c r="A437" s="1502"/>
      <c r="B437" s="1504"/>
      <c r="C437" s="1504"/>
      <c r="D437" s="1504"/>
      <c r="E437" s="1504"/>
      <c r="F437" s="1504"/>
      <c r="G437" s="1504"/>
      <c r="H437" s="1504"/>
      <c r="I437" s="1504"/>
      <c r="J437" s="1504"/>
      <c r="K437" s="1504"/>
      <c r="L437" s="1504"/>
      <c r="M437" s="1504"/>
      <c r="N437" s="1504"/>
      <c r="O437" s="1504"/>
    </row>
    <row r="438" customFormat="false" ht="20.25" hidden="false" customHeight="true" outlineLevel="0" collapsed="false">
      <c r="A438" s="1511" t="s">
        <v>1992</v>
      </c>
      <c r="B438" s="1511"/>
      <c r="C438" s="1511"/>
      <c r="D438" s="1511"/>
      <c r="E438" s="1511"/>
      <c r="F438" s="1511"/>
      <c r="G438" s="1511"/>
      <c r="H438" s="1511"/>
      <c r="I438" s="1511"/>
      <c r="J438" s="1504" t="s">
        <v>1993</v>
      </c>
      <c r="K438" s="1504"/>
      <c r="L438" s="1504"/>
      <c r="M438" s="1504"/>
      <c r="N438" s="1504"/>
      <c r="O438" s="1504"/>
    </row>
    <row r="439" customFormat="false" ht="13.5" hidden="false" customHeight="true" outlineLevel="0" collapsed="false">
      <c r="A439" s="1502"/>
      <c r="B439" s="1504"/>
      <c r="C439" s="1504"/>
      <c r="D439" s="1504"/>
      <c r="E439" s="1504"/>
      <c r="F439" s="1504"/>
      <c r="G439" s="1504"/>
      <c r="H439" s="1504"/>
      <c r="I439" s="1504"/>
      <c r="J439" s="1504"/>
      <c r="K439" s="1504"/>
      <c r="L439" s="1504"/>
      <c r="M439" s="1504"/>
      <c r="N439" s="1504"/>
      <c r="O439" s="1504"/>
    </row>
    <row r="440" customFormat="false" ht="63.75" hidden="false" customHeight="true" outlineLevel="0" collapsed="false">
      <c r="A440" s="460" t="s">
        <v>1994</v>
      </c>
      <c r="B440" s="465" t="s">
        <v>1995</v>
      </c>
      <c r="C440" s="1679" t="s">
        <v>1996</v>
      </c>
      <c r="D440" s="1504"/>
      <c r="E440" s="1504"/>
      <c r="F440" s="1504"/>
      <c r="G440" s="1504"/>
      <c r="H440" s="1504"/>
      <c r="I440" s="1504"/>
      <c r="J440" s="1504"/>
      <c r="K440" s="1504"/>
      <c r="L440" s="1504"/>
      <c r="M440" s="1504"/>
      <c r="N440" s="1504"/>
      <c r="O440" s="1504"/>
    </row>
    <row r="441" customFormat="false" ht="12.75" hidden="false" customHeight="true" outlineLevel="0" collapsed="false">
      <c r="A441" s="1680" t="s">
        <v>94</v>
      </c>
      <c r="B441" s="1604" t="s">
        <v>1997</v>
      </c>
      <c r="C441" s="1681" t="s">
        <v>1998</v>
      </c>
      <c r="D441" s="1504"/>
      <c r="E441" s="1504"/>
      <c r="F441" s="1504"/>
      <c r="G441" s="1504"/>
      <c r="H441" s="1504"/>
      <c r="I441" s="1504"/>
      <c r="J441" s="1504"/>
      <c r="K441" s="1504"/>
      <c r="L441" s="1504"/>
      <c r="M441" s="1504"/>
      <c r="N441" s="1504"/>
      <c r="O441" s="1504"/>
    </row>
    <row r="442" customFormat="false" ht="15.95" hidden="false" customHeight="true" outlineLevel="0" collapsed="false">
      <c r="A442" s="1682" t="n">
        <f aca="false">'Saisie et Calculateur'!B27</f>
        <v>1</v>
      </c>
      <c r="B442" s="1683" t="n">
        <v>70</v>
      </c>
      <c r="C442" s="1684" t="n">
        <f aca="false">A442*B442</f>
        <v>70</v>
      </c>
      <c r="D442" s="1504"/>
      <c r="E442" s="1504"/>
      <c r="F442" s="1504"/>
      <c r="G442" s="1504"/>
      <c r="H442" s="1504"/>
      <c r="I442" s="1504"/>
      <c r="J442" s="1504"/>
      <c r="K442" s="1504"/>
      <c r="L442" s="1504"/>
      <c r="M442" s="1504"/>
      <c r="N442" s="1504"/>
      <c r="O442" s="1504"/>
    </row>
    <row r="443" customFormat="false" ht="12.75" hidden="false" customHeight="true" outlineLevel="0" collapsed="false">
      <c r="A443" s="1502"/>
      <c r="B443" s="1504"/>
      <c r="C443" s="1504"/>
      <c r="D443" s="1504"/>
      <c r="E443" s="1504"/>
      <c r="F443" s="1504"/>
      <c r="G443" s="1504"/>
      <c r="H443" s="1504"/>
      <c r="I443" s="1504"/>
      <c r="J443" s="1504"/>
      <c r="K443" s="1504"/>
      <c r="L443" s="1504"/>
      <c r="M443" s="1504"/>
      <c r="N443" s="1504"/>
      <c r="O443" s="1504"/>
    </row>
    <row r="444" customFormat="false" ht="12.75" hidden="false" customHeight="true" outlineLevel="0" collapsed="false">
      <c r="A444" s="1502"/>
      <c r="B444" s="1504"/>
      <c r="C444" s="1504"/>
      <c r="D444" s="1504"/>
      <c r="E444" s="1504"/>
      <c r="F444" s="1504"/>
      <c r="G444" s="1504"/>
      <c r="H444" s="1504"/>
      <c r="I444" s="1504"/>
      <c r="J444" s="1504"/>
      <c r="K444" s="1504"/>
      <c r="L444" s="1504"/>
      <c r="M444" s="1504"/>
      <c r="N444" s="1504"/>
      <c r="O444" s="1504"/>
    </row>
    <row r="445" customFormat="false" ht="20.25" hidden="false" customHeight="true" outlineLevel="0" collapsed="false">
      <c r="A445" s="1511" t="s">
        <v>1999</v>
      </c>
      <c r="B445" s="1511"/>
      <c r="C445" s="1511"/>
      <c r="D445" s="1511"/>
      <c r="E445" s="1511"/>
      <c r="F445" s="1511"/>
      <c r="G445" s="1511"/>
      <c r="H445" s="1511"/>
      <c r="I445" s="1511"/>
      <c r="J445" s="1504" t="s">
        <v>1993</v>
      </c>
      <c r="K445" s="1504"/>
      <c r="L445" s="1504"/>
      <c r="M445" s="1504"/>
      <c r="N445" s="1504"/>
      <c r="O445" s="1504"/>
    </row>
    <row r="446" customFormat="false" ht="13.5" hidden="false" customHeight="true" outlineLevel="0" collapsed="false">
      <c r="A446" s="1502"/>
      <c r="B446" s="1502"/>
      <c r="C446" s="1502"/>
      <c r="D446" s="1502"/>
      <c r="E446" s="1502"/>
      <c r="F446" s="1502"/>
      <c r="G446" s="1502"/>
      <c r="H446" s="1502"/>
      <c r="I446" s="1502"/>
      <c r="J446" s="1504"/>
      <c r="K446" s="1504"/>
      <c r="L446" s="1504"/>
      <c r="M446" s="1504"/>
      <c r="N446" s="1504"/>
      <c r="O446" s="1504"/>
    </row>
    <row r="447" customFormat="false" ht="12.75" hidden="false" customHeight="true" outlineLevel="0" collapsed="false">
      <c r="A447" s="1503" t="s">
        <v>2000</v>
      </c>
      <c r="B447" s="460" t="s">
        <v>2001</v>
      </c>
      <c r="C447" s="465" t="s">
        <v>406</v>
      </c>
      <c r="D447" s="465" t="s">
        <v>2002</v>
      </c>
      <c r="E447" s="1679" t="s">
        <v>406</v>
      </c>
      <c r="F447" s="1502"/>
      <c r="G447" s="1502"/>
      <c r="H447" s="1502"/>
      <c r="I447" s="1502"/>
      <c r="J447" s="1504"/>
      <c r="K447" s="1504"/>
      <c r="L447" s="1504"/>
      <c r="M447" s="1504"/>
      <c r="N447" s="1504"/>
      <c r="O447" s="1504"/>
    </row>
    <row r="448" customFormat="false" ht="12.75" hidden="false" customHeight="true" outlineLevel="0" collapsed="false">
      <c r="A448" s="1503"/>
      <c r="B448" s="1685" t="s">
        <v>1343</v>
      </c>
      <c r="C448" s="1604" t="s">
        <v>2003</v>
      </c>
      <c r="D448" s="1604"/>
      <c r="E448" s="1546" t="s">
        <v>551</v>
      </c>
      <c r="F448" s="1502"/>
      <c r="G448" s="1558"/>
      <c r="H448" s="1502"/>
      <c r="I448" s="1502"/>
      <c r="J448" s="1504"/>
      <c r="K448" s="1504"/>
      <c r="L448" s="1504"/>
      <c r="M448" s="1504"/>
      <c r="N448" s="1504"/>
      <c r="O448" s="1504"/>
    </row>
    <row r="449" customFormat="false" ht="13.5" hidden="false" customHeight="true" outlineLevel="0" collapsed="false">
      <c r="A449" s="1503"/>
      <c r="B449" s="1686" t="n">
        <f aca="false">'Saisie et Calculateur'!I97</f>
        <v>60</v>
      </c>
      <c r="C449" s="1683" t="n">
        <v>93</v>
      </c>
      <c r="D449" s="1683" t="n">
        <v>0.23</v>
      </c>
      <c r="E449" s="1684" t="n">
        <f aca="false">B449*C449*D449</f>
        <v>1283.4</v>
      </c>
      <c r="F449" s="1502"/>
      <c r="G449" s="1502"/>
      <c r="H449" s="1502"/>
      <c r="I449" s="1502"/>
      <c r="J449" s="1504"/>
      <c r="K449" s="1504"/>
      <c r="L449" s="1504"/>
      <c r="M449" s="1504"/>
      <c r="N449" s="1504"/>
      <c r="O449" s="1504"/>
    </row>
    <row r="450" customFormat="false" ht="13.5" hidden="false" customHeight="true" outlineLevel="0" collapsed="false">
      <c r="A450" s="1503"/>
      <c r="B450" s="1504"/>
      <c r="C450" s="1504"/>
      <c r="D450" s="1504"/>
      <c r="E450" s="1504"/>
      <c r="F450" s="1504"/>
      <c r="G450" s="1504"/>
      <c r="H450" s="1504"/>
      <c r="I450" s="1504"/>
      <c r="J450" s="1504"/>
      <c r="K450" s="1504"/>
      <c r="L450" s="1504"/>
      <c r="M450" s="1504"/>
      <c r="N450" s="1504"/>
      <c r="O450" s="1504"/>
    </row>
    <row r="451" customFormat="false" ht="25.5" hidden="false" customHeight="true" outlineLevel="0" collapsed="false">
      <c r="A451" s="1503" t="s">
        <v>2004</v>
      </c>
      <c r="B451" s="460" t="s">
        <v>2005</v>
      </c>
      <c r="C451" s="465" t="s">
        <v>2006</v>
      </c>
      <c r="D451" s="465" t="s">
        <v>2007</v>
      </c>
      <c r="E451" s="1679" t="s">
        <v>406</v>
      </c>
      <c r="F451" s="1504"/>
      <c r="G451" s="1504"/>
      <c r="H451" s="1504"/>
      <c r="I451" s="1504"/>
      <c r="J451" s="1504"/>
      <c r="K451" s="1504"/>
      <c r="L451" s="1504"/>
      <c r="M451" s="1504"/>
      <c r="N451" s="1504"/>
      <c r="O451" s="1504"/>
    </row>
    <row r="452" customFormat="false" ht="12.75" hidden="false" customHeight="true" outlineLevel="0" collapsed="false">
      <c r="A452" s="1502"/>
      <c r="B452" s="1685" t="s">
        <v>2008</v>
      </c>
      <c r="C452" s="1604"/>
      <c r="D452" s="1604" t="s">
        <v>2009</v>
      </c>
      <c r="E452" s="1687" t="s">
        <v>551</v>
      </c>
      <c r="F452" s="1504"/>
      <c r="G452" s="1504"/>
      <c r="H452" s="1504"/>
      <c r="I452" s="1504"/>
      <c r="J452" s="1504"/>
      <c r="K452" s="1504"/>
      <c r="L452" s="1504"/>
      <c r="M452" s="1504"/>
      <c r="N452" s="1504"/>
      <c r="O452" s="1504"/>
    </row>
    <row r="453" customFormat="false" ht="13.5" hidden="false" customHeight="true" outlineLevel="0" collapsed="false">
      <c r="A453" s="1502"/>
      <c r="B453" s="1686" t="n">
        <f aca="false">'Saisie et Calculateur'!H786+'Saisie et Calculateur'!H787+'Saisie et Calculateur'!H788</f>
        <v>78516</v>
      </c>
      <c r="C453" s="1683" t="n">
        <v>296</v>
      </c>
      <c r="D453" s="1688" t="n">
        <f aca="false">14/46</f>
        <v>0.304347826086957</v>
      </c>
      <c r="E453" s="1684" t="n">
        <f aca="false">B453/C453*D453</f>
        <v>80.7303172737955</v>
      </c>
      <c r="F453" s="1504"/>
      <c r="G453" s="1504"/>
      <c r="H453" s="1504"/>
      <c r="I453" s="1504"/>
      <c r="J453" s="1504"/>
      <c r="K453" s="1504"/>
      <c r="L453" s="1504"/>
      <c r="M453" s="1504"/>
      <c r="N453" s="1504"/>
      <c r="O453" s="1504"/>
    </row>
    <row r="454" customFormat="false" ht="12.75" hidden="false" customHeight="true" outlineLevel="0" collapsed="false">
      <c r="A454" s="1502"/>
      <c r="B454" s="1504"/>
      <c r="C454" s="1504"/>
      <c r="D454" s="1504"/>
      <c r="E454" s="1504"/>
      <c r="F454" s="1504"/>
      <c r="G454" s="1504"/>
      <c r="H454" s="1504"/>
      <c r="I454" s="1504"/>
      <c r="J454" s="1504"/>
      <c r="K454" s="1504"/>
      <c r="L454" s="1504"/>
      <c r="M454" s="1504"/>
      <c r="N454" s="1504"/>
      <c r="O454" s="1504"/>
    </row>
    <row r="455" customFormat="false" ht="25.5" hidden="false" customHeight="true" outlineLevel="0" collapsed="false">
      <c r="A455" s="1502"/>
      <c r="B455" s="1504"/>
      <c r="C455" s="1689" t="s">
        <v>2010</v>
      </c>
      <c r="D455" s="1520" t="s">
        <v>551</v>
      </c>
      <c r="E455" s="619" t="n">
        <f aca="false">E453+E449</f>
        <v>1364.1303172738</v>
      </c>
      <c r="F455" s="1504"/>
      <c r="G455" s="1504"/>
      <c r="H455" s="1504"/>
      <c r="I455" s="1504"/>
      <c r="J455" s="1504"/>
      <c r="K455" s="1504"/>
      <c r="L455" s="1504"/>
      <c r="M455" s="1504"/>
      <c r="N455" s="1504"/>
      <c r="O455" s="1504"/>
    </row>
    <row r="456" customFormat="false" ht="12.75" hidden="false" customHeight="true" outlineLevel="0" collapsed="false">
      <c r="A456" s="1502"/>
      <c r="B456" s="1502"/>
      <c r="C456" s="1502"/>
      <c r="D456" s="1502"/>
      <c r="E456" s="1502"/>
      <c r="F456" s="1502"/>
      <c r="G456" s="1502"/>
      <c r="H456" s="1502"/>
      <c r="I456" s="1502"/>
      <c r="J456" s="1502"/>
      <c r="K456" s="1502"/>
      <c r="L456" s="1504"/>
      <c r="M456" s="1504"/>
      <c r="N456" s="1504"/>
      <c r="O456" s="1504"/>
    </row>
    <row r="457" customFormat="false" ht="12.75" hidden="false" customHeight="true" outlineLevel="0" collapsed="false">
      <c r="A457" s="1502"/>
      <c r="B457" s="1502"/>
      <c r="C457" s="1502"/>
      <c r="D457" s="1502"/>
      <c r="E457" s="1502"/>
      <c r="F457" s="1502"/>
      <c r="G457" s="1502"/>
      <c r="H457" s="1502"/>
      <c r="I457" s="1502"/>
      <c r="J457" s="1502"/>
      <c r="K457" s="1502"/>
      <c r="L457" s="1504"/>
      <c r="M457" s="1504"/>
      <c r="N457" s="1504"/>
      <c r="O457" s="1504"/>
    </row>
    <row r="458" customFormat="false" ht="12.75" hidden="false" customHeight="true" outlineLevel="0" collapsed="false">
      <c r="A458" s="1690" t="s">
        <v>2011</v>
      </c>
      <c r="B458" s="1690"/>
      <c r="C458" s="1690"/>
      <c r="D458" s="1690"/>
      <c r="E458" s="1690"/>
      <c r="F458" s="1690"/>
      <c r="G458" s="1690"/>
      <c r="H458" s="1690"/>
      <c r="I458" s="1690"/>
      <c r="J458" s="1502"/>
      <c r="K458" s="1502"/>
      <c r="L458" s="1504"/>
      <c r="M458" s="1504"/>
      <c r="N458" s="1504"/>
      <c r="O458" s="1504"/>
    </row>
    <row r="459" customFormat="false" ht="20.25" hidden="false" customHeight="true" outlineLevel="0" collapsed="false">
      <c r="A459" s="1512"/>
      <c r="B459" s="1598"/>
      <c r="C459" s="1598"/>
      <c r="D459" s="1598"/>
      <c r="E459" s="1598"/>
      <c r="F459" s="1598"/>
      <c r="G459" s="1598"/>
      <c r="H459" s="1598"/>
      <c r="I459" s="1502"/>
      <c r="J459" s="1502"/>
      <c r="K459" s="1502"/>
      <c r="L459" s="1504"/>
      <c r="M459" s="1504"/>
      <c r="N459" s="1504"/>
      <c r="O459" s="1504"/>
    </row>
    <row r="460" customFormat="false" ht="12.75" hidden="false" customHeight="true" outlineLevel="0" collapsed="false">
      <c r="A460" s="1502"/>
      <c r="B460" s="1502"/>
      <c r="C460" s="1502"/>
      <c r="D460" s="1532" t="s">
        <v>406</v>
      </c>
      <c r="E460" s="1503"/>
      <c r="F460" s="1502"/>
      <c r="G460" s="1502"/>
      <c r="H460" s="1502"/>
      <c r="I460" s="1502"/>
      <c r="J460" s="1504"/>
      <c r="K460" s="1504"/>
      <c r="L460" s="1504"/>
      <c r="M460" s="1504"/>
      <c r="N460" s="1504"/>
      <c r="O460" s="1504"/>
    </row>
    <row r="461" customFormat="false" ht="31.5" hidden="false" customHeight="true" outlineLevel="0" collapsed="false">
      <c r="A461" s="1691" t="s">
        <v>2012</v>
      </c>
      <c r="B461" s="1503"/>
      <c r="C461" s="1503"/>
      <c r="D461" s="1533" t="s">
        <v>1862</v>
      </c>
      <c r="E461" s="1503"/>
      <c r="F461" s="1503"/>
      <c r="G461" s="1692" t="s">
        <v>2013</v>
      </c>
      <c r="H461" s="1692"/>
      <c r="I461" s="1502"/>
      <c r="J461" s="1504"/>
      <c r="K461" s="1504"/>
      <c r="L461" s="1504"/>
      <c r="M461" s="1504"/>
      <c r="N461" s="1504"/>
      <c r="O461" s="1504"/>
    </row>
    <row r="462" customFormat="false" ht="15.75" hidden="false" customHeight="true" outlineLevel="0" collapsed="false">
      <c r="A462" s="1693" t="s">
        <v>2014</v>
      </c>
      <c r="B462" s="1694"/>
      <c r="C462" s="1695"/>
      <c r="D462" s="1696" t="n">
        <f aca="false">F46</f>
        <v>12319.2</v>
      </c>
      <c r="E462" s="1697"/>
      <c r="F462" s="1698"/>
      <c r="G462" s="1699" t="n">
        <f aca="false">'Saisie et Calculateur'!B24</f>
        <v>77</v>
      </c>
      <c r="H462" s="1699"/>
      <c r="I462" s="1502"/>
      <c r="J462" s="1504"/>
      <c r="K462" s="1504"/>
      <c r="L462" s="1504"/>
      <c r="M462" s="1504"/>
      <c r="N462" s="1504"/>
      <c r="O462" s="1504"/>
    </row>
    <row r="463" customFormat="false" ht="15.75" hidden="false" customHeight="true" outlineLevel="0" collapsed="false">
      <c r="A463" s="1693" t="s">
        <v>2015</v>
      </c>
      <c r="B463" s="1694"/>
      <c r="C463" s="1695"/>
      <c r="D463" s="1696" t="n">
        <f aca="false">D88</f>
        <v>0</v>
      </c>
      <c r="E463" s="1697"/>
      <c r="F463" s="1698"/>
      <c r="G463" s="1700"/>
      <c r="H463" s="1503"/>
      <c r="I463" s="1502"/>
      <c r="J463" s="1504"/>
      <c r="K463" s="1504"/>
      <c r="L463" s="1504"/>
      <c r="M463" s="1504"/>
      <c r="N463" s="1504"/>
      <c r="O463" s="1504"/>
    </row>
    <row r="464" customFormat="false" ht="15.75" hidden="false" customHeight="true" outlineLevel="0" collapsed="false">
      <c r="A464" s="1693" t="s">
        <v>2016</v>
      </c>
      <c r="B464" s="1694"/>
      <c r="C464" s="1695"/>
      <c r="D464" s="1696" t="n">
        <f aca="false">E128</f>
        <v>0</v>
      </c>
      <c r="E464" s="1697"/>
      <c r="F464" s="1698"/>
      <c r="G464" s="1700"/>
      <c r="H464" s="1502"/>
      <c r="I464" s="1502"/>
      <c r="J464" s="1504"/>
      <c r="K464" s="1504"/>
      <c r="L464" s="1504"/>
      <c r="M464" s="1504"/>
      <c r="N464" s="1504"/>
      <c r="O464" s="1504"/>
    </row>
    <row r="465" customFormat="false" ht="15.75" hidden="false" customHeight="true" outlineLevel="0" collapsed="false">
      <c r="A465" s="1693" t="s">
        <v>2017</v>
      </c>
      <c r="B465" s="1694"/>
      <c r="C465" s="1695"/>
      <c r="D465" s="1696" t="n">
        <f aca="false">D194</f>
        <v>936</v>
      </c>
      <c r="E465" s="1697"/>
      <c r="F465" s="1698"/>
      <c r="G465" s="1700"/>
      <c r="H465" s="1502"/>
      <c r="I465" s="1502"/>
      <c r="J465" s="1504"/>
      <c r="K465" s="1504"/>
      <c r="L465" s="1504"/>
      <c r="M465" s="1504"/>
      <c r="N465" s="1504"/>
      <c r="O465" s="1504"/>
    </row>
    <row r="466" customFormat="false" ht="15.75" hidden="false" customHeight="true" outlineLevel="0" collapsed="false">
      <c r="A466" s="1693" t="s">
        <v>2018</v>
      </c>
      <c r="B466" s="1694"/>
      <c r="C466" s="1695"/>
      <c r="D466" s="1696" t="n">
        <f aca="false">F234</f>
        <v>1281.6</v>
      </c>
      <c r="E466" s="1697"/>
      <c r="F466" s="1698"/>
      <c r="G466" s="1700"/>
      <c r="H466" s="1502"/>
      <c r="I466" s="1502"/>
      <c r="J466" s="1504"/>
      <c r="K466" s="1504"/>
      <c r="L466" s="1504"/>
      <c r="M466" s="1504"/>
      <c r="N466" s="1504"/>
      <c r="O466" s="1504"/>
    </row>
    <row r="467" customFormat="false" ht="31.5" hidden="false" customHeight="true" outlineLevel="0" collapsed="false">
      <c r="A467" s="1701"/>
      <c r="B467" s="1702"/>
      <c r="C467" s="1703" t="s">
        <v>2019</v>
      </c>
      <c r="D467" s="1692" t="n">
        <f aca="false">SUM(D462:D466)</f>
        <v>14536.8</v>
      </c>
      <c r="E467" s="1697"/>
      <c r="F467" s="1698"/>
      <c r="G467" s="1700"/>
      <c r="H467" s="1502"/>
      <c r="I467" s="1502"/>
      <c r="J467" s="1504"/>
      <c r="K467" s="1504"/>
      <c r="L467" s="1504"/>
      <c r="M467" s="1504"/>
      <c r="N467" s="1504"/>
      <c r="O467" s="1504"/>
    </row>
    <row r="468" customFormat="false" ht="15.75" hidden="false" customHeight="true" outlineLevel="0" collapsed="false">
      <c r="A468" s="1701"/>
      <c r="B468" s="1702"/>
      <c r="C468" s="1704"/>
      <c r="D468" s="1705"/>
      <c r="E468" s="1702"/>
      <c r="F468" s="1702"/>
      <c r="G468" s="1697"/>
      <c r="H468" s="1697"/>
      <c r="I468" s="1700"/>
      <c r="J468" s="1502"/>
      <c r="K468" s="1502"/>
      <c r="L468" s="1504"/>
      <c r="M468" s="1504"/>
      <c r="N468" s="1504"/>
      <c r="O468" s="1504"/>
    </row>
    <row r="469" customFormat="false" ht="20.25" hidden="false" customHeight="true" outlineLevel="0" collapsed="false">
      <c r="A469" s="1512" t="s">
        <v>1122</v>
      </c>
      <c r="B469" s="1598"/>
      <c r="C469" s="1598"/>
      <c r="D469" s="1697"/>
      <c r="E469" s="1706"/>
      <c r="F469" s="1502"/>
      <c r="G469" s="1502"/>
      <c r="H469" s="1502"/>
      <c r="I469" s="1504"/>
      <c r="J469" s="1504"/>
      <c r="K469" s="1504"/>
      <c r="L469" s="1504"/>
      <c r="M469" s="1504"/>
      <c r="N469" s="1504"/>
      <c r="O469" s="1504"/>
    </row>
    <row r="470" customFormat="false" ht="15.75" hidden="false" customHeight="true" outlineLevel="0" collapsed="false">
      <c r="A470" s="1693" t="s">
        <v>2020</v>
      </c>
      <c r="B470" s="1707"/>
      <c r="C470" s="1708"/>
      <c r="D470" s="1709" t="n">
        <f aca="false">D272</f>
        <v>0</v>
      </c>
      <c r="E470" s="1697"/>
      <c r="F470" s="1710"/>
      <c r="G470" s="1711"/>
      <c r="H470" s="1502"/>
      <c r="I470" s="1502"/>
      <c r="J470" s="1504"/>
      <c r="K470" s="1504"/>
      <c r="L470" s="1504"/>
      <c r="M470" s="1504"/>
      <c r="N470" s="1504"/>
      <c r="O470" s="1504"/>
    </row>
    <row r="471" customFormat="false" ht="15.75" hidden="false" customHeight="true" outlineLevel="0" collapsed="false">
      <c r="A471" s="1693" t="s">
        <v>2021</v>
      </c>
      <c r="B471" s="1707"/>
      <c r="C471" s="1708"/>
      <c r="D471" s="1709" t="n">
        <f aca="false">D315</f>
        <v>6956.4</v>
      </c>
      <c r="E471" s="1697"/>
      <c r="F471" s="1710"/>
      <c r="G471" s="1711"/>
      <c r="H471" s="1502"/>
      <c r="I471" s="1502"/>
      <c r="J471" s="1504"/>
      <c r="K471" s="1504"/>
      <c r="L471" s="1504"/>
      <c r="M471" s="1504"/>
      <c r="N471" s="1504"/>
      <c r="O471" s="1504"/>
    </row>
    <row r="472" customFormat="false" ht="15.75" hidden="false" customHeight="true" outlineLevel="0" collapsed="false">
      <c r="A472" s="1693" t="s">
        <v>2022</v>
      </c>
      <c r="B472" s="1707"/>
      <c r="C472" s="1708"/>
      <c r="D472" s="1709" t="n">
        <f aca="false">D371</f>
        <v>0</v>
      </c>
      <c r="E472" s="1697"/>
      <c r="F472" s="1710"/>
      <c r="G472" s="1711"/>
      <c r="H472" s="1502"/>
      <c r="I472" s="1502"/>
      <c r="J472" s="1504"/>
      <c r="K472" s="1504"/>
      <c r="L472" s="1504"/>
      <c r="M472" s="1504"/>
      <c r="N472" s="1504"/>
      <c r="O472" s="1504"/>
    </row>
    <row r="473" customFormat="false" ht="15.75" hidden="false" customHeight="true" outlineLevel="0" collapsed="false">
      <c r="A473" s="1693" t="s">
        <v>2023</v>
      </c>
      <c r="B473" s="1707"/>
      <c r="C473" s="1708"/>
      <c r="D473" s="1709" t="n">
        <f aca="false">E396</f>
        <v>0</v>
      </c>
      <c r="E473" s="1697"/>
      <c r="F473" s="1710"/>
      <c r="G473" s="1711"/>
      <c r="H473" s="1502"/>
      <c r="I473" s="1502"/>
      <c r="J473" s="1504"/>
      <c r="K473" s="1504"/>
      <c r="L473" s="1504"/>
      <c r="M473" s="1504"/>
      <c r="N473" s="1504"/>
      <c r="O473" s="1504"/>
    </row>
    <row r="474" customFormat="false" ht="15.75" hidden="false" customHeight="true" outlineLevel="0" collapsed="false">
      <c r="A474" s="1693" t="s">
        <v>2024</v>
      </c>
      <c r="B474" s="1707"/>
      <c r="C474" s="1708"/>
      <c r="D474" s="1709" t="n">
        <f aca="false">F435</f>
        <v>2029.2</v>
      </c>
      <c r="E474" s="1697"/>
      <c r="F474" s="1710"/>
      <c r="G474" s="1711"/>
      <c r="H474" s="1502"/>
      <c r="I474" s="1502"/>
      <c r="J474" s="1504"/>
      <c r="K474" s="1504"/>
      <c r="L474" s="1504"/>
      <c r="M474" s="1504"/>
      <c r="N474" s="1504"/>
      <c r="O474" s="1504"/>
    </row>
    <row r="475" customFormat="false" ht="31.5" hidden="false" customHeight="true" outlineLevel="0" collapsed="false">
      <c r="A475" s="1502"/>
      <c r="B475" s="1502"/>
      <c r="C475" s="1703" t="s">
        <v>2025</v>
      </c>
      <c r="D475" s="1712" t="n">
        <f aca="false">SUM(D470:D474)</f>
        <v>8985.6</v>
      </c>
      <c r="E475" s="1697"/>
      <c r="F475" s="1502"/>
      <c r="G475" s="1502"/>
      <c r="H475" s="1502"/>
      <c r="I475" s="1502"/>
      <c r="J475" s="1504"/>
      <c r="K475" s="1504"/>
      <c r="L475" s="1504"/>
      <c r="M475" s="1504"/>
      <c r="N475" s="1504"/>
      <c r="O475" s="1504"/>
    </row>
    <row r="476" customFormat="false" ht="15.75" hidden="false" customHeight="true" outlineLevel="0" collapsed="false">
      <c r="A476" s="1502"/>
      <c r="B476" s="1502"/>
      <c r="C476" s="1704"/>
      <c r="D476" s="1713"/>
      <c r="E476" s="1697"/>
      <c r="F476" s="1502"/>
      <c r="G476" s="1502"/>
      <c r="H476" s="1502"/>
      <c r="I476" s="1502"/>
      <c r="J476" s="1504"/>
      <c r="K476" s="1504"/>
      <c r="L476" s="1504"/>
      <c r="M476" s="1504"/>
      <c r="N476" s="1504"/>
      <c r="O476" s="1504"/>
    </row>
    <row r="477" customFormat="false" ht="15.75" hidden="false" customHeight="true" outlineLevel="0" collapsed="false">
      <c r="A477" s="1504"/>
      <c r="B477" s="1714" t="s">
        <v>2026</v>
      </c>
      <c r="C477" s="1714"/>
      <c r="D477" s="1709" t="n">
        <f aca="false">D467-D475</f>
        <v>5551.2</v>
      </c>
      <c r="E477" s="1697"/>
      <c r="F477" s="1502"/>
      <c r="G477" s="1502"/>
      <c r="H477" s="1502"/>
      <c r="I477" s="1502"/>
      <c r="J477" s="1504"/>
      <c r="K477" s="1504"/>
      <c r="L477" s="1504"/>
      <c r="M477" s="1504"/>
      <c r="N477" s="1504"/>
      <c r="O477" s="1504"/>
    </row>
    <row r="478" customFormat="false" ht="15.75" hidden="false" customHeight="true" outlineLevel="0" collapsed="false">
      <c r="A478" s="1504"/>
      <c r="B478" s="1715" t="s">
        <v>2027</v>
      </c>
      <c r="C478" s="1715"/>
      <c r="D478" s="1709" t="n">
        <f aca="false">C442</f>
        <v>70</v>
      </c>
      <c r="E478" s="1697"/>
      <c r="F478" s="1502"/>
      <c r="G478" s="1502"/>
      <c r="H478" s="1502"/>
      <c r="I478" s="1502"/>
      <c r="J478" s="1504"/>
      <c r="K478" s="1504"/>
      <c r="L478" s="1504"/>
      <c r="M478" s="1504"/>
      <c r="N478" s="1504"/>
      <c r="O478" s="1504"/>
    </row>
    <row r="479" customFormat="false" ht="15.75" hidden="false" customHeight="true" outlineLevel="0" collapsed="false">
      <c r="A479" s="1502"/>
      <c r="B479" s="1715" t="s">
        <v>2028</v>
      </c>
      <c r="C479" s="1715"/>
      <c r="D479" s="1709" t="n">
        <f aca="false">E455</f>
        <v>1364.1303172738</v>
      </c>
      <c r="E479" s="1697"/>
      <c r="F479" s="1502"/>
      <c r="G479" s="1502"/>
      <c r="H479" s="1502"/>
      <c r="I479" s="1502"/>
      <c r="J479" s="1504"/>
      <c r="K479" s="1504"/>
      <c r="L479" s="1504"/>
      <c r="M479" s="1504"/>
      <c r="N479" s="1504"/>
      <c r="O479" s="1504"/>
    </row>
    <row r="480" customFormat="false" ht="15.75" hidden="false" customHeight="true" outlineLevel="0" collapsed="false">
      <c r="A480" s="1502"/>
      <c r="B480" s="1714" t="s">
        <v>2029</v>
      </c>
      <c r="C480" s="1714"/>
      <c r="D480" s="1709" t="n">
        <f aca="false">D477-D478-D479</f>
        <v>4117.06968272621</v>
      </c>
      <c r="E480" s="1697"/>
      <c r="F480" s="1662"/>
      <c r="G480" s="1502"/>
      <c r="H480" s="1502"/>
      <c r="I480" s="1502"/>
      <c r="J480" s="1504"/>
      <c r="K480" s="1504"/>
      <c r="L480" s="1504"/>
      <c r="M480" s="1504"/>
      <c r="N480" s="1504"/>
      <c r="O480" s="1504"/>
    </row>
    <row r="481" customFormat="false" ht="15.75" hidden="false" customHeight="true" outlineLevel="0" collapsed="false">
      <c r="A481" s="1502"/>
      <c r="B481" s="1704"/>
      <c r="C481" s="1716"/>
      <c r="D481" s="1717"/>
      <c r="E481" s="1718"/>
      <c r="F481" s="1502"/>
      <c r="G481" s="1502"/>
      <c r="H481" s="1502"/>
      <c r="I481" s="1502"/>
      <c r="J481" s="1504"/>
      <c r="K481" s="1504"/>
      <c r="L481" s="1504"/>
      <c r="M481" s="1504"/>
      <c r="N481" s="1504"/>
      <c r="O481" s="1504"/>
    </row>
    <row r="482" customFormat="false" ht="17.1" hidden="false" customHeight="true" outlineLevel="0" collapsed="false">
      <c r="A482" s="1502"/>
      <c r="B482" s="1502"/>
      <c r="C482" s="1502"/>
      <c r="D482" s="1719" t="s">
        <v>2030</v>
      </c>
      <c r="E482" s="1503"/>
      <c r="F482" s="1502"/>
      <c r="G482" s="1502"/>
      <c r="H482" s="1502"/>
      <c r="I482" s="1502"/>
      <c r="J482" s="1502"/>
      <c r="K482" s="1504"/>
      <c r="L482" s="1504"/>
      <c r="M482" s="1504"/>
      <c r="N482" s="1504"/>
    </row>
    <row r="483" customFormat="false" ht="48" hidden="false" customHeight="true" outlineLevel="0" collapsed="false">
      <c r="A483" s="1720" t="s">
        <v>2031</v>
      </c>
      <c r="B483" s="1721" t="s">
        <v>2032</v>
      </c>
      <c r="C483" s="1721"/>
      <c r="D483" s="1722" t="n">
        <f aca="false">IF(G462=0,"?",D480/$G462)</f>
        <v>53.4684374380027</v>
      </c>
      <c r="E483" s="1722"/>
      <c r="F483" s="1502"/>
      <c r="G483" s="1502"/>
      <c r="H483" s="1502"/>
      <c r="I483" s="1502"/>
      <c r="J483" s="1502"/>
      <c r="K483" s="1502"/>
      <c r="L483" s="1504"/>
      <c r="M483" s="1504"/>
      <c r="N483" s="1504"/>
      <c r="O483" s="1504"/>
    </row>
  </sheetData>
  <mergeCells count="46">
    <mergeCell ref="N2:O2"/>
    <mergeCell ref="B4:D4"/>
    <mergeCell ref="B5:D5"/>
    <mergeCell ref="B6:D6"/>
    <mergeCell ref="B7:D7"/>
    <mergeCell ref="B8:D8"/>
    <mergeCell ref="A10:I10"/>
    <mergeCell ref="D44:E44"/>
    <mergeCell ref="C46:D46"/>
    <mergeCell ref="A49:I49"/>
    <mergeCell ref="A54:A63"/>
    <mergeCell ref="A66:A70"/>
    <mergeCell ref="A71:A77"/>
    <mergeCell ref="A78:A81"/>
    <mergeCell ref="A82:A86"/>
    <mergeCell ref="A92:I92"/>
    <mergeCell ref="A94:I94"/>
    <mergeCell ref="A104:I104"/>
    <mergeCell ref="I108:I109"/>
    <mergeCell ref="J108:N108"/>
    <mergeCell ref="B126:C126"/>
    <mergeCell ref="B128:C128"/>
    <mergeCell ref="A132:I132"/>
    <mergeCell ref="A197:I197"/>
    <mergeCell ref="A237:I237"/>
    <mergeCell ref="A238:J238"/>
    <mergeCell ref="A276:I276"/>
    <mergeCell ref="A279:A280"/>
    <mergeCell ref="A319:I319"/>
    <mergeCell ref="F357:J357"/>
    <mergeCell ref="A374:I374"/>
    <mergeCell ref="A377:A378"/>
    <mergeCell ref="A386:A387"/>
    <mergeCell ref="B396:C396"/>
    <mergeCell ref="A399:I399"/>
    <mergeCell ref="A438:I438"/>
    <mergeCell ref="A445:I445"/>
    <mergeCell ref="A458:I458"/>
    <mergeCell ref="G461:H461"/>
    <mergeCell ref="G462:H462"/>
    <mergeCell ref="B477:C477"/>
    <mergeCell ref="B478:C478"/>
    <mergeCell ref="B479:C479"/>
    <mergeCell ref="B480:C480"/>
    <mergeCell ref="B483:C483"/>
    <mergeCell ref="D483:E483"/>
  </mergeCells>
  <hyperlinks>
    <hyperlink ref="C200" location="'Tables de conversion'!A549" display="kg accès réfèrences"/>
    <hyperlink ref="C402" location="'Tables de conversion'!A549" display="kg accès réfèrences"/>
  </hyperlinks>
  <printOptions headings="false" gridLines="false" gridLinesSet="true" horizontalCentered="false" verticalCentered="false"/>
  <pageMargins left="0.7875" right="0.7875" top="0.984027777777778" bottom="0.984722222222222" header="0.511805555555555" footer="0.492361111111111"/>
  <pageSetup paperSize="9" scale="100" firstPageNumber="0" fitToWidth="1" fitToHeight="15" pageOrder="downThenOver" orientation="portrait" blackAndWhite="false" draft="false" cellComments="none" useFirstPageNumber="false" horizontalDpi="300" verticalDpi="300" copies="1"/>
  <headerFooter differentFirst="false" differentOddEven="false">
    <oddHeader/>
    <oddFooter>&amp;Cwww.idea.portea.fr</oddFooter>
  </headerFooter>
  <drawing r:id="rId2"/>
  <legacyDrawing r:id="rId3"/>
</worksheet>
</file>

<file path=xl/worksheets/sheet7.xml><?xml version="1.0" encoding="utf-8"?>
<worksheet xmlns="http://schemas.openxmlformats.org/spreadsheetml/2006/main" xmlns:r="http://schemas.openxmlformats.org/officeDocument/2006/relationships">
  <sheetPr filterMode="false">
    <pageSetUpPr fitToPage="false"/>
  </sheetPr>
  <dimension ref="A1:Y9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19" activeCellId="0" sqref="I19"/>
    </sheetView>
  </sheetViews>
  <sheetFormatPr defaultRowHeight="12.75" zeroHeight="false" outlineLevelRow="0" outlineLevelCol="0"/>
  <cols>
    <col collapsed="false" customWidth="true" hidden="false" outlineLevel="0" max="1" min="1" style="0" width="24.68"/>
    <col collapsed="false" customWidth="true" hidden="false" outlineLevel="0" max="2" min="2" style="0" width="12.69"/>
    <col collapsed="false" customWidth="true" hidden="false" outlineLevel="0" max="3" min="3" style="0" width="13.28"/>
    <col collapsed="false" customWidth="true" hidden="false" outlineLevel="0" max="5" min="4" style="0" width="10.69"/>
    <col collapsed="false" customWidth="true" hidden="false" outlineLevel="0" max="6" min="6" style="0" width="23.68"/>
    <col collapsed="false" customWidth="true" hidden="false" outlineLevel="0" max="7" min="7" style="0" width="13.55"/>
    <col collapsed="false" customWidth="true" hidden="false" outlineLevel="0" max="8" min="8" style="0" width="16.97"/>
    <col collapsed="false" customWidth="true" hidden="false" outlineLevel="0" max="9" min="9" style="0" width="23.82"/>
    <col collapsed="false" customWidth="true" hidden="false" outlineLevel="0" max="10" min="10" style="0" width="11.4"/>
    <col collapsed="false" customWidth="true" hidden="false" outlineLevel="0" max="11" min="11" style="0" width="21.97"/>
    <col collapsed="false" customWidth="true" hidden="false" outlineLevel="0" max="12" min="12" style="0" width="10.69"/>
    <col collapsed="false" customWidth="true" hidden="false" outlineLevel="0" max="13" min="13" style="0" width="16.83"/>
    <col collapsed="false" customWidth="true" hidden="false" outlineLevel="0" max="14" min="14" style="0" width="12.56"/>
    <col collapsed="false" customWidth="true" hidden="false" outlineLevel="0" max="15" min="15" style="0" width="18.26"/>
    <col collapsed="false" customWidth="true" hidden="false" outlineLevel="0" max="1025" min="16" style="0" width="10.69"/>
  </cols>
  <sheetData>
    <row r="1" customFormat="false" ht="20.25" hidden="false" customHeight="true" outlineLevel="0" collapsed="false">
      <c r="A1" s="1723" t="s">
        <v>75</v>
      </c>
      <c r="B1" s="1724"/>
      <c r="C1" s="1725"/>
      <c r="D1" s="1725"/>
      <c r="E1" s="1725"/>
      <c r="F1" s="1725"/>
      <c r="G1" s="1725"/>
      <c r="H1" s="1726"/>
      <c r="I1" s="1727"/>
      <c r="J1" s="1728"/>
    </row>
    <row r="2" customFormat="false" ht="19.5" hidden="false" customHeight="true" outlineLevel="0" collapsed="false">
      <c r="A2" s="413" t="s">
        <v>969</v>
      </c>
    </row>
    <row r="3" customFormat="false" ht="19.5" hidden="false" customHeight="true" outlineLevel="0" collapsed="false">
      <c r="A3" s="413"/>
    </row>
    <row r="4" customFormat="false" ht="12.75" hidden="false" customHeight="true" outlineLevel="0" collapsed="false">
      <c r="A4" s="0" t="s">
        <v>2033</v>
      </c>
      <c r="I4" s="0" t="s">
        <v>2034</v>
      </c>
    </row>
    <row r="5" customFormat="false" ht="12.75" hidden="false" customHeight="true" outlineLevel="0" collapsed="false">
      <c r="A5" s="0" t="s">
        <v>2035</v>
      </c>
      <c r="I5" s="0" t="s">
        <v>2036</v>
      </c>
    </row>
    <row r="6" customFormat="false" ht="12.75" hidden="false" customHeight="true" outlineLevel="0" collapsed="false">
      <c r="A6" s="0" t="s">
        <v>2037</v>
      </c>
      <c r="I6" s="0" t="s">
        <v>2038</v>
      </c>
    </row>
    <row r="7" customFormat="false" ht="12.75" hidden="false" customHeight="true" outlineLevel="0" collapsed="false">
      <c r="A7" s="0" t="s">
        <v>2039</v>
      </c>
      <c r="I7" s="0" t="s">
        <v>2040</v>
      </c>
    </row>
    <row r="8" customFormat="false" ht="12.75" hidden="false" customHeight="true" outlineLevel="0" collapsed="false">
      <c r="A8" s="0" t="s">
        <v>2041</v>
      </c>
      <c r="I8" s="0" t="s">
        <v>2042</v>
      </c>
    </row>
    <row r="9" customFormat="false" ht="12.75" hidden="false" customHeight="true" outlineLevel="0" collapsed="false">
      <c r="A9" s="0" t="s">
        <v>2043</v>
      </c>
      <c r="I9" s="0" t="s">
        <v>2044</v>
      </c>
    </row>
    <row r="10" customFormat="false" ht="12.75" hidden="false" customHeight="true" outlineLevel="0" collapsed="false">
      <c r="A10" s="0" t="s">
        <v>2045</v>
      </c>
      <c r="I10" s="0" t="s">
        <v>2046</v>
      </c>
    </row>
    <row r="11" customFormat="false" ht="12.75" hidden="false" customHeight="true" outlineLevel="0" collapsed="false">
      <c r="A11" s="0" t="s">
        <v>2047</v>
      </c>
      <c r="I11" s="0" t="s">
        <v>2048</v>
      </c>
    </row>
    <row r="12" customFormat="false" ht="12.75" hidden="false" customHeight="true" outlineLevel="0" collapsed="false">
      <c r="A12" s="0" t="s">
        <v>2049</v>
      </c>
      <c r="I12" s="0" t="s">
        <v>2050</v>
      </c>
    </row>
    <row r="13" customFormat="false" ht="12.75" hidden="false" customHeight="true" outlineLevel="0" collapsed="false">
      <c r="A13" s="0" t="s">
        <v>2051</v>
      </c>
      <c r="I13" s="0" t="s">
        <v>2052</v>
      </c>
    </row>
    <row r="14" customFormat="false" ht="12.75" hidden="false" customHeight="true" outlineLevel="0" collapsed="false">
      <c r="A14" s="0" t="s">
        <v>2053</v>
      </c>
      <c r="I14" s="0" t="s">
        <v>2054</v>
      </c>
    </row>
    <row r="15" customFormat="false" ht="12.75" hidden="false" customHeight="true" outlineLevel="0" collapsed="false">
      <c r="A15" s="0" t="s">
        <v>2055</v>
      </c>
      <c r="I15" s="0" t="s">
        <v>2056</v>
      </c>
    </row>
    <row r="16" customFormat="false" ht="12.75" hidden="false" customHeight="true" outlineLevel="0" collapsed="false">
      <c r="A16" s="0" t="s">
        <v>2057</v>
      </c>
      <c r="I16" s="0" t="s">
        <v>2058</v>
      </c>
    </row>
    <row r="17" customFormat="false" ht="12.75" hidden="false" customHeight="true" outlineLevel="0" collapsed="false">
      <c r="A17" s="0" t="s">
        <v>2059</v>
      </c>
      <c r="I17" s="0" t="s">
        <v>2060</v>
      </c>
    </row>
    <row r="18" customFormat="false" ht="12.75" hidden="false" customHeight="true" outlineLevel="0" collapsed="false">
      <c r="A18" s="0" t="s">
        <v>2061</v>
      </c>
      <c r="I18" s="0" t="s">
        <v>2062</v>
      </c>
    </row>
    <row r="19" customFormat="false" ht="12.75" hidden="false" customHeight="true" outlineLevel="0" collapsed="false">
      <c r="A19" s="0" t="s">
        <v>2063</v>
      </c>
      <c r="I19" s="0" t="s">
        <v>976</v>
      </c>
    </row>
    <row r="20" customFormat="false" ht="12.75" hidden="false" customHeight="true" outlineLevel="0" collapsed="false">
      <c r="A20" s="0" t="s">
        <v>2064</v>
      </c>
      <c r="I20" s="0" t="s">
        <v>2065</v>
      </c>
    </row>
    <row r="21" customFormat="false" ht="12.75" hidden="false" customHeight="true" outlineLevel="0" collapsed="false">
      <c r="A21" s="0" t="s">
        <v>2066</v>
      </c>
    </row>
    <row r="22" customFormat="false" ht="12.75" hidden="false" customHeight="true" outlineLevel="0" collapsed="false">
      <c r="A22" s="0" t="s">
        <v>2067</v>
      </c>
    </row>
    <row r="23" customFormat="false" ht="12.75" hidden="false" customHeight="true" outlineLevel="0" collapsed="false">
      <c r="A23" s="0" t="s">
        <v>2068</v>
      </c>
    </row>
    <row r="24" customFormat="false" ht="12.75" hidden="false" customHeight="true" outlineLevel="0" collapsed="false">
      <c r="A24" s="0" t="s">
        <v>2069</v>
      </c>
      <c r="B24" s="1312"/>
    </row>
    <row r="25" customFormat="false" ht="12.75" hidden="false" customHeight="true" outlineLevel="0" collapsed="false">
      <c r="A25" s="0" t="s">
        <v>2070</v>
      </c>
      <c r="B25" s="1312"/>
    </row>
    <row r="26" customFormat="false" ht="12.75" hidden="false" customHeight="true" outlineLevel="0" collapsed="false">
      <c r="A26" s="0" t="s">
        <v>2071</v>
      </c>
    </row>
    <row r="27" customFormat="false" ht="12.75" hidden="false" customHeight="true" outlineLevel="0" collapsed="false">
      <c r="A27" s="0" t="s">
        <v>2072</v>
      </c>
    </row>
    <row r="28" customFormat="false" ht="12.75" hidden="false" customHeight="true" outlineLevel="0" collapsed="false">
      <c r="A28" s="0" t="s">
        <v>2073</v>
      </c>
    </row>
    <row r="29" customFormat="false" ht="12.75" hidden="false" customHeight="true" outlineLevel="0" collapsed="false">
      <c r="A29" s="0" t="s">
        <v>2074</v>
      </c>
    </row>
    <row r="30" customFormat="false" ht="12.75" hidden="false" customHeight="true" outlineLevel="0" collapsed="false">
      <c r="A30" s="0" t="s">
        <v>2075</v>
      </c>
    </row>
    <row r="31" customFormat="false" ht="12.75" hidden="false" customHeight="true" outlineLevel="0" collapsed="false">
      <c r="A31" s="0" t="s">
        <v>2076</v>
      </c>
    </row>
    <row r="32" customFormat="false" ht="12.75" hidden="false" customHeight="true" outlineLevel="0" collapsed="false">
      <c r="A32" s="0" t="s">
        <v>2077</v>
      </c>
    </row>
    <row r="33" customFormat="false" ht="12.75" hidden="false" customHeight="true" outlineLevel="0" collapsed="false">
      <c r="A33" s="0" t="s">
        <v>2078</v>
      </c>
    </row>
    <row r="34" customFormat="false" ht="12.75" hidden="false" customHeight="true" outlineLevel="0" collapsed="false">
      <c r="A34" s="0" t="s">
        <v>2079</v>
      </c>
    </row>
    <row r="35" customFormat="false" ht="12.75" hidden="false" customHeight="true" outlineLevel="0" collapsed="false">
      <c r="A35" s="0" t="s">
        <v>2080</v>
      </c>
    </row>
    <row r="36" customFormat="false" ht="12.75" hidden="false" customHeight="true" outlineLevel="0" collapsed="false">
      <c r="A36" s="0" t="s">
        <v>2081</v>
      </c>
    </row>
    <row r="37" customFormat="false" ht="12.75" hidden="false" customHeight="true" outlineLevel="0" collapsed="false">
      <c r="A37" s="0" t="s">
        <v>972</v>
      </c>
    </row>
    <row r="38" customFormat="false" ht="12.75" hidden="false" customHeight="true" outlineLevel="0" collapsed="false">
      <c r="A38" s="0" t="s">
        <v>2082</v>
      </c>
    </row>
    <row r="39" customFormat="false" ht="12.75" hidden="false" customHeight="true" outlineLevel="0" collapsed="false">
      <c r="A39" s="0" t="s">
        <v>2083</v>
      </c>
    </row>
    <row r="40" customFormat="false" ht="12.75" hidden="false" customHeight="true" outlineLevel="0" collapsed="false">
      <c r="A40" s="0" t="s">
        <v>2084</v>
      </c>
    </row>
    <row r="41" customFormat="false" ht="12.75" hidden="false" customHeight="true" outlineLevel="0" collapsed="false">
      <c r="A41" s="0" t="s">
        <v>2085</v>
      </c>
    </row>
    <row r="42" customFormat="false" ht="12.75" hidden="false" customHeight="true" outlineLevel="0" collapsed="false">
      <c r="A42" s="0" t="s">
        <v>2086</v>
      </c>
    </row>
    <row r="43" customFormat="false" ht="12.75" hidden="false" customHeight="true" outlineLevel="0" collapsed="false">
      <c r="A43" s="0" t="s">
        <v>2087</v>
      </c>
    </row>
    <row r="44" customFormat="false" ht="12.75" hidden="false" customHeight="true" outlineLevel="0" collapsed="false">
      <c r="A44" s="0" t="s">
        <v>2088</v>
      </c>
    </row>
    <row r="45" customFormat="false" ht="12.75" hidden="false" customHeight="true" outlineLevel="0" collapsed="false">
      <c r="A45" s="0" t="s">
        <v>2089</v>
      </c>
    </row>
    <row r="46" customFormat="false" ht="12.75" hidden="false" customHeight="true" outlineLevel="0" collapsed="false">
      <c r="A46" s="0" t="s">
        <v>2090</v>
      </c>
    </row>
    <row r="47" customFormat="false" ht="12.75" hidden="false" customHeight="true" outlineLevel="0" collapsed="false">
      <c r="A47" s="0" t="s">
        <v>2091</v>
      </c>
    </row>
    <row r="48" customFormat="false" ht="12.75" hidden="false" customHeight="true" outlineLevel="0" collapsed="false">
      <c r="A48" s="0" t="s">
        <v>2092</v>
      </c>
    </row>
    <row r="49" customFormat="false" ht="12.75" hidden="false" customHeight="true" outlineLevel="0" collapsed="false">
      <c r="A49" s="0" t="s">
        <v>2093</v>
      </c>
    </row>
    <row r="50" customFormat="false" ht="12.75" hidden="false" customHeight="true" outlineLevel="0" collapsed="false">
      <c r="A50" s="0" t="s">
        <v>2094</v>
      </c>
    </row>
    <row r="51" customFormat="false" ht="12.75" hidden="false" customHeight="true" outlineLevel="0" collapsed="false">
      <c r="A51" s="0" t="s">
        <v>2095</v>
      </c>
    </row>
    <row r="52" customFormat="false" ht="12.75" hidden="false" customHeight="true" outlineLevel="0" collapsed="false">
      <c r="A52" s="0" t="s">
        <v>2096</v>
      </c>
    </row>
    <row r="53" customFormat="false" ht="12.75" hidden="false" customHeight="true" outlineLevel="0" collapsed="false">
      <c r="A53" s="0" t="s">
        <v>2097</v>
      </c>
    </row>
    <row r="54" customFormat="false" ht="12.75" hidden="false" customHeight="true" outlineLevel="0" collapsed="false">
      <c r="A54" s="0" t="s">
        <v>2098</v>
      </c>
    </row>
    <row r="55" customFormat="false" ht="12.75" hidden="false" customHeight="true" outlineLevel="0" collapsed="false">
      <c r="A55" s="0" t="s">
        <v>2099</v>
      </c>
    </row>
    <row r="56" customFormat="false" ht="12.75" hidden="false" customHeight="true" outlineLevel="0" collapsed="false">
      <c r="A56" s="0" t="s">
        <v>2100</v>
      </c>
    </row>
    <row r="57" customFormat="false" ht="12.75" hidden="false" customHeight="true" outlineLevel="0" collapsed="false">
      <c r="A57" s="0" t="s">
        <v>2101</v>
      </c>
    </row>
    <row r="58" customFormat="false" ht="12.75" hidden="false" customHeight="true" outlineLevel="0" collapsed="false">
      <c r="A58" s="0" t="s">
        <v>2102</v>
      </c>
    </row>
    <row r="59" customFormat="false" ht="12.75" hidden="false" customHeight="true" outlineLevel="0" collapsed="false">
      <c r="A59" s="0" t="s">
        <v>2103</v>
      </c>
    </row>
    <row r="60" customFormat="false" ht="12.75" hidden="false" customHeight="true" outlineLevel="0" collapsed="false">
      <c r="A60" s="0" t="s">
        <v>2104</v>
      </c>
    </row>
    <row r="61" customFormat="false" ht="12.75" hidden="false" customHeight="true" outlineLevel="0" collapsed="false">
      <c r="A61" s="0" t="s">
        <v>2105</v>
      </c>
    </row>
    <row r="62" customFormat="false" ht="12.75" hidden="false" customHeight="true" outlineLevel="0" collapsed="false">
      <c r="A62" s="0" t="s">
        <v>2106</v>
      </c>
    </row>
    <row r="63" customFormat="false" ht="12.75" hidden="false" customHeight="true" outlineLevel="0" collapsed="false">
      <c r="A63" s="0" t="s">
        <v>2107</v>
      </c>
    </row>
    <row r="64" customFormat="false" ht="12.75" hidden="false" customHeight="true" outlineLevel="0" collapsed="false">
      <c r="A64" s="0" t="s">
        <v>2108</v>
      </c>
    </row>
    <row r="65" customFormat="false" ht="12.75" hidden="false" customHeight="true" outlineLevel="0" collapsed="false">
      <c r="A65" s="0" t="s">
        <v>2109</v>
      </c>
    </row>
    <row r="66" customFormat="false" ht="12.75" hidden="false" customHeight="true" outlineLevel="0" collapsed="false">
      <c r="A66" s="0" t="s">
        <v>2110</v>
      </c>
    </row>
    <row r="67" customFormat="false" ht="12.75" hidden="false" customHeight="true" outlineLevel="0" collapsed="false">
      <c r="A67" s="0" t="s">
        <v>2111</v>
      </c>
    </row>
    <row r="68" customFormat="false" ht="12.75" hidden="false" customHeight="true" outlineLevel="0" collapsed="false">
      <c r="A68" s="0" t="s">
        <v>2112</v>
      </c>
    </row>
    <row r="69" customFormat="false" ht="12.75" hidden="false" customHeight="true" outlineLevel="0" collapsed="false">
      <c r="A69" s="0" t="s">
        <v>2113</v>
      </c>
    </row>
    <row r="70" customFormat="false" ht="12.75" hidden="false" customHeight="true" outlineLevel="0" collapsed="false">
      <c r="A70" s="0" t="s">
        <v>2114</v>
      </c>
    </row>
    <row r="71" customFormat="false" ht="12.75" hidden="false" customHeight="true" outlineLevel="0" collapsed="false">
      <c r="A71" s="0" t="s">
        <v>2115</v>
      </c>
    </row>
    <row r="72" customFormat="false" ht="12.75" hidden="false" customHeight="true" outlineLevel="0" collapsed="false">
      <c r="A72" s="0" t="s">
        <v>2116</v>
      </c>
    </row>
    <row r="73" customFormat="false" ht="12.75" hidden="false" customHeight="true" outlineLevel="0" collapsed="false">
      <c r="A73" s="0" t="s">
        <v>2117</v>
      </c>
    </row>
    <row r="74" customFormat="false" ht="12.75" hidden="false" customHeight="true" outlineLevel="0" collapsed="false">
      <c r="A74" s="0" t="s">
        <v>2118</v>
      </c>
    </row>
    <row r="75" customFormat="false" ht="12.75" hidden="false" customHeight="true" outlineLevel="0" collapsed="false">
      <c r="A75" s="0" t="s">
        <v>2119</v>
      </c>
    </row>
    <row r="76" customFormat="false" ht="12.75" hidden="false" customHeight="true" outlineLevel="0" collapsed="false">
      <c r="A76" s="0" t="s">
        <v>2120</v>
      </c>
    </row>
    <row r="77" customFormat="false" ht="12.75" hidden="false" customHeight="true" outlineLevel="0" collapsed="false">
      <c r="A77" s="0" t="s">
        <v>2121</v>
      </c>
    </row>
    <row r="78" customFormat="false" ht="12.75" hidden="false" customHeight="true" outlineLevel="0" collapsed="false">
      <c r="A78" s="0" t="s">
        <v>2122</v>
      </c>
    </row>
    <row r="79" customFormat="false" ht="12.75" hidden="false" customHeight="true" outlineLevel="0" collapsed="false">
      <c r="A79" s="0" t="s">
        <v>2123</v>
      </c>
    </row>
    <row r="80" customFormat="false" ht="12.75" hidden="false" customHeight="true" outlineLevel="0" collapsed="false">
      <c r="A80" s="0" t="s">
        <v>2124</v>
      </c>
    </row>
    <row r="81" customFormat="false" ht="12.75" hidden="false" customHeight="true" outlineLevel="0" collapsed="false">
      <c r="A81" s="0" t="s">
        <v>2125</v>
      </c>
    </row>
    <row r="82" customFormat="false" ht="12.75" hidden="false" customHeight="true" outlineLevel="0" collapsed="false">
      <c r="A82" s="0" t="s">
        <v>2126</v>
      </c>
    </row>
    <row r="83" customFormat="false" ht="12.75" hidden="false" customHeight="true" outlineLevel="0" collapsed="false">
      <c r="A83" s="0" t="s">
        <v>2127</v>
      </c>
    </row>
    <row r="84" customFormat="false" ht="12.75" hidden="false" customHeight="true" outlineLevel="0" collapsed="false">
      <c r="A84" s="0" t="s">
        <v>2128</v>
      </c>
    </row>
    <row r="85" customFormat="false" ht="12.75" hidden="false" customHeight="true" outlineLevel="0" collapsed="false">
      <c r="A85" s="0" t="s">
        <v>2129</v>
      </c>
    </row>
    <row r="86" customFormat="false" ht="12.75" hidden="false" customHeight="true" outlineLevel="0" collapsed="false">
      <c r="A86" s="0" t="s">
        <v>2130</v>
      </c>
    </row>
    <row r="87" customFormat="false" ht="12.75" hidden="false" customHeight="true" outlineLevel="0" collapsed="false">
      <c r="A87" s="0" t="s">
        <v>2131</v>
      </c>
    </row>
    <row r="88" customFormat="false" ht="12.75" hidden="false" customHeight="true" outlineLevel="0" collapsed="false">
      <c r="A88" s="0" t="s">
        <v>2132</v>
      </c>
    </row>
    <row r="89" customFormat="false" ht="12.75" hidden="false" customHeight="true" outlineLevel="0" collapsed="false">
      <c r="A89" s="0" t="s">
        <v>2133</v>
      </c>
    </row>
    <row r="90" customFormat="false" ht="12.75" hidden="false" customHeight="true" outlineLevel="0" collapsed="false">
      <c r="A90" s="0" t="s">
        <v>2134</v>
      </c>
    </row>
    <row r="91" customFormat="false" ht="12.75" hidden="false" customHeight="true" outlineLevel="0" collapsed="false">
      <c r="A91" s="0" t="s">
        <v>2135</v>
      </c>
    </row>
    <row r="92" customFormat="false" ht="12.75" hidden="false" customHeight="true" outlineLevel="0" collapsed="false">
      <c r="A92" s="0" t="s">
        <v>2136</v>
      </c>
    </row>
    <row r="93" customFormat="false" ht="12.75" hidden="false" customHeight="true" outlineLevel="0" collapsed="false">
      <c r="A93" s="0" t="s">
        <v>2137</v>
      </c>
    </row>
    <row r="94" customFormat="false" ht="12.75" hidden="false" customHeight="true" outlineLevel="0" collapsed="false">
      <c r="A94" s="0" t="s">
        <v>2138</v>
      </c>
    </row>
    <row r="95" customFormat="false" ht="12.75" hidden="false" customHeight="true" outlineLevel="0" collapsed="false">
      <c r="A95" s="0" t="s">
        <v>2139</v>
      </c>
    </row>
    <row r="96" customFormat="false" ht="12.75" hidden="false" customHeight="true" outlineLevel="0" collapsed="false">
      <c r="A96" s="0" t="s">
        <v>2140</v>
      </c>
    </row>
    <row r="97" customFormat="false" ht="12.75" hidden="false" customHeight="true" outlineLevel="0" collapsed="false">
      <c r="A97" s="0" t="s">
        <v>2141</v>
      </c>
    </row>
    <row r="98" customFormat="false" ht="12.75" hidden="false" customHeight="true" outlineLevel="0" collapsed="false">
      <c r="A98" s="0" t="s">
        <v>2142</v>
      </c>
    </row>
    <row r="99" customFormat="false" ht="12.75" hidden="false" customHeight="true" outlineLevel="0" collapsed="false">
      <c r="A99" s="0" t="s">
        <v>2143</v>
      </c>
    </row>
    <row r="100" customFormat="false" ht="12.75" hidden="false" customHeight="true" outlineLevel="0" collapsed="false">
      <c r="A100" s="0" t="s">
        <v>2144</v>
      </c>
    </row>
    <row r="101" customFormat="false" ht="12.75" hidden="false" customHeight="true" outlineLevel="0" collapsed="false">
      <c r="A101" s="0" t="s">
        <v>2145</v>
      </c>
    </row>
    <row r="102" customFormat="false" ht="12.75" hidden="false" customHeight="true" outlineLevel="0" collapsed="false">
      <c r="A102" s="0" t="s">
        <v>2146</v>
      </c>
    </row>
    <row r="103" customFormat="false" ht="12.75" hidden="false" customHeight="true" outlineLevel="0" collapsed="false">
      <c r="A103" s="0" t="s">
        <v>2147</v>
      </c>
    </row>
    <row r="104" customFormat="false" ht="12.75" hidden="false" customHeight="true" outlineLevel="0" collapsed="false">
      <c r="A104" s="0" t="s">
        <v>2148</v>
      </c>
    </row>
    <row r="105" customFormat="false" ht="12.75" hidden="false" customHeight="true" outlineLevel="0" collapsed="false">
      <c r="A105" s="0" t="s">
        <v>2149</v>
      </c>
    </row>
    <row r="109" customFormat="false" ht="19.5" hidden="false" customHeight="true" outlineLevel="0" collapsed="false">
      <c r="A109" s="413" t="s">
        <v>994</v>
      </c>
    </row>
    <row r="110" customFormat="false" ht="15.75" hidden="false" customHeight="true" outlineLevel="0" collapsed="false">
      <c r="A110" s="0" t="s">
        <v>2150</v>
      </c>
      <c r="C110" s="1729" t="s">
        <v>2151</v>
      </c>
      <c r="G110" s="1730" t="s">
        <v>2152</v>
      </c>
    </row>
    <row r="111" customFormat="false" ht="13.5" hidden="false" customHeight="true" outlineLevel="0" collapsed="false">
      <c r="A111" s="1731"/>
      <c r="B111" s="1732" t="s">
        <v>2153</v>
      </c>
    </row>
    <row r="112" customFormat="false" ht="13.5" hidden="false" customHeight="true" outlineLevel="0" collapsed="false">
      <c r="A112" s="1733" t="s">
        <v>1841</v>
      </c>
      <c r="B112" s="1734"/>
      <c r="C112" s="1735"/>
    </row>
    <row r="113" customFormat="false" ht="13.5" hidden="false" customHeight="true" outlineLevel="0" collapsed="false">
      <c r="A113" s="1736" t="s">
        <v>1060</v>
      </c>
      <c r="B113" s="1737" t="s">
        <v>2154</v>
      </c>
    </row>
    <row r="114" customFormat="false" ht="13.5" hidden="false" customHeight="true" outlineLevel="0" collapsed="false">
      <c r="A114" s="1736" t="s">
        <v>2155</v>
      </c>
      <c r="B114" s="1737" t="s">
        <v>2156</v>
      </c>
      <c r="M114" s="0" t="s">
        <v>2157</v>
      </c>
    </row>
    <row r="115" customFormat="false" ht="13.5" hidden="false" customHeight="true" outlineLevel="0" collapsed="false">
      <c r="A115" s="1736" t="s">
        <v>7</v>
      </c>
      <c r="B115" s="1737" t="s">
        <v>2158</v>
      </c>
      <c r="C115" s="1735"/>
    </row>
    <row r="116" customFormat="false" ht="13.5" hidden="false" customHeight="true" outlineLevel="0" collapsed="false">
      <c r="A116" s="1736" t="s">
        <v>8</v>
      </c>
      <c r="B116" s="1737" t="s">
        <v>2159</v>
      </c>
    </row>
    <row r="117" customFormat="false" ht="13.5" hidden="false" customHeight="true" outlineLevel="0" collapsed="false">
      <c r="A117" s="1736" t="s">
        <v>9</v>
      </c>
      <c r="B117" s="1738" t="s">
        <v>2160</v>
      </c>
    </row>
    <row r="118" customFormat="false" ht="13.5" hidden="false" customHeight="true" outlineLevel="0" collapsed="false">
      <c r="A118" s="1736" t="s">
        <v>2161</v>
      </c>
      <c r="B118" s="1738" t="s">
        <v>2160</v>
      </c>
      <c r="C118" s="1735"/>
    </row>
    <row r="119" customFormat="false" ht="13.5" hidden="false" customHeight="true" outlineLevel="0" collapsed="false">
      <c r="A119" s="1736" t="s">
        <v>2162</v>
      </c>
      <c r="B119" s="1738" t="s">
        <v>2160</v>
      </c>
    </row>
    <row r="120" customFormat="false" ht="13.5" hidden="false" customHeight="true" outlineLevel="0" collapsed="false">
      <c r="A120" s="1736" t="s">
        <v>5</v>
      </c>
      <c r="B120" s="1738" t="s">
        <v>2163</v>
      </c>
    </row>
    <row r="121" customFormat="false" ht="13.5" hidden="false" customHeight="true" outlineLevel="0" collapsed="false">
      <c r="A121" s="1736" t="s">
        <v>11</v>
      </c>
      <c r="B121" s="1738" t="s">
        <v>2164</v>
      </c>
      <c r="C121" s="1735"/>
    </row>
    <row r="122" customFormat="false" ht="13.5" hidden="false" customHeight="true" outlineLevel="0" collapsed="false">
      <c r="A122" s="1736" t="s">
        <v>2165</v>
      </c>
      <c r="B122" s="1738" t="s">
        <v>2164</v>
      </c>
    </row>
    <row r="123" customFormat="false" ht="13.5" hidden="false" customHeight="true" outlineLevel="0" collapsed="false">
      <c r="A123" s="1736" t="s">
        <v>13</v>
      </c>
      <c r="B123" s="1738" t="s">
        <v>2164</v>
      </c>
    </row>
    <row r="124" customFormat="false" ht="13.5" hidden="false" customHeight="true" outlineLevel="0" collapsed="false">
      <c r="A124" s="1736" t="s">
        <v>14</v>
      </c>
      <c r="B124" s="1738" t="s">
        <v>2164</v>
      </c>
      <c r="C124" s="1735"/>
    </row>
    <row r="125" customFormat="false" ht="13.5" hidden="false" customHeight="true" outlineLevel="0" collapsed="false">
      <c r="A125" s="1733" t="s">
        <v>2166</v>
      </c>
      <c r="B125" s="1739"/>
    </row>
    <row r="126" customFormat="false" ht="13.5" hidden="false" customHeight="true" outlineLevel="0" collapsed="false">
      <c r="A126" s="1736" t="s">
        <v>2167</v>
      </c>
      <c r="B126" s="1739" t="s">
        <v>2168</v>
      </c>
    </row>
    <row r="127" customFormat="false" ht="13.5" hidden="false" customHeight="true" outlineLevel="0" collapsed="false">
      <c r="A127" s="1736" t="s">
        <v>2169</v>
      </c>
      <c r="B127" s="1739" t="n">
        <v>0.03</v>
      </c>
      <c r="C127" s="1735"/>
    </row>
    <row r="128" customFormat="false" ht="13.5" hidden="false" customHeight="true" outlineLevel="0" collapsed="false">
      <c r="A128" s="1736" t="s">
        <v>2170</v>
      </c>
      <c r="B128" s="1739" t="s">
        <v>2171</v>
      </c>
    </row>
    <row r="129" customFormat="false" ht="13.5" hidden="false" customHeight="true" outlineLevel="0" collapsed="false">
      <c r="A129" s="1736" t="s">
        <v>1973</v>
      </c>
      <c r="B129" s="1739" t="s">
        <v>2171</v>
      </c>
    </row>
    <row r="130" customFormat="false" ht="13.5" hidden="false" customHeight="true" outlineLevel="0" collapsed="false">
      <c r="A130" s="1736" t="s">
        <v>2172</v>
      </c>
      <c r="B130" s="1739" t="s">
        <v>2171</v>
      </c>
      <c r="C130" s="1735"/>
    </row>
    <row r="131" customFormat="false" ht="13.5" hidden="false" customHeight="true" outlineLevel="0" collapsed="false">
      <c r="A131" s="1733" t="s">
        <v>2173</v>
      </c>
      <c r="B131" s="1739"/>
    </row>
    <row r="132" customFormat="false" ht="13.5" hidden="false" customHeight="true" outlineLevel="0" collapsed="false">
      <c r="A132" s="1736" t="s">
        <v>2174</v>
      </c>
      <c r="B132" s="1739" t="s">
        <v>2171</v>
      </c>
    </row>
    <row r="133" customFormat="false" ht="13.5" hidden="false" customHeight="true" outlineLevel="0" collapsed="false">
      <c r="A133" s="1736" t="s">
        <v>2175</v>
      </c>
      <c r="B133" s="1739" t="n">
        <v>0</v>
      </c>
    </row>
    <row r="134" customFormat="false" ht="13.5" hidden="false" customHeight="true" outlineLevel="0" collapsed="false">
      <c r="A134" s="1736" t="s">
        <v>1974</v>
      </c>
      <c r="B134" s="1739" t="s">
        <v>2171</v>
      </c>
    </row>
    <row r="135" customFormat="false" ht="13.5" hidden="false" customHeight="true" outlineLevel="0" collapsed="false">
      <c r="A135" s="1736" t="s">
        <v>2176</v>
      </c>
      <c r="B135" s="1739" t="s">
        <v>2168</v>
      </c>
    </row>
    <row r="136" customFormat="false" ht="13.5" hidden="false" customHeight="true" outlineLevel="0" collapsed="false">
      <c r="A136" s="1733" t="s">
        <v>2177</v>
      </c>
      <c r="B136" s="1739"/>
    </row>
    <row r="137" customFormat="false" ht="13.5" hidden="false" customHeight="true" outlineLevel="0" collapsed="false">
      <c r="A137" s="1736" t="s">
        <v>2178</v>
      </c>
      <c r="B137" s="1739" t="s">
        <v>2160</v>
      </c>
    </row>
    <row r="138" customFormat="false" ht="13.5" hidden="false" customHeight="true" outlineLevel="0" collapsed="false">
      <c r="A138" s="1736" t="s">
        <v>2179</v>
      </c>
      <c r="B138" s="1739" t="s">
        <v>2180</v>
      </c>
    </row>
    <row r="139" customFormat="false" ht="13.5" hidden="false" customHeight="true" outlineLevel="0" collapsed="false">
      <c r="A139" s="1736" t="s">
        <v>2181</v>
      </c>
      <c r="B139" s="1739" t="s">
        <v>2182</v>
      </c>
    </row>
    <row r="140" customFormat="false" ht="13.5" hidden="false" customHeight="true" outlineLevel="0" collapsed="false">
      <c r="A140" s="1736" t="s">
        <v>2183</v>
      </c>
      <c r="B140" s="1739" t="s">
        <v>2160</v>
      </c>
      <c r="C140" s="1735"/>
    </row>
    <row r="141" customFormat="false" ht="13.5" hidden="false" customHeight="true" outlineLevel="0" collapsed="false">
      <c r="A141" s="1736" t="s">
        <v>2184</v>
      </c>
      <c r="B141" s="1739" t="s">
        <v>2160</v>
      </c>
    </row>
    <row r="142" customFormat="false" ht="13.5" hidden="false" customHeight="true" outlineLevel="0" collapsed="false">
      <c r="A142" s="1736" t="s">
        <v>2185</v>
      </c>
      <c r="B142" s="1739" t="s">
        <v>2180</v>
      </c>
    </row>
    <row r="143" customFormat="false" ht="13.5" hidden="false" customHeight="true" outlineLevel="0" collapsed="false">
      <c r="A143" s="1736" t="s">
        <v>2186</v>
      </c>
      <c r="B143" s="1739" t="s">
        <v>2187</v>
      </c>
    </row>
    <row r="144" customFormat="false" ht="13.5" hidden="false" customHeight="true" outlineLevel="0" collapsed="false">
      <c r="A144" s="1736" t="s">
        <v>2188</v>
      </c>
      <c r="B144" s="1739" t="s">
        <v>2164</v>
      </c>
      <c r="C144" s="1735"/>
    </row>
    <row r="145" customFormat="false" ht="13.5" hidden="false" customHeight="true" outlineLevel="0" collapsed="false">
      <c r="A145" s="1736" t="s">
        <v>2189</v>
      </c>
      <c r="B145" s="1739" t="s">
        <v>2182</v>
      </c>
    </row>
    <row r="146" customFormat="false" ht="13.5" hidden="false" customHeight="true" outlineLevel="0" collapsed="false">
      <c r="A146" s="1736" t="s">
        <v>2190</v>
      </c>
      <c r="B146" s="1739" t="s">
        <v>2160</v>
      </c>
    </row>
    <row r="147" customFormat="false" ht="13.5" hidden="false" customHeight="true" outlineLevel="0" collapsed="false">
      <c r="A147" s="1736" t="s">
        <v>2178</v>
      </c>
      <c r="B147" s="1739" t="s">
        <v>2160</v>
      </c>
      <c r="C147" s="1735"/>
    </row>
    <row r="148" customFormat="false" ht="12.75" hidden="false" customHeight="true" outlineLevel="0" collapsed="false">
      <c r="A148" s="1740"/>
      <c r="B148" s="1741"/>
      <c r="C148" s="1735"/>
    </row>
    <row r="149" customFormat="false" ht="12.75" hidden="false" customHeight="true" outlineLevel="0" collapsed="false">
      <c r="A149" s="1740"/>
      <c r="B149" s="1741"/>
      <c r="C149" s="1735"/>
    </row>
    <row r="150" customFormat="false" ht="12.75" hidden="false" customHeight="true" outlineLevel="0" collapsed="false">
      <c r="A150" s="1740"/>
      <c r="B150" s="1741"/>
      <c r="C150" s="1735"/>
    </row>
    <row r="151" customFormat="false" ht="19.5" hidden="false" customHeight="true" outlineLevel="0" collapsed="false">
      <c r="A151" s="413" t="s">
        <v>2191</v>
      </c>
      <c r="B151" s="1741"/>
      <c r="C151" s="1735"/>
    </row>
    <row r="152" customFormat="false" ht="12.75" hidden="false" customHeight="true" outlineLevel="0" collapsed="false">
      <c r="A152" s="1740"/>
      <c r="B152" s="1741"/>
      <c r="C152" s="1735"/>
    </row>
    <row r="153" customFormat="false" ht="15" hidden="false" customHeight="true" outlineLevel="0" collapsed="false">
      <c r="A153" s="1742" t="s">
        <v>2192</v>
      </c>
      <c r="D153" s="1735"/>
    </row>
    <row r="154" customFormat="false" ht="12.75" hidden="false" customHeight="true" outlineLevel="0" collapsed="false">
      <c r="A154" s="1743" t="s">
        <v>2193</v>
      </c>
      <c r="D154" s="1735"/>
    </row>
    <row r="155" customFormat="false" ht="12.75" hidden="false" customHeight="true" outlineLevel="0" collapsed="false">
      <c r="S155" s="982" t="s">
        <v>2194</v>
      </c>
      <c r="T155" s="982"/>
      <c r="U155" s="982"/>
      <c r="V155" s="982"/>
      <c r="W155" s="982"/>
      <c r="X155" s="982"/>
      <c r="Y155" s="982"/>
    </row>
    <row r="156" customFormat="false" ht="12.75" hidden="false" customHeight="true" outlineLevel="0" collapsed="false">
      <c r="S156" s="1329"/>
      <c r="V156" s="1735"/>
    </row>
    <row r="157" customFormat="false" ht="12.75" hidden="false" customHeight="true" outlineLevel="0" collapsed="false">
      <c r="S157" s="1329"/>
      <c r="T157" s="1568" t="s">
        <v>2195</v>
      </c>
      <c r="U157" s="1569" t="s">
        <v>2196</v>
      </c>
      <c r="V157" s="1569"/>
      <c r="W157" s="1569"/>
      <c r="X157" s="1569"/>
    </row>
    <row r="158" customFormat="false" ht="12.75" hidden="false" customHeight="true" outlineLevel="0" collapsed="false">
      <c r="S158" s="1329"/>
      <c r="T158" s="1568"/>
      <c r="U158" s="1744" t="n">
        <v>6</v>
      </c>
      <c r="V158" s="1744" t="n">
        <v>8</v>
      </c>
      <c r="W158" s="1744" t="n">
        <v>10</v>
      </c>
      <c r="X158" s="1744" t="n">
        <v>12</v>
      </c>
    </row>
    <row r="159" customFormat="false" ht="12.75" hidden="false" customHeight="true" outlineLevel="0" collapsed="false">
      <c r="S159" s="1329"/>
      <c r="T159" s="1745" t="n">
        <v>0.15</v>
      </c>
      <c r="U159" s="1746" t="n">
        <v>27</v>
      </c>
      <c r="V159" s="1746" t="n">
        <v>36</v>
      </c>
      <c r="W159" s="1746" t="n">
        <v>45</v>
      </c>
      <c r="X159" s="1746" t="n">
        <v>54</v>
      </c>
    </row>
    <row r="160" customFormat="false" ht="12.75" hidden="false" customHeight="true" outlineLevel="0" collapsed="false">
      <c r="S160" s="1329"/>
      <c r="T160" s="1745" t="n">
        <v>0.35</v>
      </c>
      <c r="U160" s="1746" t="n">
        <v>63</v>
      </c>
      <c r="V160" s="1746" t="n">
        <v>84</v>
      </c>
      <c r="W160" s="1746" t="n">
        <v>105</v>
      </c>
      <c r="X160" s="1746" t="n">
        <v>126</v>
      </c>
    </row>
    <row r="161" customFormat="false" ht="12.75" hidden="false" customHeight="true" outlineLevel="0" collapsed="false">
      <c r="S161" s="1329"/>
      <c r="T161" s="1745" t="n">
        <v>0.5</v>
      </c>
      <c r="U161" s="1746" t="n">
        <v>90</v>
      </c>
      <c r="V161" s="1746" t="n">
        <v>120</v>
      </c>
      <c r="W161" s="1746" t="n">
        <v>150</v>
      </c>
      <c r="X161" s="1746" t="n">
        <v>180</v>
      </c>
    </row>
    <row r="162" customFormat="false" ht="12.75" hidden="false" customHeight="true" outlineLevel="0" collapsed="false">
      <c r="S162" s="1329"/>
      <c r="V162" s="1735"/>
    </row>
    <row r="163" customFormat="false" ht="12.75" hidden="false" customHeight="true" outlineLevel="0" collapsed="false">
      <c r="S163" s="982" t="s">
        <v>2197</v>
      </c>
      <c r="T163" s="982"/>
      <c r="U163" s="982"/>
      <c r="V163" s="982"/>
      <c r="W163" s="982"/>
      <c r="X163" s="982"/>
      <c r="Y163" s="982"/>
    </row>
    <row r="164" customFormat="false" ht="12.75" hidden="false" customHeight="true" outlineLevel="0" collapsed="false">
      <c r="S164" s="1329"/>
      <c r="V164" s="1735"/>
    </row>
    <row r="165" customFormat="false" ht="12.75" hidden="false" customHeight="true" outlineLevel="0" collapsed="false">
      <c r="S165" s="1329"/>
      <c r="T165" s="1568" t="s">
        <v>1867</v>
      </c>
      <c r="U165" s="1569" t="s">
        <v>2198</v>
      </c>
      <c r="V165" s="1569"/>
      <c r="W165" s="1569"/>
      <c r="X165" s="1569"/>
      <c r="Y165" s="1569"/>
    </row>
    <row r="166" customFormat="false" ht="12.75" hidden="false" customHeight="true" outlineLevel="0" collapsed="false">
      <c r="S166" s="1329"/>
      <c r="T166" s="1568"/>
      <c r="U166" s="1744" t="n">
        <v>2</v>
      </c>
      <c r="V166" s="1744" t="n">
        <v>3</v>
      </c>
      <c r="W166" s="1744" t="n">
        <v>4</v>
      </c>
      <c r="X166" s="1744" t="n">
        <v>5</v>
      </c>
      <c r="Y166" s="1747" t="n">
        <v>6</v>
      </c>
    </row>
    <row r="167" customFormat="false" ht="12.75" hidden="false" customHeight="true" outlineLevel="0" collapsed="false">
      <c r="S167" s="1329"/>
      <c r="T167" s="1571" t="s">
        <v>1871</v>
      </c>
      <c r="U167" s="1746" t="n">
        <v>65</v>
      </c>
      <c r="V167" s="1746" t="n">
        <v>97.5</v>
      </c>
      <c r="W167" s="1746" t="n">
        <v>130</v>
      </c>
      <c r="X167" s="1746" t="n">
        <v>162.5</v>
      </c>
      <c r="Y167" s="1746" t="n">
        <v>195</v>
      </c>
    </row>
    <row r="168" customFormat="false" ht="12.75" hidden="false" customHeight="true" outlineLevel="0" collapsed="false">
      <c r="S168" s="1329"/>
      <c r="T168" s="1571" t="s">
        <v>1873</v>
      </c>
      <c r="U168" s="1746" t="n">
        <v>71</v>
      </c>
      <c r="V168" s="1746" t="n">
        <v>106.5</v>
      </c>
      <c r="W168" s="1746" t="n">
        <v>142</v>
      </c>
      <c r="X168" s="1746" t="n">
        <v>177.5</v>
      </c>
      <c r="Y168" s="1746" t="n">
        <v>213</v>
      </c>
    </row>
    <row r="169" customFormat="false" ht="12.75" hidden="false" customHeight="true" outlineLevel="0" collapsed="false">
      <c r="S169" s="1329"/>
      <c r="T169" s="1571" t="s">
        <v>1874</v>
      </c>
      <c r="U169" s="1746" t="n">
        <v>66</v>
      </c>
      <c r="V169" s="1746" t="n">
        <v>99</v>
      </c>
      <c r="W169" s="1746" t="n">
        <v>132</v>
      </c>
      <c r="X169" s="1746" t="n">
        <v>164.5</v>
      </c>
      <c r="Y169" s="1746" t="n">
        <v>198</v>
      </c>
    </row>
    <row r="170" customFormat="false" ht="12.75" hidden="false" customHeight="true" outlineLevel="0" collapsed="false">
      <c r="S170" s="1329"/>
      <c r="T170" s="1571" t="s">
        <v>1875</v>
      </c>
      <c r="U170" s="1746" t="n">
        <v>111</v>
      </c>
      <c r="V170" s="1746" t="n">
        <v>166.5</v>
      </c>
      <c r="W170" s="1746" t="n">
        <v>222</v>
      </c>
      <c r="X170" s="1746" t="n">
        <v>277.5</v>
      </c>
      <c r="Y170" s="1746" t="n">
        <v>333</v>
      </c>
    </row>
    <row r="171" customFormat="false" ht="12.75" hidden="false" customHeight="true" outlineLevel="0" collapsed="false">
      <c r="S171" s="1329"/>
      <c r="T171" s="1571" t="s">
        <v>1877</v>
      </c>
      <c r="U171" s="1746" t="n">
        <v>113</v>
      </c>
      <c r="V171" s="1746" t="n">
        <v>169.5</v>
      </c>
      <c r="W171" s="1746" t="n">
        <v>226</v>
      </c>
      <c r="X171" s="1746" t="n">
        <v>282</v>
      </c>
      <c r="Y171" s="1746" t="n">
        <v>339</v>
      </c>
    </row>
    <row r="172" customFormat="false" ht="12.75" hidden="false" customHeight="true" outlineLevel="0" collapsed="false">
      <c r="S172" s="1329"/>
      <c r="T172" s="1571" t="s">
        <v>1879</v>
      </c>
      <c r="U172" s="1746" t="n">
        <v>72</v>
      </c>
      <c r="V172" s="1746" t="n">
        <v>108</v>
      </c>
      <c r="W172" s="1746" t="n">
        <v>144</v>
      </c>
      <c r="X172" s="1746" t="n">
        <v>180</v>
      </c>
      <c r="Y172" s="1746" t="n">
        <v>216</v>
      </c>
    </row>
    <row r="173" customFormat="false" ht="12.75" hidden="false" customHeight="true" outlineLevel="0" collapsed="false">
      <c r="S173" s="1329"/>
      <c r="V173" s="1735"/>
    </row>
    <row r="174" customFormat="false" ht="19.5" hidden="false" customHeight="true" outlineLevel="0" collapsed="false">
      <c r="A174" s="413" t="s">
        <v>2199</v>
      </c>
      <c r="S174" s="982" t="s">
        <v>2200</v>
      </c>
      <c r="T174" s="982"/>
      <c r="U174" s="982"/>
      <c r="V174" s="982"/>
      <c r="W174" s="982"/>
      <c r="X174" s="982"/>
      <c r="Y174" s="982"/>
    </row>
    <row r="175" customFormat="false" ht="12.75" hidden="false" customHeight="true" outlineLevel="0" collapsed="false">
      <c r="S175" s="1329"/>
      <c r="V175" s="1735"/>
    </row>
    <row r="176" customFormat="false" ht="12.75" hidden="false" customHeight="true" outlineLevel="0" collapsed="false">
      <c r="A176" s="1748" t="s">
        <v>2201</v>
      </c>
      <c r="B176" s="1749" t="s">
        <v>2202</v>
      </c>
      <c r="C176" s="1749"/>
      <c r="D176" s="1749"/>
      <c r="E176" s="1749"/>
      <c r="F176" s="1749"/>
      <c r="G176" s="1749"/>
      <c r="H176" s="1749"/>
      <c r="S176" s="1329"/>
      <c r="T176" s="1568" t="s">
        <v>2203</v>
      </c>
      <c r="U176" s="1744" t="n">
        <v>6</v>
      </c>
      <c r="V176" s="1744" t="n">
        <v>8</v>
      </c>
      <c r="W176" s="1744" t="n">
        <v>10</v>
      </c>
      <c r="X176" s="1744" t="n">
        <v>12</v>
      </c>
    </row>
    <row r="177" customFormat="false" ht="12.75" hidden="false" customHeight="true" outlineLevel="0" collapsed="false">
      <c r="A177" s="1554" t="s">
        <v>2204</v>
      </c>
      <c r="B177" s="1750" t="s">
        <v>2205</v>
      </c>
      <c r="C177" s="1750"/>
      <c r="D177" s="1750"/>
      <c r="E177" s="1750"/>
      <c r="F177" s="1750"/>
      <c r="G177" s="1750"/>
      <c r="H177" s="1750"/>
      <c r="S177" s="1329"/>
      <c r="T177" s="1745" t="s">
        <v>2206</v>
      </c>
      <c r="U177" s="1746" t="n">
        <v>180</v>
      </c>
      <c r="V177" s="1746" t="n">
        <v>240</v>
      </c>
      <c r="W177" s="1746" t="n">
        <v>300</v>
      </c>
      <c r="X177" s="1746" t="n">
        <v>360</v>
      </c>
    </row>
    <row r="178" customFormat="false" ht="12.75" hidden="false" customHeight="true" outlineLevel="0" collapsed="false">
      <c r="A178" s="1554" t="s">
        <v>2207</v>
      </c>
      <c r="B178" s="1751" t="s">
        <v>2208</v>
      </c>
      <c r="C178" s="1751"/>
      <c r="D178" s="1751"/>
      <c r="E178" s="1751"/>
      <c r="F178" s="1751"/>
      <c r="G178" s="1751"/>
      <c r="H178" s="1751"/>
      <c r="S178" s="1329"/>
      <c r="T178" s="1752"/>
      <c r="U178" s="1753"/>
      <c r="V178" s="1753"/>
      <c r="W178" s="1753"/>
      <c r="X178" s="1753"/>
    </row>
    <row r="179" customFormat="false" ht="12.75" hidden="false" customHeight="true" outlineLevel="0" collapsed="false">
      <c r="S179" s="1329"/>
      <c r="T179" s="1752"/>
      <c r="U179" s="1753"/>
      <c r="V179" s="1753"/>
      <c r="W179" s="1753"/>
      <c r="X179" s="1753"/>
    </row>
    <row r="180" customFormat="false" ht="12.75" hidden="false" customHeight="true" outlineLevel="0" collapsed="false">
      <c r="S180" s="1329"/>
      <c r="T180" s="1752"/>
      <c r="U180" s="1753"/>
      <c r="V180" s="1753"/>
      <c r="W180" s="1753"/>
      <c r="X180" s="1753"/>
    </row>
    <row r="181" customFormat="false" ht="19.5" hidden="false" customHeight="true" outlineLevel="0" collapsed="false">
      <c r="A181" s="413" t="s">
        <v>2209</v>
      </c>
      <c r="S181" s="1329"/>
      <c r="T181" s="1752"/>
      <c r="U181" s="1753"/>
      <c r="V181" s="1753"/>
      <c r="W181" s="1753"/>
      <c r="X181" s="1753"/>
    </row>
    <row r="182" customFormat="false" ht="13.5" hidden="false" customHeight="true" outlineLevel="0" collapsed="false">
      <c r="S182" s="1329"/>
      <c r="T182" s="1752"/>
      <c r="U182" s="1753"/>
      <c r="V182" s="1753"/>
      <c r="W182" s="1753"/>
      <c r="X182" s="1753"/>
    </row>
    <row r="183" customFormat="false" ht="12.75" hidden="false" customHeight="true" outlineLevel="0" collapsed="false">
      <c r="A183" s="1754" t="s">
        <v>2210</v>
      </c>
      <c r="B183" s="1754" t="s">
        <v>28</v>
      </c>
      <c r="C183" s="1754" t="s">
        <v>2211</v>
      </c>
      <c r="D183" s="1754" t="s">
        <v>2212</v>
      </c>
      <c r="E183" s="1754"/>
      <c r="F183" s="1754" t="s">
        <v>2213</v>
      </c>
      <c r="G183" s="1754" t="s">
        <v>2214</v>
      </c>
      <c r="S183" s="1329"/>
      <c r="T183" s="1752"/>
      <c r="U183" s="1753"/>
      <c r="V183" s="1753"/>
      <c r="W183" s="1753"/>
      <c r="X183" s="1753"/>
    </row>
    <row r="184" customFormat="false" ht="13.5" hidden="false" customHeight="true" outlineLevel="0" collapsed="false">
      <c r="A184" s="1754"/>
      <c r="B184" s="1754"/>
      <c r="C184" s="1754"/>
      <c r="D184" s="1754"/>
      <c r="E184" s="1754"/>
      <c r="F184" s="1754"/>
      <c r="G184" s="1754"/>
      <c r="H184" s="0" t="n">
        <v>1</v>
      </c>
      <c r="I184" s="0" t="s">
        <v>2215</v>
      </c>
      <c r="S184" s="1329"/>
      <c r="T184" s="1752"/>
      <c r="U184" s="1753"/>
      <c r="V184" s="1753"/>
      <c r="W184" s="1753"/>
      <c r="X184" s="1753"/>
    </row>
    <row r="185" customFormat="false" ht="15" hidden="false" customHeight="true" outlineLevel="0" collapsed="false">
      <c r="A185" s="1755" t="s">
        <v>1408</v>
      </c>
      <c r="B185" s="1756"/>
      <c r="C185" s="1756"/>
      <c r="D185" s="1756"/>
      <c r="E185" s="1756"/>
      <c r="F185" s="1756"/>
      <c r="H185" s="0" t="n">
        <v>2</v>
      </c>
      <c r="I185" s="0" t="s">
        <v>2216</v>
      </c>
      <c r="J185" s="0" t="s">
        <v>2217</v>
      </c>
      <c r="S185" s="1329"/>
      <c r="T185" s="1752"/>
      <c r="U185" s="1753"/>
      <c r="V185" s="1753"/>
      <c r="W185" s="1753"/>
      <c r="X185" s="1753"/>
    </row>
    <row r="186" customFormat="false" ht="15" hidden="false" customHeight="true" outlineLevel="0" collapsed="false">
      <c r="A186" s="1757" t="s">
        <v>2218</v>
      </c>
      <c r="B186" s="1758" t="s">
        <v>546</v>
      </c>
      <c r="C186" s="1758" t="n">
        <v>10.4</v>
      </c>
      <c r="D186" s="1759"/>
      <c r="E186" s="1760"/>
      <c r="F186" s="1761" t="n">
        <v>4</v>
      </c>
      <c r="H186" s="0" t="n">
        <v>3</v>
      </c>
      <c r="I186" s="0" t="s">
        <v>2219</v>
      </c>
      <c r="J186" s="0" t="s">
        <v>2220</v>
      </c>
      <c r="S186" s="1329"/>
      <c r="T186" s="1752"/>
      <c r="U186" s="1753"/>
      <c r="V186" s="1753"/>
      <c r="W186" s="1753"/>
      <c r="X186" s="1753"/>
    </row>
    <row r="187" customFormat="false" ht="15" hidden="false" customHeight="true" outlineLevel="0" collapsed="false">
      <c r="A187" s="1757" t="s">
        <v>2221</v>
      </c>
      <c r="B187" s="1761" t="s">
        <v>183</v>
      </c>
      <c r="C187" s="1761" t="n">
        <v>45.6</v>
      </c>
      <c r="D187" s="1762" t="s">
        <v>2222</v>
      </c>
      <c r="E187" s="1762" t="n">
        <v>46</v>
      </c>
      <c r="F187" s="1763" t="n">
        <v>4</v>
      </c>
      <c r="H187" s="931" t="n">
        <v>4</v>
      </c>
      <c r="I187" s="0" t="s">
        <v>2223</v>
      </c>
      <c r="J187" s="0" t="s">
        <v>2224</v>
      </c>
      <c r="S187" s="1329"/>
      <c r="T187" s="1752"/>
      <c r="U187" s="1753"/>
      <c r="V187" s="1753"/>
      <c r="W187" s="1753"/>
      <c r="X187" s="1753"/>
    </row>
    <row r="188" customFormat="false" ht="15" hidden="false" customHeight="true" outlineLevel="0" collapsed="false">
      <c r="A188" s="48" t="s">
        <v>2225</v>
      </c>
      <c r="B188" s="1761" t="s">
        <v>183</v>
      </c>
      <c r="C188" s="1761" t="n">
        <v>45.7</v>
      </c>
      <c r="D188" s="1762"/>
      <c r="E188" s="1762"/>
      <c r="F188" s="1763"/>
      <c r="H188" s="931" t="n">
        <v>5</v>
      </c>
      <c r="I188" s="0" t="s">
        <v>2226</v>
      </c>
      <c r="S188" s="1329"/>
      <c r="T188" s="1752"/>
      <c r="U188" s="1753"/>
      <c r="V188" s="1753"/>
      <c r="W188" s="1753"/>
      <c r="X188" s="1753"/>
    </row>
    <row r="189" customFormat="false" ht="15" hidden="false" customHeight="true" outlineLevel="0" collapsed="false">
      <c r="A189" s="48" t="s">
        <v>2227</v>
      </c>
      <c r="B189" s="1761" t="s">
        <v>183</v>
      </c>
      <c r="C189" s="1761" t="n">
        <v>48</v>
      </c>
      <c r="D189" s="1762"/>
      <c r="E189" s="1762"/>
      <c r="F189" s="1763"/>
      <c r="S189" s="1329"/>
      <c r="T189" s="1752"/>
      <c r="U189" s="1753"/>
      <c r="V189" s="1753"/>
      <c r="W189" s="1753"/>
      <c r="X189" s="1753"/>
    </row>
    <row r="190" customFormat="false" ht="15" hidden="false" customHeight="true" outlineLevel="0" collapsed="false">
      <c r="A190" s="48" t="s">
        <v>549</v>
      </c>
      <c r="B190" s="1761" t="s">
        <v>183</v>
      </c>
      <c r="C190" s="1761"/>
      <c r="D190" s="1764"/>
      <c r="E190" s="1765"/>
      <c r="F190" s="1554"/>
      <c r="R190" s="1329"/>
      <c r="S190" s="1752"/>
      <c r="T190" s="1753"/>
      <c r="U190" s="1753"/>
      <c r="V190" s="1753"/>
      <c r="W190" s="1753"/>
    </row>
    <row r="191" customFormat="false" ht="15" hidden="false" customHeight="true" outlineLevel="0" collapsed="false">
      <c r="A191" s="1766" t="s">
        <v>2228</v>
      </c>
      <c r="B191" s="1761" t="s">
        <v>551</v>
      </c>
      <c r="C191" s="1761" t="n">
        <v>57.5</v>
      </c>
      <c r="D191" s="1597" t="s">
        <v>2229</v>
      </c>
      <c r="E191" s="1597" t="n">
        <v>56.6</v>
      </c>
      <c r="F191" s="1763" t="n">
        <v>4</v>
      </c>
      <c r="R191" s="1329"/>
      <c r="S191" s="1752"/>
      <c r="T191" s="1753"/>
      <c r="U191" s="1753"/>
      <c r="V191" s="1753"/>
      <c r="W191" s="1753"/>
    </row>
    <row r="192" customFormat="false" ht="15" hidden="false" customHeight="true" outlineLevel="0" collapsed="false">
      <c r="A192" s="1766" t="s">
        <v>2230</v>
      </c>
      <c r="B192" s="1761" t="s">
        <v>551</v>
      </c>
      <c r="C192" s="1761" t="n">
        <v>55.7</v>
      </c>
      <c r="D192" s="1597"/>
      <c r="E192" s="1597"/>
      <c r="F192" s="1763"/>
      <c r="R192" s="1329"/>
      <c r="S192" s="1752"/>
      <c r="T192" s="1753"/>
      <c r="U192" s="1753"/>
      <c r="V192" s="1753"/>
      <c r="W192" s="1753"/>
    </row>
    <row r="193" customFormat="false" ht="15" hidden="false" customHeight="true" outlineLevel="0" collapsed="false">
      <c r="A193" s="1766" t="s">
        <v>553</v>
      </c>
      <c r="B193" s="1761" t="s">
        <v>554</v>
      </c>
      <c r="C193" s="1761" t="n">
        <v>18</v>
      </c>
      <c r="D193" s="1767"/>
      <c r="E193" s="1768"/>
      <c r="F193" s="1746" t="n">
        <v>1</v>
      </c>
      <c r="G193" s="993"/>
      <c r="R193" s="1329"/>
      <c r="S193" s="1752"/>
      <c r="T193" s="1753"/>
      <c r="U193" s="1753"/>
      <c r="V193" s="1753"/>
      <c r="W193" s="1753"/>
    </row>
    <row r="194" customFormat="false" ht="15" hidden="false" customHeight="true" outlineLevel="0" collapsed="false">
      <c r="A194" s="1766" t="s">
        <v>558</v>
      </c>
      <c r="B194" s="1761" t="s">
        <v>551</v>
      </c>
      <c r="C194" s="1761" t="n">
        <v>18</v>
      </c>
      <c r="D194" s="1769"/>
      <c r="E194" s="1770"/>
      <c r="F194" s="1746" t="n">
        <v>3</v>
      </c>
      <c r="G194" s="993"/>
      <c r="R194" s="1329"/>
      <c r="S194" s="1752"/>
      <c r="T194" s="1753"/>
      <c r="U194" s="1753"/>
      <c r="V194" s="1753"/>
      <c r="W194" s="1753"/>
    </row>
    <row r="195" customFormat="false" ht="15" hidden="false" customHeight="true" outlineLevel="0" collapsed="false">
      <c r="A195" s="1766" t="s">
        <v>555</v>
      </c>
      <c r="B195" s="1761" t="s">
        <v>554</v>
      </c>
      <c r="C195" s="1761" t="n">
        <v>18</v>
      </c>
      <c r="D195" s="1769"/>
      <c r="E195" s="1770"/>
      <c r="F195" s="1746" t="n">
        <v>5</v>
      </c>
      <c r="G195" s="993"/>
      <c r="R195" s="1329"/>
      <c r="S195" s="1752"/>
      <c r="T195" s="1753"/>
      <c r="U195" s="1753"/>
      <c r="V195" s="1753"/>
      <c r="W195" s="1753"/>
    </row>
    <row r="196" customFormat="false" ht="15" hidden="false" customHeight="true" outlineLevel="0" collapsed="false">
      <c r="A196" s="1766" t="s">
        <v>2231</v>
      </c>
      <c r="B196" s="1761" t="s">
        <v>551</v>
      </c>
      <c r="C196" s="1761" t="n">
        <v>28</v>
      </c>
      <c r="D196" s="1769"/>
      <c r="E196" s="1770"/>
      <c r="F196" s="1746" t="n">
        <v>3</v>
      </c>
      <c r="R196" s="1329"/>
      <c r="S196" s="1752"/>
      <c r="T196" s="1753"/>
      <c r="U196" s="1753"/>
      <c r="V196" s="1753"/>
      <c r="W196" s="1753"/>
    </row>
    <row r="197" customFormat="false" ht="15" hidden="false" customHeight="true" outlineLevel="0" collapsed="false">
      <c r="A197" s="1766" t="s">
        <v>557</v>
      </c>
      <c r="B197" s="1761" t="s">
        <v>183</v>
      </c>
      <c r="C197" s="1761" t="n">
        <v>40.1</v>
      </c>
      <c r="D197" s="1769"/>
      <c r="E197" s="1770"/>
      <c r="F197" s="1746" t="n">
        <v>2</v>
      </c>
      <c r="G197" s="993"/>
      <c r="R197" s="1329"/>
      <c r="S197" s="1752"/>
      <c r="T197" s="1753"/>
      <c r="U197" s="1753"/>
      <c r="V197" s="1753"/>
      <c r="W197" s="1753"/>
    </row>
    <row r="198" customFormat="false" ht="12.75" hidden="false" customHeight="true" outlineLevel="0" collapsed="false">
      <c r="S198" s="1329"/>
      <c r="T198" s="1752"/>
      <c r="U198" s="1753"/>
      <c r="V198" s="1753"/>
      <c r="W198" s="1753"/>
      <c r="X198" s="1753"/>
    </row>
    <row r="199" customFormat="false" ht="15" hidden="false" customHeight="true" outlineLevel="0" collapsed="false">
      <c r="A199" s="1771" t="s">
        <v>1418</v>
      </c>
      <c r="S199" s="1329"/>
      <c r="T199" s="1752"/>
      <c r="U199" s="1753"/>
      <c r="V199" s="1753"/>
      <c r="W199" s="1753"/>
      <c r="X199" s="1753"/>
    </row>
    <row r="200" customFormat="false" ht="15" hidden="false" customHeight="true" outlineLevel="0" collapsed="false">
      <c r="A200" s="1772" t="s">
        <v>1422</v>
      </c>
      <c r="B200" s="1761" t="s">
        <v>2232</v>
      </c>
      <c r="C200" s="1761" t="n">
        <v>5728</v>
      </c>
      <c r="F200" s="1746" t="n">
        <v>2</v>
      </c>
      <c r="G200" s="993"/>
      <c r="R200" s="1329"/>
      <c r="S200" s="1752"/>
      <c r="T200" s="1753"/>
      <c r="U200" s="1753"/>
      <c r="V200" s="1753"/>
      <c r="W200" s="1753"/>
    </row>
    <row r="201" customFormat="false" ht="15" hidden="false" customHeight="true" outlineLevel="0" collapsed="false">
      <c r="A201" s="1772" t="s">
        <v>1424</v>
      </c>
      <c r="B201" s="1761" t="s">
        <v>2233</v>
      </c>
      <c r="C201" s="1761" t="n">
        <v>3439</v>
      </c>
      <c r="F201" s="1746"/>
      <c r="R201" s="1329"/>
      <c r="S201" s="1752"/>
      <c r="T201" s="1753"/>
      <c r="U201" s="1753"/>
      <c r="V201" s="1753"/>
      <c r="W201" s="1753"/>
    </row>
    <row r="202" customFormat="false" ht="15" hidden="false" customHeight="true" outlineLevel="0" collapsed="false">
      <c r="A202" s="1772" t="s">
        <v>2234</v>
      </c>
      <c r="B202" s="1761" t="s">
        <v>2233</v>
      </c>
      <c r="C202" s="1761" t="n">
        <v>4267</v>
      </c>
      <c r="F202" s="1746"/>
      <c r="R202" s="1329"/>
      <c r="S202" s="1752"/>
      <c r="T202" s="1753"/>
      <c r="U202" s="1753"/>
      <c r="V202" s="1753"/>
      <c r="W202" s="1753"/>
    </row>
    <row r="203" customFormat="false" ht="15" hidden="false" customHeight="true" outlineLevel="0" collapsed="false">
      <c r="A203" s="1772" t="s">
        <v>1426</v>
      </c>
      <c r="B203" s="1761" t="s">
        <v>2235</v>
      </c>
      <c r="C203" s="1761" t="n">
        <v>3128</v>
      </c>
      <c r="F203" s="1746"/>
      <c r="R203" s="1329"/>
      <c r="S203" s="1752"/>
      <c r="T203" s="1753"/>
      <c r="U203" s="1753"/>
      <c r="V203" s="1753"/>
      <c r="W203" s="1753"/>
    </row>
    <row r="204" customFormat="false" ht="15" hidden="false" customHeight="true" outlineLevel="0" collapsed="false">
      <c r="A204" s="1772" t="s">
        <v>1429</v>
      </c>
      <c r="B204" s="1761" t="s">
        <v>2233</v>
      </c>
      <c r="C204" s="1761" t="n">
        <v>3600</v>
      </c>
      <c r="F204" s="1746"/>
      <c r="R204" s="1329"/>
      <c r="S204" s="1752"/>
      <c r="T204" s="1753"/>
      <c r="U204" s="1753"/>
      <c r="V204" s="1753"/>
      <c r="W204" s="1753"/>
    </row>
    <row r="205" customFormat="false" ht="30" hidden="false" customHeight="true" outlineLevel="0" collapsed="false">
      <c r="A205" s="1773" t="s">
        <v>2236</v>
      </c>
      <c r="B205" s="1761" t="s">
        <v>2233</v>
      </c>
      <c r="C205" s="1761" t="n">
        <v>3307</v>
      </c>
      <c r="F205" s="1746" t="n">
        <v>2</v>
      </c>
      <c r="G205" s="0" t="s">
        <v>2237</v>
      </c>
      <c r="R205" s="1329"/>
      <c r="S205" s="1752"/>
      <c r="T205" s="1753"/>
      <c r="U205" s="1753"/>
      <c r="V205" s="1753"/>
      <c r="W205" s="1753"/>
    </row>
    <row r="206" customFormat="false" ht="15" hidden="false" customHeight="true" outlineLevel="0" collapsed="false">
      <c r="A206" s="1772" t="s">
        <v>1433</v>
      </c>
      <c r="B206" s="1761" t="s">
        <v>554</v>
      </c>
      <c r="C206" s="1761" t="n">
        <v>13200</v>
      </c>
      <c r="F206" s="1746"/>
      <c r="R206" s="1329"/>
      <c r="S206" s="1752"/>
      <c r="T206" s="1753"/>
      <c r="U206" s="1753"/>
      <c r="V206" s="1753"/>
      <c r="W206" s="1753"/>
    </row>
    <row r="207" customFormat="false" ht="15" hidden="false" customHeight="true" outlineLevel="0" collapsed="false">
      <c r="A207" s="1772" t="s">
        <v>2238</v>
      </c>
      <c r="B207" s="1761" t="s">
        <v>2239</v>
      </c>
      <c r="C207" s="1761" t="n">
        <v>52.6</v>
      </c>
      <c r="F207" s="1746" t="n">
        <v>2</v>
      </c>
      <c r="G207" s="993"/>
      <c r="R207" s="1329"/>
      <c r="S207" s="1752"/>
      <c r="T207" s="1753"/>
      <c r="U207" s="1753"/>
      <c r="V207" s="1753"/>
      <c r="W207" s="1753"/>
    </row>
    <row r="208" customFormat="false" ht="12.75" hidden="false" customHeight="true" outlineLevel="0" collapsed="false">
      <c r="S208" s="1329"/>
      <c r="T208" s="1752"/>
      <c r="U208" s="1753"/>
      <c r="V208" s="1753"/>
      <c r="W208" s="1753"/>
      <c r="X208" s="1753"/>
    </row>
    <row r="209" customFormat="false" ht="12.75" hidden="false" customHeight="true" outlineLevel="0" collapsed="false">
      <c r="S209" s="1329"/>
      <c r="T209" s="1752"/>
      <c r="U209" s="1753"/>
      <c r="V209" s="1753"/>
      <c r="W209" s="1753"/>
      <c r="X209" s="1753"/>
    </row>
    <row r="210" customFormat="false" ht="19.5" hidden="false" customHeight="true" outlineLevel="0" collapsed="false">
      <c r="A210" s="413" t="s">
        <v>2240</v>
      </c>
      <c r="S210" s="1329"/>
      <c r="T210" s="1752"/>
      <c r="U210" s="1753"/>
      <c r="V210" s="1753"/>
      <c r="W210" s="1753"/>
      <c r="X210" s="1753"/>
    </row>
    <row r="211" customFormat="false" ht="12.75" hidden="false" customHeight="true" outlineLevel="0" collapsed="false">
      <c r="S211" s="1740"/>
      <c r="T211" s="1741"/>
      <c r="U211" s="1735"/>
    </row>
    <row r="212" customFormat="false" ht="15.75" hidden="false" customHeight="true" outlineLevel="0" collapsed="false">
      <c r="A212" s="1742" t="s">
        <v>2241</v>
      </c>
      <c r="B212" s="1741"/>
      <c r="C212" s="1735"/>
    </row>
    <row r="213" customFormat="false" ht="16.5" hidden="false" customHeight="true" outlineLevel="0" collapsed="false">
      <c r="A213" s="1774"/>
      <c r="B213" s="1775" t="s">
        <v>2242</v>
      </c>
      <c r="C213" s="1775" t="s">
        <v>2243</v>
      </c>
    </row>
    <row r="214" customFormat="false" ht="16.5" hidden="false" customHeight="true" outlineLevel="0" collapsed="false">
      <c r="A214" s="1776" t="s">
        <v>1562</v>
      </c>
      <c r="B214" s="1777" t="n">
        <v>100</v>
      </c>
      <c r="C214" s="1777" t="n">
        <v>7000</v>
      </c>
    </row>
    <row r="215" customFormat="false" ht="16.5" hidden="false" customHeight="true" outlineLevel="0" collapsed="false">
      <c r="A215" s="1776" t="s">
        <v>2244</v>
      </c>
      <c r="B215" s="1777" t="n">
        <v>100</v>
      </c>
      <c r="C215" s="1777" t="n">
        <v>1200</v>
      </c>
    </row>
    <row r="216" customFormat="false" ht="16.5" hidden="false" customHeight="true" outlineLevel="0" collapsed="false">
      <c r="A216" s="1776" t="s">
        <v>2245</v>
      </c>
      <c r="B216" s="1777" t="n">
        <v>100</v>
      </c>
      <c r="C216" s="1777" t="n">
        <v>500</v>
      </c>
    </row>
    <row r="217" customFormat="false" ht="16.5" hidden="false" customHeight="true" outlineLevel="0" collapsed="false">
      <c r="A217" s="1776" t="s">
        <v>610</v>
      </c>
      <c r="B217" s="1777" t="s">
        <v>2246</v>
      </c>
      <c r="C217" s="1777" t="n">
        <v>10000</v>
      </c>
    </row>
    <row r="218" customFormat="false" ht="16.5" hidden="false" customHeight="true" outlineLevel="0" collapsed="false">
      <c r="A218" s="1778" t="s">
        <v>1564</v>
      </c>
      <c r="B218" s="1779" t="s">
        <v>2246</v>
      </c>
      <c r="C218" s="1779" t="n">
        <v>52880</v>
      </c>
    </row>
    <row r="219" customFormat="false" ht="16.5" hidden="false" customHeight="true" outlineLevel="0" collapsed="false">
      <c r="A219" s="1778" t="s">
        <v>608</v>
      </c>
      <c r="B219" s="1779" t="s">
        <v>2246</v>
      </c>
      <c r="C219" s="1779" t="n">
        <v>10000</v>
      </c>
    </row>
    <row r="220" customFormat="false" ht="16.5" hidden="false" customHeight="true" outlineLevel="0" collapsed="false">
      <c r="A220" s="1778" t="s">
        <v>2247</v>
      </c>
      <c r="B220" s="1779" t="n">
        <v>1</v>
      </c>
      <c r="C220" s="1779" t="n">
        <v>100</v>
      </c>
    </row>
    <row r="221" customFormat="false" ht="16.5" hidden="false" customHeight="true" outlineLevel="0" collapsed="false">
      <c r="A221" s="1778" t="s">
        <v>612</v>
      </c>
      <c r="B221" s="1779" t="n">
        <v>100</v>
      </c>
      <c r="C221" s="1779" t="n">
        <v>5680</v>
      </c>
    </row>
    <row r="222" customFormat="false" ht="12.75" hidden="false" customHeight="true" outlineLevel="0" collapsed="false">
      <c r="A222" s="1740"/>
      <c r="B222" s="1741"/>
      <c r="C222" s="1735"/>
    </row>
    <row r="223" customFormat="false" ht="12.75" hidden="false" customHeight="true" outlineLevel="0" collapsed="false">
      <c r="A223" s="1740"/>
      <c r="B223" s="1741"/>
      <c r="C223" s="1735"/>
    </row>
    <row r="224" customFormat="false" ht="15" hidden="false" customHeight="true" outlineLevel="0" collapsed="false">
      <c r="A224" s="1023" t="s">
        <v>2248</v>
      </c>
      <c r="C224" s="1735"/>
    </row>
    <row r="225" customFormat="false" ht="15.75" hidden="false" customHeight="true" outlineLevel="0" collapsed="false">
      <c r="A225" s="1023" t="s">
        <v>2249</v>
      </c>
      <c r="K225" s="1023" t="s">
        <v>2250</v>
      </c>
    </row>
    <row r="226" customFormat="false" ht="63.75" hidden="false" customHeight="true" outlineLevel="0" collapsed="false">
      <c r="B226" s="1754" t="s">
        <v>2210</v>
      </c>
      <c r="C226" s="1754" t="s">
        <v>28</v>
      </c>
      <c r="D226" s="1754" t="s">
        <v>2211</v>
      </c>
      <c r="F226" s="1780" t="s">
        <v>2251</v>
      </c>
      <c r="G226" s="1781" t="s">
        <v>2252</v>
      </c>
      <c r="H226" s="1781" t="s">
        <v>2253</v>
      </c>
      <c r="I226" s="1782" t="s">
        <v>2254</v>
      </c>
      <c r="K226" s="1783"/>
    </row>
    <row r="227" customFormat="false" ht="15.75" hidden="false" customHeight="true" outlineLevel="0" collapsed="false">
      <c r="B227" s="1754"/>
      <c r="C227" s="1754"/>
      <c r="D227" s="1754"/>
      <c r="F227" s="1784" t="s">
        <v>2255</v>
      </c>
      <c r="G227" s="1784" t="s">
        <v>2256</v>
      </c>
      <c r="H227" s="1784" t="s">
        <v>2257</v>
      </c>
      <c r="I227" s="1785" t="n">
        <v>42000</v>
      </c>
      <c r="K227" s="1786" t="s">
        <v>2258</v>
      </c>
    </row>
    <row r="228" customFormat="false" ht="39" hidden="false" customHeight="true" outlineLevel="0" collapsed="false">
      <c r="B228" s="1787" t="s">
        <v>2259</v>
      </c>
      <c r="C228" s="1788" t="s">
        <v>1043</v>
      </c>
      <c r="D228" s="1788" t="n">
        <v>45.6</v>
      </c>
      <c r="F228" s="1784" t="s">
        <v>2260</v>
      </c>
      <c r="G228" s="1784" t="s">
        <v>546</v>
      </c>
      <c r="H228" s="1784" t="s">
        <v>2257</v>
      </c>
      <c r="I228" s="1789" t="n">
        <v>3.6</v>
      </c>
      <c r="K228" s="1790"/>
      <c r="L228" s="1791" t="s">
        <v>2261</v>
      </c>
      <c r="M228" s="1791" t="s">
        <v>2262</v>
      </c>
    </row>
    <row r="229" customFormat="false" ht="39" hidden="false" customHeight="true" outlineLevel="0" collapsed="false">
      <c r="B229" s="1787" t="s">
        <v>2263</v>
      </c>
      <c r="C229" s="1788" t="s">
        <v>1043</v>
      </c>
      <c r="D229" s="1788" t="n">
        <v>45.7</v>
      </c>
      <c r="F229" s="1784" t="s">
        <v>2264</v>
      </c>
      <c r="G229" s="1784" t="s">
        <v>1415</v>
      </c>
      <c r="H229" s="1784" t="s">
        <v>2265</v>
      </c>
      <c r="I229" s="1789" t="n">
        <v>35.8</v>
      </c>
      <c r="K229" s="1792" t="s">
        <v>2266</v>
      </c>
      <c r="L229" s="1793" t="s">
        <v>2267</v>
      </c>
      <c r="M229" s="1793" t="s">
        <v>2268</v>
      </c>
    </row>
    <row r="230" customFormat="false" ht="26.25" hidden="false" customHeight="true" outlineLevel="0" collapsed="false">
      <c r="B230" s="1787" t="s">
        <v>2269</v>
      </c>
      <c r="C230" s="1788" t="s">
        <v>1043</v>
      </c>
      <c r="D230" s="1788" t="n">
        <v>48</v>
      </c>
      <c r="F230" s="1784" t="s">
        <v>2270</v>
      </c>
      <c r="G230" s="1784" t="s">
        <v>2271</v>
      </c>
      <c r="H230" s="1784" t="s">
        <v>2272</v>
      </c>
      <c r="I230" s="1789" t="n">
        <v>45.6</v>
      </c>
      <c r="K230" s="1792" t="s">
        <v>2273</v>
      </c>
      <c r="L230" s="1792" t="s">
        <v>2274</v>
      </c>
      <c r="M230" s="1792" t="s">
        <v>2274</v>
      </c>
    </row>
    <row r="231" customFormat="false" ht="13.5" hidden="false" customHeight="true" outlineLevel="0" collapsed="false">
      <c r="B231" s="1787" t="s">
        <v>2275</v>
      </c>
      <c r="C231" s="1788" t="s">
        <v>551</v>
      </c>
      <c r="D231" s="1788" t="n">
        <v>57.5</v>
      </c>
      <c r="F231" s="1784" t="s">
        <v>2276</v>
      </c>
      <c r="G231" s="1784" t="s">
        <v>1969</v>
      </c>
      <c r="H231" s="1784" t="s">
        <v>2277</v>
      </c>
      <c r="I231" s="1789" t="n">
        <v>35.5</v>
      </c>
      <c r="K231" s="1794" t="s">
        <v>2278</v>
      </c>
    </row>
    <row r="232" customFormat="false" ht="13.5" hidden="false" customHeight="true" outlineLevel="0" collapsed="false">
      <c r="B232" s="1787" t="s">
        <v>2279</v>
      </c>
      <c r="C232" s="1788" t="s">
        <v>551</v>
      </c>
      <c r="D232" s="1788" t="n">
        <v>55.7</v>
      </c>
      <c r="F232" s="1784" t="s">
        <v>2280</v>
      </c>
      <c r="G232" s="1784" t="s">
        <v>1969</v>
      </c>
      <c r="H232" s="1784" t="s">
        <v>2277</v>
      </c>
      <c r="I232" s="1789" t="n">
        <v>35.6</v>
      </c>
    </row>
    <row r="233" customFormat="false" ht="12.75" hidden="false" customHeight="true" outlineLevel="0" collapsed="false">
      <c r="B233" s="1754" t="s">
        <v>2281</v>
      </c>
      <c r="C233" s="1795" t="s">
        <v>546</v>
      </c>
      <c r="D233" s="1795" t="n">
        <v>10.4</v>
      </c>
      <c r="F233" s="1784" t="s">
        <v>2282</v>
      </c>
      <c r="G233" s="1784" t="s">
        <v>1969</v>
      </c>
      <c r="H233" s="1784" t="s">
        <v>2277</v>
      </c>
      <c r="I233" s="1789" t="n">
        <v>32.3</v>
      </c>
    </row>
    <row r="234" customFormat="false" ht="24.95" hidden="false" customHeight="true" outlineLevel="0" collapsed="false">
      <c r="B234" s="1754"/>
      <c r="C234" s="1795"/>
      <c r="D234" s="1795"/>
      <c r="F234" s="1784" t="s">
        <v>2283</v>
      </c>
      <c r="G234" s="1784" t="s">
        <v>1969</v>
      </c>
      <c r="H234" s="1784" t="s">
        <v>2277</v>
      </c>
      <c r="I234" s="1784"/>
    </row>
    <row r="235" customFormat="false" ht="24.75" hidden="false" customHeight="true" outlineLevel="0" collapsed="false">
      <c r="B235" s="1787" t="s">
        <v>2284</v>
      </c>
      <c r="C235" s="1788" t="s">
        <v>546</v>
      </c>
      <c r="D235" s="1788" t="n">
        <v>10.4</v>
      </c>
      <c r="F235" s="1784" t="s">
        <v>2285</v>
      </c>
      <c r="G235" s="1784" t="s">
        <v>551</v>
      </c>
      <c r="H235" s="1784" t="s">
        <v>2277</v>
      </c>
      <c r="I235" s="1789" t="n">
        <v>28</v>
      </c>
    </row>
    <row r="236" customFormat="false" ht="12.75" hidden="false" customHeight="true" outlineLevel="0" collapsed="false">
      <c r="B236" s="1796" t="s">
        <v>2286</v>
      </c>
      <c r="C236" s="1797"/>
      <c r="D236" s="0" t="s">
        <v>2287</v>
      </c>
      <c r="F236" s="1784" t="s">
        <v>2288</v>
      </c>
      <c r="G236" s="1784" t="s">
        <v>1969</v>
      </c>
      <c r="H236" s="1784" t="s">
        <v>2277</v>
      </c>
      <c r="I236" s="1784"/>
    </row>
    <row r="237" customFormat="false" ht="12.75" hidden="false" customHeight="true" outlineLevel="0" collapsed="false">
      <c r="B237" s="1798"/>
      <c r="C237" s="1799"/>
      <c r="F237" s="1784" t="s">
        <v>2289</v>
      </c>
      <c r="G237" s="1784" t="s">
        <v>2290</v>
      </c>
      <c r="H237" s="1784" t="s">
        <v>2277</v>
      </c>
      <c r="I237" s="1789" t="n">
        <v>35000</v>
      </c>
    </row>
    <row r="238" customFormat="false" ht="12.75" hidden="false" customHeight="true" outlineLevel="0" collapsed="false">
      <c r="B238" s="1798"/>
      <c r="C238" s="1799"/>
    </row>
    <row r="239" customFormat="false" ht="12.75" hidden="false" customHeight="true" outlineLevel="0" collapsed="false">
      <c r="B239" s="1798"/>
      <c r="C239" s="1799"/>
      <c r="F239" s="1800" t="s">
        <v>2291</v>
      </c>
      <c r="G239" s="1800" t="s">
        <v>2292</v>
      </c>
    </row>
    <row r="240" customFormat="false" ht="12.75" hidden="false" customHeight="true" outlineLevel="0" collapsed="false">
      <c r="B240" s="1801"/>
      <c r="C240" s="1801"/>
    </row>
    <row r="241" customFormat="false" ht="15" hidden="false" customHeight="true" outlineLevel="0" collapsed="false">
      <c r="A241" s="1023" t="s">
        <v>2293</v>
      </c>
      <c r="B241" s="0" t="s">
        <v>2294</v>
      </c>
      <c r="F241" s="1802"/>
      <c r="G241" s="1800"/>
      <c r="H241" s="1800"/>
      <c r="I241" s="1803"/>
    </row>
    <row r="242" customFormat="false" ht="15" hidden="false" customHeight="true" outlineLevel="0" collapsed="false">
      <c r="A242" s="1023"/>
      <c r="F242" s="1802"/>
      <c r="G242" s="1800"/>
      <c r="H242" s="1800"/>
      <c r="I242" s="1803"/>
    </row>
    <row r="243" customFormat="false" ht="12.75" hidden="false" customHeight="true" outlineLevel="0" collapsed="false">
      <c r="B243" s="1756" t="s">
        <v>2295</v>
      </c>
      <c r="C243" s="1804" t="s">
        <v>2295</v>
      </c>
      <c r="D243" s="0" t="s">
        <v>2295</v>
      </c>
      <c r="E243" s="0" t="s">
        <v>2296</v>
      </c>
    </row>
    <row r="244" customFormat="false" ht="25.5" hidden="false" customHeight="true" outlineLevel="0" collapsed="false">
      <c r="A244" s="1805" t="s">
        <v>416</v>
      </c>
      <c r="B244" s="1806" t="s">
        <v>406</v>
      </c>
      <c r="C244" s="1806" t="s">
        <v>407</v>
      </c>
      <c r="D244" s="1806" t="s">
        <v>408</v>
      </c>
      <c r="E244" s="1807" t="s">
        <v>2297</v>
      </c>
      <c r="H244" s="1554" t="s">
        <v>2298</v>
      </c>
      <c r="I244" s="1554" t="s">
        <v>2299</v>
      </c>
    </row>
    <row r="245" customFormat="false" ht="38.25" hidden="false" customHeight="true" outlineLevel="0" collapsed="false">
      <c r="A245" s="1808"/>
      <c r="B245" s="1809" t="s">
        <v>2300</v>
      </c>
      <c r="C245" s="1809" t="s">
        <v>2300</v>
      </c>
      <c r="D245" s="1809" t="s">
        <v>2300</v>
      </c>
      <c r="H245" s="1810" t="s">
        <v>2301</v>
      </c>
      <c r="I245" s="1763" t="n">
        <v>5.7</v>
      </c>
      <c r="J245" s="0" t="s">
        <v>2302</v>
      </c>
    </row>
    <row r="246" customFormat="false" ht="12.75" hidden="false" customHeight="true" outlineLevel="0" collapsed="false">
      <c r="A246" s="1811" t="s">
        <v>384</v>
      </c>
      <c r="B246" s="1812" t="n">
        <v>0</v>
      </c>
      <c r="C246" s="1812" t="n">
        <v>0</v>
      </c>
      <c r="D246" s="1812" t="n">
        <v>600</v>
      </c>
      <c r="H246" s="1763" t="s">
        <v>407</v>
      </c>
      <c r="I246" s="1763" t="n">
        <v>9.8</v>
      </c>
      <c r="J246" s="0" t="s">
        <v>2303</v>
      </c>
    </row>
    <row r="247" customFormat="false" ht="25.5" hidden="false" customHeight="true" outlineLevel="0" collapsed="false">
      <c r="A247" s="1811" t="s">
        <v>385</v>
      </c>
      <c r="B247" s="1812" t="n">
        <v>0</v>
      </c>
      <c r="C247" s="1812" t="n">
        <v>0</v>
      </c>
      <c r="D247" s="1812" t="n">
        <v>300</v>
      </c>
      <c r="H247" s="1810" t="s">
        <v>2304</v>
      </c>
      <c r="I247" s="1763" t="n">
        <v>7.3</v>
      </c>
      <c r="J247" s="0" t="s">
        <v>2305</v>
      </c>
    </row>
    <row r="248" customFormat="false" ht="25.5" hidden="false" customHeight="true" outlineLevel="0" collapsed="false">
      <c r="A248" s="1811" t="s">
        <v>386</v>
      </c>
      <c r="B248" s="1812" t="n">
        <v>0</v>
      </c>
      <c r="C248" s="1812" t="n">
        <v>0</v>
      </c>
      <c r="D248" s="1812" t="n">
        <v>500</v>
      </c>
      <c r="H248" s="1813" t="s">
        <v>2306</v>
      </c>
      <c r="I248" s="1763" t="n">
        <v>21</v>
      </c>
      <c r="J248" s="0" t="s">
        <v>2307</v>
      </c>
    </row>
    <row r="249" customFormat="false" ht="12.75" hidden="false" customHeight="true" outlineLevel="0" collapsed="false">
      <c r="A249" s="1811" t="s">
        <v>387</v>
      </c>
      <c r="B249" s="1812" t="n">
        <v>335</v>
      </c>
      <c r="C249" s="1812" t="n">
        <v>0</v>
      </c>
      <c r="D249" s="1812" t="n">
        <v>0</v>
      </c>
      <c r="H249" s="1814" t="s">
        <v>2308</v>
      </c>
    </row>
    <row r="250" customFormat="false" ht="12.75" hidden="false" customHeight="true" outlineLevel="0" collapsed="false">
      <c r="A250" s="1811" t="s">
        <v>388</v>
      </c>
      <c r="B250" s="1812" t="n">
        <v>200</v>
      </c>
      <c r="C250" s="1812" t="n">
        <v>0</v>
      </c>
      <c r="D250" s="1812" t="n">
        <v>0</v>
      </c>
    </row>
    <row r="251" customFormat="false" ht="12.75" hidden="false" customHeight="true" outlineLevel="0" collapsed="false">
      <c r="A251" s="1811" t="s">
        <v>389</v>
      </c>
      <c r="B251" s="1812" t="n">
        <v>155</v>
      </c>
      <c r="C251" s="1812" t="n">
        <v>0</v>
      </c>
      <c r="D251" s="1812" t="n">
        <v>0</v>
      </c>
    </row>
    <row r="252" customFormat="false" ht="25.5" hidden="false" customHeight="true" outlineLevel="0" collapsed="false">
      <c r="A252" s="1811" t="s">
        <v>390</v>
      </c>
      <c r="B252" s="1812" t="n">
        <v>150</v>
      </c>
      <c r="C252" s="1812" t="n">
        <v>0</v>
      </c>
      <c r="D252" s="1812" t="n">
        <v>0</v>
      </c>
    </row>
    <row r="253" customFormat="false" ht="12.75" hidden="false" customHeight="true" outlineLevel="0" collapsed="false">
      <c r="A253" s="1811" t="s">
        <v>391</v>
      </c>
      <c r="B253" s="1812" t="n">
        <v>160</v>
      </c>
      <c r="C253" s="1812" t="n">
        <v>0</v>
      </c>
      <c r="D253" s="1812" t="n">
        <v>0</v>
      </c>
    </row>
    <row r="254" customFormat="false" ht="12.75" hidden="false" customHeight="true" outlineLevel="0" collapsed="false">
      <c r="A254" s="1811" t="s">
        <v>392</v>
      </c>
      <c r="B254" s="1812" t="n">
        <v>100</v>
      </c>
      <c r="C254" s="1812" t="n">
        <v>0</v>
      </c>
      <c r="D254" s="1812" t="n">
        <v>0</v>
      </c>
    </row>
    <row r="255" customFormat="false" ht="12.75" hidden="false" customHeight="true" outlineLevel="0" collapsed="false">
      <c r="A255" s="1811" t="s">
        <v>393</v>
      </c>
      <c r="B255" s="1812" t="n">
        <v>210</v>
      </c>
      <c r="C255" s="1812" t="n">
        <v>0</v>
      </c>
      <c r="D255" s="1812" t="n">
        <v>0</v>
      </c>
    </row>
    <row r="256" customFormat="false" ht="12.75" hidden="false" customHeight="true" outlineLevel="0" collapsed="false">
      <c r="A256" s="1811" t="s">
        <v>394</v>
      </c>
      <c r="B256" s="1812" t="n">
        <v>260</v>
      </c>
      <c r="C256" s="1812" t="n">
        <v>0</v>
      </c>
      <c r="D256" s="1812" t="n">
        <v>0</v>
      </c>
    </row>
    <row r="257" customFormat="false" ht="12.75" hidden="false" customHeight="true" outlineLevel="0" collapsed="false">
      <c r="A257" s="1811" t="s">
        <v>395</v>
      </c>
      <c r="B257" s="1812" t="n">
        <v>460</v>
      </c>
      <c r="C257" s="1812" t="n">
        <v>0</v>
      </c>
      <c r="D257" s="1812" t="n">
        <v>0</v>
      </c>
    </row>
    <row r="258" customFormat="false" ht="12.75" hidden="false" customHeight="true" outlineLevel="0" collapsed="false">
      <c r="A258" s="1811" t="s">
        <v>396</v>
      </c>
      <c r="B258" s="1812" t="n">
        <v>130</v>
      </c>
      <c r="C258" s="1812" t="n">
        <v>0</v>
      </c>
      <c r="D258" s="1812" t="n">
        <v>440</v>
      </c>
    </row>
    <row r="259" customFormat="false" ht="25.5" hidden="false" customHeight="true" outlineLevel="0" collapsed="false">
      <c r="A259" s="1811" t="s">
        <v>397</v>
      </c>
      <c r="B259" s="1812" t="n">
        <v>170</v>
      </c>
      <c r="C259" s="1812" t="n">
        <v>170</v>
      </c>
      <c r="D259" s="1812" t="n">
        <v>0</v>
      </c>
    </row>
    <row r="260" customFormat="false" ht="12.75" hidden="false" customHeight="true" outlineLevel="0" collapsed="false">
      <c r="A260" s="1811" t="s">
        <v>398</v>
      </c>
      <c r="B260" s="1812" t="n">
        <v>110</v>
      </c>
      <c r="C260" s="1812" t="n">
        <v>60</v>
      </c>
      <c r="D260" s="1812" t="n">
        <v>20</v>
      </c>
    </row>
    <row r="261" customFormat="false" ht="12.75" hidden="false" customHeight="true" outlineLevel="0" collapsed="false">
      <c r="A261" s="1811" t="s">
        <v>399</v>
      </c>
      <c r="B261" s="1812" t="n">
        <v>100</v>
      </c>
      <c r="C261" s="1812" t="n">
        <v>10</v>
      </c>
      <c r="D261" s="1812" t="n">
        <v>50</v>
      </c>
    </row>
    <row r="262" customFormat="false" ht="12.75" hidden="false" customHeight="true" outlineLevel="0" collapsed="false">
      <c r="A262" s="1811" t="s">
        <v>400</v>
      </c>
      <c r="B262" s="1812" t="n">
        <v>5</v>
      </c>
      <c r="C262" s="1812" t="n">
        <v>4</v>
      </c>
      <c r="D262" s="1812" t="n">
        <v>4.5</v>
      </c>
    </row>
    <row r="263" customFormat="false" ht="25.5" hidden="false" customHeight="true" outlineLevel="0" collapsed="false">
      <c r="A263" s="1811" t="s">
        <v>401</v>
      </c>
      <c r="B263" s="1812" t="n">
        <v>140</v>
      </c>
      <c r="C263" s="1812" t="n">
        <v>80</v>
      </c>
      <c r="D263" s="1812" t="n">
        <v>200</v>
      </c>
    </row>
    <row r="264" customFormat="false" ht="12.75" hidden="false" customHeight="true" outlineLevel="0" collapsed="false">
      <c r="A264" s="1811" t="s">
        <v>402</v>
      </c>
      <c r="B264" s="1812" t="n">
        <v>100</v>
      </c>
      <c r="C264" s="1812" t="n">
        <v>40</v>
      </c>
      <c r="D264" s="1812" t="n">
        <v>20</v>
      </c>
    </row>
    <row r="265" customFormat="false" ht="12.75" hidden="false" customHeight="true" outlineLevel="0" collapsed="false">
      <c r="A265" s="1811" t="s">
        <v>403</v>
      </c>
      <c r="B265" s="1812" t="n">
        <v>0</v>
      </c>
      <c r="C265" s="1812" t="n">
        <v>180</v>
      </c>
      <c r="D265" s="1812" t="n">
        <v>0</v>
      </c>
    </row>
    <row r="266" customFormat="false" ht="12.75" hidden="false" customHeight="true" outlineLevel="0" collapsed="false">
      <c r="A266" s="1811" t="s">
        <v>404</v>
      </c>
      <c r="B266" s="1812" t="n">
        <v>0</v>
      </c>
      <c r="C266" s="1812" t="n">
        <v>180</v>
      </c>
      <c r="D266" s="1812" t="n">
        <v>0</v>
      </c>
    </row>
    <row r="267" customFormat="false" ht="12.75" hidden="false" customHeight="true" outlineLevel="0" collapsed="false">
      <c r="A267" s="1811" t="s">
        <v>405</v>
      </c>
      <c r="B267" s="1812" t="n">
        <v>0</v>
      </c>
      <c r="C267" s="1812" t="n">
        <v>450</v>
      </c>
      <c r="D267" s="1812" t="n">
        <v>0</v>
      </c>
    </row>
    <row r="268" customFormat="false" ht="12.75" hidden="false" customHeight="true" outlineLevel="0" collapsed="false">
      <c r="A268" s="1811" t="s">
        <v>409</v>
      </c>
      <c r="B268" s="1812" t="n">
        <v>0</v>
      </c>
      <c r="C268" s="1812" t="n">
        <v>150</v>
      </c>
      <c r="D268" s="1812" t="n">
        <v>250</v>
      </c>
    </row>
    <row r="269" customFormat="false" ht="12.75" hidden="false" customHeight="true" outlineLevel="0" collapsed="false">
      <c r="A269" s="1811" t="s">
        <v>411</v>
      </c>
      <c r="B269" s="1812" t="n">
        <v>9</v>
      </c>
      <c r="C269" s="1812" t="n">
        <v>0</v>
      </c>
      <c r="D269" s="1812" t="n">
        <v>0</v>
      </c>
    </row>
    <row r="270" customFormat="false" ht="12.75" hidden="false" customHeight="true" outlineLevel="0" collapsed="false">
      <c r="A270" s="1815" t="s">
        <v>1136</v>
      </c>
      <c r="B270" s="1812"/>
      <c r="C270" s="1812"/>
      <c r="D270" s="1812"/>
    </row>
    <row r="271" customFormat="false" ht="12.75" hidden="false" customHeight="true" outlineLevel="0" collapsed="false">
      <c r="A271" s="1815" t="s">
        <v>1136</v>
      </c>
      <c r="B271" s="1812"/>
      <c r="C271" s="1812"/>
      <c r="D271" s="1812"/>
      <c r="K271" s="1502"/>
    </row>
    <row r="272" customFormat="false" ht="12.75" hidden="false" customHeight="true" outlineLevel="0" collapsed="false">
      <c r="A272" s="982"/>
      <c r="B272" s="1529"/>
      <c r="C272" s="1529"/>
      <c r="D272" s="1529"/>
      <c r="K272" s="1502"/>
    </row>
    <row r="273" customFormat="false" ht="15" hidden="false" customHeight="true" outlineLevel="0" collapsed="false">
      <c r="A273" s="96" t="s">
        <v>2309</v>
      </c>
      <c r="B273" s="1816"/>
      <c r="C273" s="1816"/>
      <c r="D273" s="1816"/>
      <c r="E273" s="1023"/>
      <c r="F273" s="1023"/>
      <c r="G273" s="0" t="s">
        <v>2310</v>
      </c>
      <c r="K273" s="1502"/>
    </row>
    <row r="274" customFormat="false" ht="15" hidden="false" customHeight="true" outlineLevel="0" collapsed="false">
      <c r="A274" s="1817" t="s">
        <v>2311</v>
      </c>
      <c r="K274" s="1502"/>
    </row>
    <row r="275" customFormat="false" ht="12.75" hidden="false" customHeight="true" outlineLevel="0" collapsed="false">
      <c r="A275" s="1818"/>
    </row>
    <row r="276" customFormat="false" ht="12.75" hidden="false" customHeight="true" outlineLevel="0" collapsed="false">
      <c r="B276" s="1554" t="s">
        <v>2312</v>
      </c>
      <c r="C276" s="1554" t="s">
        <v>2313</v>
      </c>
      <c r="D276" s="0" t="s">
        <v>2314</v>
      </c>
    </row>
    <row r="277" customFormat="false" ht="15" hidden="false" customHeight="true" outlineLevel="0" collapsed="false">
      <c r="B277" s="1554" t="s">
        <v>2315</v>
      </c>
      <c r="C277" s="1554" t="n">
        <v>5580</v>
      </c>
      <c r="D277" s="1817" t="s">
        <v>2316</v>
      </c>
    </row>
    <row r="278" customFormat="false" ht="15" hidden="false" customHeight="true" outlineLevel="0" collapsed="false">
      <c r="B278" s="1554" t="s">
        <v>2317</v>
      </c>
      <c r="C278" s="1554" t="n">
        <v>5580</v>
      </c>
      <c r="D278" s="1817" t="s">
        <v>2318</v>
      </c>
    </row>
    <row r="279" customFormat="false" ht="15" hidden="false" customHeight="true" outlineLevel="0" collapsed="false">
      <c r="B279" s="1554" t="s">
        <v>2319</v>
      </c>
      <c r="C279" s="1554" t="n">
        <v>3600</v>
      </c>
      <c r="D279" s="1817" t="s">
        <v>2320</v>
      </c>
    </row>
    <row r="280" customFormat="false" ht="12.75" hidden="false" customHeight="true" outlineLevel="0" collapsed="false">
      <c r="B280" s="1554" t="s">
        <v>2321</v>
      </c>
      <c r="C280" s="1554" t="n">
        <v>13200</v>
      </c>
    </row>
    <row r="281" customFormat="false" ht="12.75" hidden="false" customHeight="true" outlineLevel="0" collapsed="false">
      <c r="B281" s="1554" t="s">
        <v>2322</v>
      </c>
      <c r="C281" s="1554" t="n">
        <v>7000</v>
      </c>
    </row>
    <row r="282" customFormat="false" ht="12.75" hidden="false" customHeight="true" outlineLevel="0" collapsed="false">
      <c r="B282" s="1814" t="s">
        <v>2323</v>
      </c>
      <c r="C282" s="1819"/>
      <c r="D282" s="1819"/>
    </row>
    <row r="284" customFormat="false" ht="15" hidden="false" customHeight="true" outlineLevel="0" collapsed="false">
      <c r="A284" s="1023" t="s">
        <v>2324</v>
      </c>
      <c r="G284" s="0" t="s">
        <v>2325</v>
      </c>
      <c r="H284" s="0" t="s">
        <v>2326</v>
      </c>
    </row>
    <row r="291" customFormat="false" ht="12.75" hidden="false" customHeight="true" outlineLevel="0" collapsed="false">
      <c r="B291" s="1802"/>
      <c r="C291" s="1800"/>
      <c r="D291" s="1800"/>
      <c r="E291" s="1803"/>
    </row>
    <row r="293" customFormat="false" ht="12.75" hidden="false" customHeight="true" outlineLevel="0" collapsed="false">
      <c r="A293" s="0" t="s">
        <v>2327</v>
      </c>
    </row>
    <row r="295" customFormat="false" ht="15" hidden="false" customHeight="true" outlineLevel="0" collapsed="false">
      <c r="A295" s="1023" t="s">
        <v>2328</v>
      </c>
      <c r="H295" s="0" t="s">
        <v>2329</v>
      </c>
    </row>
    <row r="297" customFormat="false" ht="12.75" hidden="false" customHeight="true" outlineLevel="0" collapsed="false">
      <c r="B297" s="1554" t="s">
        <v>1409</v>
      </c>
      <c r="C297" s="1554" t="s">
        <v>2330</v>
      </c>
    </row>
    <row r="298" customFormat="false" ht="12.75" hidden="false" customHeight="true" outlineLevel="0" collapsed="false">
      <c r="B298" s="1554" t="s">
        <v>2331</v>
      </c>
      <c r="C298" s="1554" t="n">
        <v>90</v>
      </c>
      <c r="D298" s="0" t="s">
        <v>2332</v>
      </c>
    </row>
    <row r="299" customFormat="false" ht="12.75" hidden="false" customHeight="true" outlineLevel="0" collapsed="false">
      <c r="B299" s="1554" t="s">
        <v>2333</v>
      </c>
      <c r="C299" s="1554" t="n">
        <v>3.3</v>
      </c>
      <c r="D299" s="0" t="s">
        <v>2334</v>
      </c>
    </row>
    <row r="300" customFormat="false" ht="12.75" hidden="false" customHeight="true" outlineLevel="0" collapsed="false">
      <c r="B300" s="1554" t="s">
        <v>2335</v>
      </c>
      <c r="C300" s="1554" t="n">
        <v>18</v>
      </c>
      <c r="D300" s="0" t="s">
        <v>2334</v>
      </c>
    </row>
    <row r="302" customFormat="false" ht="15" hidden="false" customHeight="true" outlineLevel="0" collapsed="false">
      <c r="A302" s="1023" t="s">
        <v>2336</v>
      </c>
      <c r="C302" s="0" t="s">
        <v>2337</v>
      </c>
    </row>
    <row r="304" customFormat="false" ht="12.75" hidden="false" customHeight="true" outlineLevel="0" collapsed="false">
      <c r="A304" s="1554" t="s">
        <v>1302</v>
      </c>
      <c r="B304" s="1554" t="s">
        <v>2338</v>
      </c>
    </row>
    <row r="305" customFormat="false" ht="12.75" hidden="false" customHeight="true" outlineLevel="0" collapsed="false">
      <c r="A305" s="1554" t="s">
        <v>1343</v>
      </c>
      <c r="B305" s="1554" t="n">
        <v>5</v>
      </c>
    </row>
    <row r="307" customFormat="false" ht="15.75" hidden="false" customHeight="true" outlineLevel="0" collapsed="false">
      <c r="A307" s="1023" t="s">
        <v>2339</v>
      </c>
    </row>
    <row r="308" customFormat="false" ht="16.5" hidden="false" customHeight="true" outlineLevel="0" collapsed="false">
      <c r="A308" s="1820" t="s">
        <v>2340</v>
      </c>
      <c r="G308" s="1821" t="s">
        <v>2341</v>
      </c>
      <c r="H308" s="1822" t="s">
        <v>2342</v>
      </c>
      <c r="I308" s="1823" t="s">
        <v>2343</v>
      </c>
    </row>
    <row r="309" customFormat="false" ht="16.5" hidden="false" customHeight="true" outlineLevel="0" collapsed="false">
      <c r="A309" s="1824"/>
      <c r="B309" s="1825" t="s">
        <v>2242</v>
      </c>
      <c r="C309" s="1825" t="s">
        <v>2243</v>
      </c>
      <c r="G309" s="1826" t="s">
        <v>1562</v>
      </c>
      <c r="H309" s="1827" t="s">
        <v>2344</v>
      </c>
      <c r="I309" s="1827" t="n">
        <v>600</v>
      </c>
    </row>
    <row r="310" customFormat="false" ht="16.5" hidden="false" customHeight="true" outlineLevel="0" collapsed="false">
      <c r="A310" s="3" t="s">
        <v>1562</v>
      </c>
      <c r="B310" s="6" t="n">
        <v>100</v>
      </c>
      <c r="C310" s="6" t="n">
        <v>7000</v>
      </c>
      <c r="G310" s="1826"/>
      <c r="H310" s="1828" t="s">
        <v>2345</v>
      </c>
      <c r="I310" s="1828" t="n">
        <v>2000</v>
      </c>
    </row>
    <row r="311" customFormat="false" ht="16.5" hidden="false" customHeight="true" outlineLevel="0" collapsed="false">
      <c r="A311" s="3" t="s">
        <v>2346</v>
      </c>
      <c r="B311" s="6" t="n">
        <v>100</v>
      </c>
      <c r="C311" s="6" t="n">
        <v>1200</v>
      </c>
      <c r="G311" s="1826"/>
      <c r="H311" s="1827" t="s">
        <v>2347</v>
      </c>
      <c r="I311" s="1827" t="n">
        <v>11000</v>
      </c>
    </row>
    <row r="312" customFormat="false" ht="16.5" hidden="false" customHeight="true" outlineLevel="0" collapsed="false">
      <c r="A312" s="3" t="s">
        <v>2348</v>
      </c>
      <c r="B312" s="6" t="n">
        <v>100</v>
      </c>
      <c r="C312" s="6" t="n">
        <v>500</v>
      </c>
      <c r="G312" s="1826"/>
      <c r="H312" s="1828" t="s">
        <v>2349</v>
      </c>
      <c r="I312" s="1828" t="n">
        <v>13000</v>
      </c>
    </row>
    <row r="313" customFormat="false" ht="16.5" hidden="false" customHeight="true" outlineLevel="0" collapsed="false">
      <c r="A313" s="3" t="s">
        <v>2350</v>
      </c>
      <c r="B313" s="6" t="n">
        <v>100</v>
      </c>
      <c r="C313" s="6" t="n">
        <v>10000</v>
      </c>
      <c r="G313" s="1829" t="s">
        <v>2351</v>
      </c>
      <c r="H313" s="1827" t="s">
        <v>2352</v>
      </c>
      <c r="I313" s="1827" t="n">
        <v>23000</v>
      </c>
    </row>
    <row r="314" customFormat="false" ht="16.5" hidden="false" customHeight="true" outlineLevel="0" collapsed="false">
      <c r="G314" s="1830" t="s">
        <v>2353</v>
      </c>
      <c r="H314" s="1828" t="s">
        <v>2354</v>
      </c>
      <c r="I314" s="1828" t="n">
        <v>145</v>
      </c>
    </row>
    <row r="315" customFormat="false" ht="16.5" hidden="false" customHeight="true" outlineLevel="0" collapsed="false">
      <c r="A315" s="1831"/>
      <c r="G315" s="1830"/>
      <c r="H315" s="1827" t="s">
        <v>2355</v>
      </c>
      <c r="I315" s="1827" t="n">
        <v>456</v>
      </c>
    </row>
    <row r="316" customFormat="false" ht="16.5" hidden="false" customHeight="true" outlineLevel="0" collapsed="false">
      <c r="A316" s="1831"/>
      <c r="G316" s="1830"/>
      <c r="H316" s="1828" t="s">
        <v>2356</v>
      </c>
      <c r="I316" s="1828" t="n">
        <v>931</v>
      </c>
    </row>
    <row r="317" customFormat="false" ht="16.5" hidden="false" customHeight="true" outlineLevel="0" collapsed="false">
      <c r="G317" s="1829" t="s">
        <v>2353</v>
      </c>
      <c r="H317" s="1827" t="s">
        <v>2357</v>
      </c>
      <c r="I317" s="1827"/>
    </row>
    <row r="318" customFormat="false" ht="16.5" hidden="false" customHeight="true" outlineLevel="0" collapsed="false">
      <c r="G318" s="1830" t="s">
        <v>2358</v>
      </c>
      <c r="H318" s="1828" t="s">
        <v>2359</v>
      </c>
      <c r="I318" s="1828" t="n">
        <v>23200</v>
      </c>
    </row>
    <row r="319" customFormat="false" ht="16.5" hidden="false" customHeight="true" outlineLevel="0" collapsed="false">
      <c r="G319" s="1830"/>
      <c r="H319" s="1827" t="s">
        <v>2360</v>
      </c>
      <c r="I319" s="1827" t="n">
        <v>23200</v>
      </c>
    </row>
    <row r="320" customFormat="false" ht="16.5" hidden="false" customHeight="true" outlineLevel="0" collapsed="false">
      <c r="G320" s="1830" t="s">
        <v>2361</v>
      </c>
      <c r="H320" s="1828" t="s">
        <v>2362</v>
      </c>
      <c r="I320" s="1828" t="n">
        <v>10000</v>
      </c>
    </row>
    <row r="321" customFormat="false" ht="16.5" hidden="false" customHeight="true" outlineLevel="0" collapsed="false">
      <c r="G321" s="1830"/>
      <c r="H321" s="1827" t="s">
        <v>2363</v>
      </c>
      <c r="I321" s="1827" t="n">
        <v>10000</v>
      </c>
    </row>
    <row r="322" customFormat="false" ht="16.5" hidden="false" customHeight="true" outlineLevel="0" collapsed="false">
      <c r="G322" s="1830" t="s">
        <v>2364</v>
      </c>
      <c r="H322" s="1828" t="s">
        <v>2365</v>
      </c>
      <c r="I322" s="1828" t="n">
        <v>10000</v>
      </c>
    </row>
    <row r="323" customFormat="false" ht="16.5" hidden="false" customHeight="true" outlineLevel="0" collapsed="false">
      <c r="G323" s="1830"/>
      <c r="H323" s="1827" t="s">
        <v>2366</v>
      </c>
      <c r="I323" s="1827" t="n">
        <v>1200</v>
      </c>
      <c r="K323" s="1832"/>
    </row>
    <row r="324" customFormat="false" ht="16.5" hidden="false" customHeight="true" outlineLevel="0" collapsed="false">
      <c r="G324" s="1830"/>
      <c r="H324" s="1828" t="s">
        <v>2367</v>
      </c>
      <c r="I324" s="1828" t="n">
        <v>10000</v>
      </c>
    </row>
    <row r="325" customFormat="false" ht="16.5" hidden="false" customHeight="true" outlineLevel="0" collapsed="false">
      <c r="G325" s="1830"/>
      <c r="H325" s="1827" t="s">
        <v>2368</v>
      </c>
      <c r="I325" s="1827" t="n">
        <v>10000</v>
      </c>
    </row>
    <row r="326" customFormat="false" ht="16.5" hidden="false" customHeight="true" outlineLevel="0" collapsed="false">
      <c r="G326" s="1830"/>
      <c r="H326" s="1828" t="s">
        <v>2369</v>
      </c>
      <c r="I326" s="1828" t="n">
        <v>10000</v>
      </c>
    </row>
    <row r="327" customFormat="false" ht="16.5" hidden="false" customHeight="true" outlineLevel="0" collapsed="false">
      <c r="G327" s="1830"/>
      <c r="H327" s="1827" t="s">
        <v>2370</v>
      </c>
      <c r="I327" s="1827" t="n">
        <v>100</v>
      </c>
    </row>
    <row r="328" customFormat="false" ht="16.5" hidden="false" customHeight="true" outlineLevel="0" collapsed="false">
      <c r="G328" s="1830"/>
      <c r="H328" s="1828" t="s">
        <v>2371</v>
      </c>
      <c r="I328" s="1828" t="n">
        <v>10</v>
      </c>
    </row>
    <row r="329" customFormat="false" ht="16.5" hidden="false" customHeight="true" outlineLevel="0" collapsed="false">
      <c r="G329" s="1830"/>
      <c r="H329" s="1827" t="s">
        <v>2372</v>
      </c>
      <c r="I329" s="1827" t="n">
        <v>10</v>
      </c>
    </row>
    <row r="330" customFormat="false" ht="16.5" hidden="false" customHeight="true" outlineLevel="0" collapsed="false">
      <c r="G330" s="1830"/>
      <c r="H330" s="1828" t="s">
        <v>2373</v>
      </c>
      <c r="I330" s="1828" t="n">
        <v>55600</v>
      </c>
    </row>
    <row r="331" customFormat="false" ht="16.5" hidden="false" customHeight="true" outlineLevel="0" collapsed="false">
      <c r="G331" s="1830"/>
      <c r="H331" s="1827" t="s">
        <v>2374</v>
      </c>
      <c r="I331" s="1827" t="n">
        <v>50160</v>
      </c>
    </row>
    <row r="332" customFormat="false" ht="16.5" hidden="false" customHeight="true" outlineLevel="0" collapsed="false">
      <c r="G332" s="1830"/>
      <c r="H332" s="1828" t="s">
        <v>2375</v>
      </c>
      <c r="I332" s="1828" t="n">
        <v>5680</v>
      </c>
    </row>
    <row r="333" customFormat="false" ht="12.75" hidden="false" customHeight="true" outlineLevel="0" collapsed="false">
      <c r="H333" s="0" t="s">
        <v>2376</v>
      </c>
    </row>
    <row r="336" customFormat="false" ht="15" hidden="false" customHeight="true" outlineLevel="0" collapsed="false">
      <c r="A336" s="1833" t="s">
        <v>2377</v>
      </c>
      <c r="D336" s="0" t="s">
        <v>2378</v>
      </c>
    </row>
    <row r="337" customFormat="false" ht="45.75" hidden="false" customHeight="true" outlineLevel="0" collapsed="false"/>
    <row r="338" customFormat="false" ht="15" hidden="false" customHeight="true" outlineLevel="0" collapsed="false">
      <c r="A338" s="1023" t="s">
        <v>2379</v>
      </c>
      <c r="D338" s="0" t="s">
        <v>2380</v>
      </c>
    </row>
    <row r="348" customFormat="false" ht="15.75" hidden="false" customHeight="true" outlineLevel="0" collapsed="false"/>
    <row r="361" customFormat="false" ht="45.75" hidden="false" customHeight="true" outlineLevel="0" collapsed="false"/>
    <row r="366" customFormat="false" ht="45.75" hidden="false" customHeight="true" outlineLevel="0" collapsed="false"/>
    <row r="384" customFormat="false" ht="15" hidden="false" customHeight="true" outlineLevel="0" collapsed="false">
      <c r="A384" s="1023" t="s">
        <v>2381</v>
      </c>
      <c r="C384" s="0" t="s">
        <v>2382</v>
      </c>
    </row>
    <row r="385" customFormat="false" ht="15" hidden="false" customHeight="true" outlineLevel="0" collapsed="false">
      <c r="A385" s="1023"/>
    </row>
    <row r="386" customFormat="false" ht="20.25" hidden="false" customHeight="true" outlineLevel="0" collapsed="false">
      <c r="A386" s="1834" t="s">
        <v>2383</v>
      </c>
      <c r="D386" s="1735"/>
    </row>
    <row r="387" customFormat="false" ht="12.75" hidden="false" customHeight="true" outlineLevel="0" collapsed="false">
      <c r="A387" s="1329"/>
      <c r="D387" s="1735"/>
    </row>
    <row r="388" customFormat="false" ht="18" hidden="false" customHeight="true" outlineLevel="0" collapsed="false">
      <c r="A388" s="1835" t="s">
        <v>2384</v>
      </c>
      <c r="D388" s="1735"/>
    </row>
    <row r="389" customFormat="false" ht="12.75" hidden="false" customHeight="true" outlineLevel="0" collapsed="false">
      <c r="A389" s="1329"/>
      <c r="D389" s="1735"/>
    </row>
    <row r="390" customFormat="false" ht="15" hidden="false" customHeight="true" outlineLevel="0" collapsed="false">
      <c r="A390" s="1742" t="s">
        <v>2385</v>
      </c>
      <c r="D390" s="1735"/>
    </row>
    <row r="391" customFormat="false" ht="12.75" hidden="false" customHeight="true" outlineLevel="0" collapsed="false">
      <c r="A391" s="1329"/>
      <c r="D391" s="1735"/>
    </row>
    <row r="392" customFormat="false" ht="12.75" hidden="false" customHeight="true" outlineLevel="0" collapsed="false">
      <c r="A392" s="1569" t="s">
        <v>1815</v>
      </c>
      <c r="B392" s="1568" t="s">
        <v>2386</v>
      </c>
      <c r="C392" s="1568"/>
      <c r="D392" s="1568" t="s">
        <v>1536</v>
      </c>
      <c r="E392" s="1568" t="s">
        <v>2387</v>
      </c>
      <c r="F392" s="1568"/>
      <c r="G392" s="1568"/>
    </row>
    <row r="393" customFormat="false" ht="15.75" hidden="false" customHeight="true" outlineLevel="0" collapsed="false">
      <c r="A393" s="1569"/>
      <c r="B393" s="1568"/>
      <c r="C393" s="1568"/>
      <c r="D393" s="1568"/>
      <c r="E393" s="1747" t="s">
        <v>406</v>
      </c>
      <c r="F393" s="1747" t="s">
        <v>2388</v>
      </c>
      <c r="G393" s="1747" t="s">
        <v>2389</v>
      </c>
    </row>
    <row r="394" customFormat="false" ht="12.75" hidden="false" customHeight="true" outlineLevel="0" collapsed="false">
      <c r="A394" s="1746" t="n">
        <v>1</v>
      </c>
      <c r="B394" s="1836" t="s">
        <v>2390</v>
      </c>
      <c r="C394" s="1837"/>
      <c r="D394" s="1763" t="s">
        <v>2391</v>
      </c>
      <c r="E394" s="1838" t="n">
        <v>0</v>
      </c>
      <c r="F394" s="1838" t="n">
        <v>6</v>
      </c>
      <c r="G394" s="1838" t="n">
        <v>12</v>
      </c>
    </row>
    <row r="395" customFormat="false" ht="12.75" hidden="false" customHeight="true" outlineLevel="0" collapsed="false">
      <c r="A395" s="1839" t="n">
        <v>2</v>
      </c>
      <c r="B395" s="1836" t="s">
        <v>2392</v>
      </c>
      <c r="C395" s="1837"/>
      <c r="D395" s="1763" t="s">
        <v>2391</v>
      </c>
      <c r="E395" s="1838" t="n">
        <v>0</v>
      </c>
      <c r="F395" s="1838" t="n">
        <v>14</v>
      </c>
      <c r="G395" s="1838" t="n">
        <v>42</v>
      </c>
    </row>
    <row r="396" customFormat="false" ht="12.75" hidden="false" customHeight="true" outlineLevel="0" collapsed="false">
      <c r="A396" s="1746" t="n">
        <v>3</v>
      </c>
      <c r="B396" s="1840" t="s">
        <v>2393</v>
      </c>
      <c r="C396" s="1841"/>
      <c r="D396" s="1763" t="s">
        <v>2391</v>
      </c>
      <c r="E396" s="1838" t="n">
        <v>0</v>
      </c>
      <c r="F396" s="1838" t="n">
        <v>18</v>
      </c>
      <c r="G396" s="1838" t="n">
        <v>18</v>
      </c>
    </row>
    <row r="397" customFormat="false" ht="12.75" hidden="false" customHeight="true" outlineLevel="0" collapsed="false">
      <c r="A397" s="1839" t="n">
        <v>4</v>
      </c>
      <c r="B397" s="1840" t="s">
        <v>2394</v>
      </c>
      <c r="C397" s="1841"/>
      <c r="D397" s="1763" t="s">
        <v>2391</v>
      </c>
      <c r="E397" s="1838" t="n">
        <v>0</v>
      </c>
      <c r="F397" s="1838" t="n">
        <v>25</v>
      </c>
      <c r="G397" s="1838" t="n">
        <v>25</v>
      </c>
    </row>
    <row r="398" customFormat="false" ht="12.75" hidden="false" customHeight="true" outlineLevel="0" collapsed="false">
      <c r="A398" s="1746" t="n">
        <v>5</v>
      </c>
      <c r="B398" s="1842" t="s">
        <v>2395</v>
      </c>
      <c r="C398" s="1843"/>
      <c r="D398" s="1763" t="s">
        <v>2391</v>
      </c>
      <c r="E398" s="1844" t="n">
        <v>3</v>
      </c>
      <c r="F398" s="1844" t="n">
        <v>4</v>
      </c>
      <c r="G398" s="1844" t="n">
        <v>12</v>
      </c>
    </row>
    <row r="399" customFormat="false" ht="12.75" hidden="false" customHeight="true" outlineLevel="0" collapsed="false">
      <c r="A399" s="1839" t="n">
        <v>6</v>
      </c>
      <c r="B399" s="1845" t="s">
        <v>2396</v>
      </c>
      <c r="C399" s="1841"/>
      <c r="D399" s="1763" t="s">
        <v>2391</v>
      </c>
      <c r="E399" s="1838" t="n">
        <v>3</v>
      </c>
      <c r="F399" s="1838" t="n">
        <v>8</v>
      </c>
      <c r="G399" s="1838" t="n">
        <v>14</v>
      </c>
    </row>
    <row r="400" customFormat="false" ht="12.75" hidden="false" customHeight="true" outlineLevel="0" collapsed="false">
      <c r="A400" s="1746" t="n">
        <v>7</v>
      </c>
      <c r="B400" s="1845" t="s">
        <v>2397</v>
      </c>
      <c r="C400" s="1841"/>
      <c r="D400" s="1763" t="s">
        <v>2391</v>
      </c>
      <c r="E400" s="1838" t="n">
        <v>4</v>
      </c>
      <c r="F400" s="1838" t="n">
        <v>4</v>
      </c>
      <c r="G400" s="1838" t="n">
        <v>15</v>
      </c>
    </row>
    <row r="401" customFormat="false" ht="12.75" hidden="false" customHeight="true" outlineLevel="0" collapsed="false">
      <c r="A401" s="1839" t="n">
        <v>8</v>
      </c>
      <c r="B401" s="1845" t="s">
        <v>2398</v>
      </c>
      <c r="C401" s="1841"/>
      <c r="D401" s="1763" t="s">
        <v>2391</v>
      </c>
      <c r="E401" s="1838" t="n">
        <v>4</v>
      </c>
      <c r="F401" s="1838" t="n">
        <v>5</v>
      </c>
      <c r="G401" s="1838" t="n">
        <v>16</v>
      </c>
    </row>
    <row r="402" customFormat="false" ht="12.75" hidden="false" customHeight="true" outlineLevel="0" collapsed="false">
      <c r="A402" s="1746" t="n">
        <v>9</v>
      </c>
      <c r="B402" s="1846" t="s">
        <v>2399</v>
      </c>
      <c r="C402" s="1837"/>
      <c r="D402" s="1763" t="s">
        <v>2391</v>
      </c>
      <c r="E402" s="1838" t="n">
        <v>4</v>
      </c>
      <c r="F402" s="1838" t="n">
        <v>7</v>
      </c>
      <c r="G402" s="1838" t="n">
        <v>16</v>
      </c>
    </row>
    <row r="403" customFormat="false" ht="12.75" hidden="false" customHeight="true" outlineLevel="0" collapsed="false">
      <c r="A403" s="1839" t="n">
        <v>10</v>
      </c>
      <c r="B403" s="1840" t="s">
        <v>2400</v>
      </c>
      <c r="C403" s="1841"/>
      <c r="D403" s="1763" t="s">
        <v>2391</v>
      </c>
      <c r="E403" s="1838" t="n">
        <v>4</v>
      </c>
      <c r="F403" s="1838" t="n">
        <v>20</v>
      </c>
      <c r="G403" s="1838" t="n">
        <v>20</v>
      </c>
    </row>
    <row r="404" customFormat="false" ht="12.75" hidden="false" customHeight="true" outlineLevel="0" collapsed="false">
      <c r="A404" s="1746" t="n">
        <v>11</v>
      </c>
      <c r="B404" s="1845" t="s">
        <v>2401</v>
      </c>
      <c r="C404" s="1841"/>
      <c r="D404" s="1763" t="s">
        <v>2391</v>
      </c>
      <c r="E404" s="1838" t="n">
        <v>5</v>
      </c>
      <c r="F404" s="1838" t="n">
        <v>8</v>
      </c>
      <c r="G404" s="1838" t="n">
        <v>12</v>
      </c>
    </row>
    <row r="405" customFormat="false" ht="12.75" hidden="false" customHeight="true" outlineLevel="0" collapsed="false">
      <c r="A405" s="1839" t="n">
        <v>12</v>
      </c>
      <c r="B405" s="1845" t="s">
        <v>2402</v>
      </c>
      <c r="C405" s="1841"/>
      <c r="D405" s="1763" t="s">
        <v>2391</v>
      </c>
      <c r="E405" s="1838" t="n">
        <v>5</v>
      </c>
      <c r="F405" s="1838" t="n">
        <v>12</v>
      </c>
      <c r="G405" s="1838" t="n">
        <v>24</v>
      </c>
    </row>
    <row r="406" customFormat="false" ht="12.75" hidden="false" customHeight="true" outlineLevel="0" collapsed="false">
      <c r="A406" s="1839" t="n">
        <v>14</v>
      </c>
      <c r="B406" s="1840" t="s">
        <v>2403</v>
      </c>
      <c r="C406" s="1841"/>
      <c r="D406" s="1763" t="s">
        <v>2391</v>
      </c>
      <c r="E406" s="1838" t="n">
        <v>5</v>
      </c>
      <c r="F406" s="1838" t="n">
        <v>20</v>
      </c>
      <c r="G406" s="1838" t="n">
        <v>15</v>
      </c>
    </row>
    <row r="407" customFormat="false" ht="12.75" hidden="false" customHeight="true" outlineLevel="0" collapsed="false">
      <c r="A407" s="1746" t="n">
        <v>15</v>
      </c>
      <c r="B407" s="1840" t="s">
        <v>2404</v>
      </c>
      <c r="C407" s="1841"/>
      <c r="D407" s="1763" t="s">
        <v>2391</v>
      </c>
      <c r="E407" s="1838" t="n">
        <v>6</v>
      </c>
      <c r="F407" s="1838" t="n">
        <v>15</v>
      </c>
      <c r="G407" s="1838" t="n">
        <v>30</v>
      </c>
    </row>
    <row r="408" customFormat="false" ht="12.75" hidden="false" customHeight="true" outlineLevel="0" collapsed="false">
      <c r="A408" s="1839" t="n">
        <v>16</v>
      </c>
      <c r="B408" s="1845" t="s">
        <v>2405</v>
      </c>
      <c r="C408" s="1841"/>
      <c r="D408" s="1763" t="s">
        <v>2391</v>
      </c>
      <c r="E408" s="1838" t="n">
        <v>7</v>
      </c>
      <c r="F408" s="1838" t="n">
        <v>7</v>
      </c>
      <c r="G408" s="1838" t="n">
        <v>10</v>
      </c>
    </row>
    <row r="409" customFormat="false" ht="12.75" hidden="false" customHeight="true" outlineLevel="0" collapsed="false">
      <c r="A409" s="1746" t="n">
        <v>17</v>
      </c>
      <c r="B409" s="1836" t="s">
        <v>2406</v>
      </c>
      <c r="C409" s="1837"/>
      <c r="D409" s="1763" t="s">
        <v>2391</v>
      </c>
      <c r="E409" s="1838" t="n">
        <v>7</v>
      </c>
      <c r="F409" s="1838" t="n">
        <v>8</v>
      </c>
      <c r="G409" s="1838" t="n">
        <v>14</v>
      </c>
    </row>
    <row r="410" customFormat="false" ht="12.75" hidden="false" customHeight="true" outlineLevel="0" collapsed="false">
      <c r="A410" s="1839" t="n">
        <v>18</v>
      </c>
      <c r="B410" s="1840" t="s">
        <v>2407</v>
      </c>
      <c r="C410" s="1841"/>
      <c r="D410" s="1763" t="s">
        <v>2391</v>
      </c>
      <c r="E410" s="1838" t="n">
        <v>7</v>
      </c>
      <c r="F410" s="1838" t="n">
        <v>18</v>
      </c>
      <c r="G410" s="1838" t="n">
        <v>30</v>
      </c>
    </row>
    <row r="411" customFormat="false" ht="12.75" hidden="false" customHeight="true" outlineLevel="0" collapsed="false">
      <c r="A411" s="1746" t="n">
        <v>19</v>
      </c>
      <c r="B411" s="1845" t="s">
        <v>2408</v>
      </c>
      <c r="C411" s="1841"/>
      <c r="D411" s="1763" t="s">
        <v>2391</v>
      </c>
      <c r="E411" s="1838" t="n">
        <v>8</v>
      </c>
      <c r="F411" s="1838" t="n">
        <v>5</v>
      </c>
      <c r="G411" s="1838" t="n">
        <v>5</v>
      </c>
    </row>
    <row r="412" customFormat="false" ht="12.75" hidden="false" customHeight="true" outlineLevel="0" collapsed="false">
      <c r="A412" s="1839" t="n">
        <v>20</v>
      </c>
      <c r="B412" s="1840" t="s">
        <v>2409</v>
      </c>
      <c r="C412" s="1841"/>
      <c r="D412" s="1763" t="s">
        <v>2391</v>
      </c>
      <c r="E412" s="1838" t="n">
        <v>8</v>
      </c>
      <c r="F412" s="1838" t="n">
        <v>15</v>
      </c>
      <c r="G412" s="1838" t="n">
        <v>22</v>
      </c>
    </row>
    <row r="413" customFormat="false" ht="12.75" hidden="false" customHeight="true" outlineLevel="0" collapsed="false">
      <c r="A413" s="1746" t="n">
        <v>21</v>
      </c>
      <c r="B413" s="1840" t="s">
        <v>2410</v>
      </c>
      <c r="C413" s="1841"/>
      <c r="D413" s="1763" t="s">
        <v>2391</v>
      </c>
      <c r="E413" s="1838" t="n">
        <v>8</v>
      </c>
      <c r="F413" s="1838" t="n">
        <v>15</v>
      </c>
      <c r="G413" s="1838" t="n">
        <v>22</v>
      </c>
    </row>
    <row r="414" customFormat="false" ht="12.75" hidden="false" customHeight="true" outlineLevel="0" collapsed="false">
      <c r="A414" s="1839" t="n">
        <v>22</v>
      </c>
      <c r="B414" s="1840" t="s">
        <v>2411</v>
      </c>
      <c r="C414" s="1841"/>
      <c r="D414" s="1763" t="s">
        <v>2391</v>
      </c>
      <c r="E414" s="1838" t="n">
        <v>8</v>
      </c>
      <c r="F414" s="1838" t="n">
        <v>21</v>
      </c>
      <c r="G414" s="1838" t="n">
        <v>33</v>
      </c>
    </row>
    <row r="415" customFormat="false" ht="12.75" hidden="false" customHeight="true" outlineLevel="0" collapsed="false">
      <c r="A415" s="1746" t="n">
        <v>23</v>
      </c>
      <c r="B415" s="1840" t="s">
        <v>2412</v>
      </c>
      <c r="C415" s="1841"/>
      <c r="D415" s="1763" t="s">
        <v>2391</v>
      </c>
      <c r="E415" s="1838" t="n">
        <v>9</v>
      </c>
      <c r="F415" s="1838" t="n">
        <v>16</v>
      </c>
      <c r="G415" s="1838" t="n">
        <v>18</v>
      </c>
    </row>
    <row r="416" customFormat="false" ht="12.75" hidden="false" customHeight="true" outlineLevel="0" collapsed="false">
      <c r="A416" s="1839" t="n">
        <v>24</v>
      </c>
      <c r="B416" s="1845" t="s">
        <v>2413</v>
      </c>
      <c r="C416" s="1841"/>
      <c r="D416" s="1763" t="s">
        <v>2391</v>
      </c>
      <c r="E416" s="1838" t="n">
        <v>1.8</v>
      </c>
      <c r="F416" s="1838" t="n">
        <f aca="false">9/0.437/10</f>
        <v>2.05949656750572</v>
      </c>
      <c r="G416" s="1838" t="n">
        <f aca="false">18/0.83/10</f>
        <v>2.16867469879518</v>
      </c>
    </row>
    <row r="417" customFormat="false" ht="12.75" hidden="false" customHeight="true" outlineLevel="0" collapsed="false">
      <c r="A417" s="1746" t="n">
        <v>25</v>
      </c>
      <c r="B417" s="1846" t="s">
        <v>2414</v>
      </c>
      <c r="C417" s="1837" t="s">
        <v>2415</v>
      </c>
      <c r="D417" s="1763" t="s">
        <v>2391</v>
      </c>
      <c r="E417" s="1838" t="n">
        <v>10</v>
      </c>
      <c r="F417" s="1838" t="n">
        <v>5</v>
      </c>
      <c r="G417" s="1838" t="n">
        <v>20</v>
      </c>
    </row>
    <row r="418" customFormat="false" ht="12.75" hidden="false" customHeight="true" outlineLevel="0" collapsed="false">
      <c r="A418" s="1839" t="n">
        <v>26</v>
      </c>
      <c r="B418" s="1846" t="s">
        <v>2416</v>
      </c>
      <c r="C418" s="1837"/>
      <c r="D418" s="1763" t="s">
        <v>2391</v>
      </c>
      <c r="E418" s="1838" t="n">
        <v>10</v>
      </c>
      <c r="F418" s="1838" t="n">
        <v>10</v>
      </c>
      <c r="G418" s="1838" t="n">
        <v>15</v>
      </c>
    </row>
    <row r="419" customFormat="false" ht="12.75" hidden="false" customHeight="true" outlineLevel="0" collapsed="false">
      <c r="A419" s="1746" t="n">
        <v>27</v>
      </c>
      <c r="B419" s="1846" t="s">
        <v>2417</v>
      </c>
      <c r="C419" s="1837"/>
      <c r="D419" s="1763" t="s">
        <v>2391</v>
      </c>
      <c r="E419" s="1838" t="n">
        <v>10</v>
      </c>
      <c r="F419" s="1838" t="n">
        <v>12</v>
      </c>
      <c r="G419" s="1838" t="n">
        <v>24</v>
      </c>
    </row>
    <row r="420" customFormat="false" ht="12.75" hidden="false" customHeight="true" outlineLevel="0" collapsed="false">
      <c r="A420" s="1839" t="n">
        <v>28</v>
      </c>
      <c r="B420" s="1847" t="s">
        <v>2418</v>
      </c>
      <c r="C420" s="1843"/>
      <c r="D420" s="1763" t="s">
        <v>2391</v>
      </c>
      <c r="E420" s="1844" t="n">
        <v>10</v>
      </c>
      <c r="F420" s="1844" t="n">
        <v>20</v>
      </c>
      <c r="G420" s="1844" t="n">
        <v>20</v>
      </c>
    </row>
    <row r="421" customFormat="false" ht="12.75" hidden="false" customHeight="true" outlineLevel="0" collapsed="false">
      <c r="A421" s="1746" t="n">
        <v>29</v>
      </c>
      <c r="B421" s="1840" t="s">
        <v>2419</v>
      </c>
      <c r="C421" s="1841"/>
      <c r="D421" s="1763" t="s">
        <v>2391</v>
      </c>
      <c r="E421" s="1838" t="n">
        <v>10</v>
      </c>
      <c r="F421" s="1838" t="n">
        <v>25</v>
      </c>
      <c r="G421" s="1838" t="n">
        <v>20</v>
      </c>
    </row>
    <row r="422" customFormat="false" ht="12.75" hidden="false" customHeight="true" outlineLevel="0" collapsed="false">
      <c r="A422" s="1839" t="n">
        <v>30</v>
      </c>
      <c r="B422" s="1847" t="s">
        <v>2420</v>
      </c>
      <c r="C422" s="1843"/>
      <c r="D422" s="1763" t="s">
        <v>2391</v>
      </c>
      <c r="E422" s="1844" t="n">
        <v>10</v>
      </c>
      <c r="F422" s="1844" t="n">
        <v>26</v>
      </c>
      <c r="G422" s="1844" t="n">
        <v>26</v>
      </c>
    </row>
    <row r="423" customFormat="false" ht="12.75" hidden="false" customHeight="true" outlineLevel="0" collapsed="false">
      <c r="A423" s="1746" t="n">
        <v>31</v>
      </c>
      <c r="B423" s="1836" t="s">
        <v>2421</v>
      </c>
      <c r="C423" s="1837"/>
      <c r="D423" s="1763" t="s">
        <v>2391</v>
      </c>
      <c r="E423" s="1838" t="n">
        <v>12</v>
      </c>
      <c r="F423" s="1838" t="n">
        <v>20</v>
      </c>
      <c r="G423" s="1838" t="n">
        <v>10</v>
      </c>
    </row>
    <row r="424" customFormat="false" ht="12.75" hidden="false" customHeight="true" outlineLevel="0" collapsed="false">
      <c r="A424" s="1839" t="n">
        <v>32</v>
      </c>
      <c r="B424" s="1848" t="s">
        <v>2422</v>
      </c>
      <c r="C424" s="1841"/>
      <c r="D424" s="1763" t="s">
        <v>2391</v>
      </c>
      <c r="E424" s="1849" t="n">
        <v>12</v>
      </c>
      <c r="F424" s="1849" t="n">
        <v>30</v>
      </c>
      <c r="G424" s="1849" t="n">
        <v>20</v>
      </c>
    </row>
    <row r="425" customFormat="false" ht="12.75" hidden="false" customHeight="true" outlineLevel="0" collapsed="false">
      <c r="A425" s="1746" t="n">
        <v>33</v>
      </c>
      <c r="B425" s="1840" t="s">
        <v>2423</v>
      </c>
      <c r="C425" s="1841"/>
      <c r="D425" s="1763" t="s">
        <v>2391</v>
      </c>
      <c r="E425" s="1838" t="n">
        <v>13</v>
      </c>
      <c r="F425" s="1838" t="n">
        <v>13</v>
      </c>
      <c r="G425" s="1838" t="n">
        <v>26</v>
      </c>
    </row>
    <row r="426" customFormat="false" ht="12.75" hidden="false" customHeight="true" outlineLevel="0" collapsed="false">
      <c r="A426" s="1839" t="n">
        <v>34</v>
      </c>
      <c r="B426" s="1846" t="s">
        <v>2424</v>
      </c>
      <c r="C426" s="1837"/>
      <c r="D426" s="1763" t="s">
        <v>2391</v>
      </c>
      <c r="E426" s="1838" t="n">
        <v>14</v>
      </c>
      <c r="F426" s="1838" t="n">
        <v>9</v>
      </c>
      <c r="G426" s="1838" t="n">
        <v>18</v>
      </c>
    </row>
    <row r="427" customFormat="false" ht="12.75" hidden="false" customHeight="true" outlineLevel="0" collapsed="false">
      <c r="A427" s="1746" t="n">
        <v>35</v>
      </c>
      <c r="B427" s="1840" t="s">
        <v>2425</v>
      </c>
      <c r="C427" s="1841"/>
      <c r="D427" s="1763" t="s">
        <v>2391</v>
      </c>
      <c r="E427" s="1838" t="n">
        <v>15</v>
      </c>
      <c r="F427" s="1838" t="n">
        <v>15</v>
      </c>
      <c r="G427" s="1838" t="n">
        <v>15</v>
      </c>
    </row>
    <row r="428" customFormat="false" ht="12.75" hidden="false" customHeight="true" outlineLevel="0" collapsed="false">
      <c r="A428" s="1839" t="n">
        <v>36</v>
      </c>
      <c r="B428" s="1848" t="s">
        <v>2426</v>
      </c>
      <c r="C428" s="1841"/>
      <c r="D428" s="1763" t="s">
        <v>2391</v>
      </c>
      <c r="E428" s="1849" t="n">
        <v>17</v>
      </c>
      <c r="F428" s="1849" t="n">
        <v>17</v>
      </c>
      <c r="G428" s="1849" t="n">
        <v>17</v>
      </c>
    </row>
    <row r="429" customFormat="false" ht="12.75" hidden="false" customHeight="true" outlineLevel="0" collapsed="false">
      <c r="A429" s="1746" t="n">
        <v>37</v>
      </c>
      <c r="B429" s="1846" t="s">
        <v>2427</v>
      </c>
      <c r="C429" s="1837"/>
      <c r="D429" s="1763" t="s">
        <v>2391</v>
      </c>
      <c r="E429" s="1838" t="n">
        <v>20</v>
      </c>
      <c r="F429" s="1838" t="n">
        <v>5</v>
      </c>
      <c r="G429" s="1838" t="n">
        <v>10</v>
      </c>
    </row>
    <row r="430" customFormat="false" ht="12.75" hidden="false" customHeight="true" outlineLevel="0" collapsed="false">
      <c r="A430" s="1839" t="n">
        <v>38</v>
      </c>
      <c r="B430" s="1845" t="s">
        <v>2428</v>
      </c>
      <c r="C430" s="1841"/>
      <c r="D430" s="1763" t="s">
        <v>2391</v>
      </c>
      <c r="E430" s="1838" t="n">
        <v>2.5</v>
      </c>
      <c r="F430" s="1838" t="n">
        <f aca="false">15/0.437/10</f>
        <v>3.4324942791762</v>
      </c>
      <c r="G430" s="1838" t="n">
        <f aca="false">20/0.83/10</f>
        <v>2.40963855421687</v>
      </c>
    </row>
    <row r="431" customFormat="false" ht="12.75" hidden="false" customHeight="true" outlineLevel="0" collapsed="false">
      <c r="A431" s="1746" t="n">
        <v>39</v>
      </c>
      <c r="B431" s="1845" t="s">
        <v>2429</v>
      </c>
      <c r="C431" s="1841"/>
      <c r="D431" s="1763" t="s">
        <v>2391</v>
      </c>
      <c r="E431" s="1838" t="s">
        <v>2430</v>
      </c>
      <c r="F431" s="1838" t="n">
        <v>4</v>
      </c>
      <c r="G431" s="1838" t="n">
        <v>15</v>
      </c>
    </row>
    <row r="432" customFormat="false" ht="12.75" hidden="false" customHeight="true" outlineLevel="0" collapsed="false">
      <c r="A432" s="1839" t="n">
        <v>40</v>
      </c>
      <c r="B432" s="1845" t="s">
        <v>2431</v>
      </c>
      <c r="C432" s="1843"/>
      <c r="D432" s="1763" t="s">
        <v>2391</v>
      </c>
      <c r="E432" s="1838" t="n">
        <v>17</v>
      </c>
      <c r="F432" s="1838" t="n">
        <v>9</v>
      </c>
      <c r="G432" s="1838" t="n">
        <v>8</v>
      </c>
    </row>
    <row r="433" customFormat="false" ht="12.75" hidden="false" customHeight="true" outlineLevel="0" collapsed="false">
      <c r="A433" s="1746" t="n">
        <v>41</v>
      </c>
      <c r="B433" s="1845" t="s">
        <v>2432</v>
      </c>
      <c r="C433" s="1843"/>
      <c r="D433" s="1763" t="s">
        <v>2391</v>
      </c>
      <c r="E433" s="1838" t="n">
        <v>11</v>
      </c>
      <c r="F433" s="1838" t="n">
        <v>22</v>
      </c>
      <c r="G433" s="1838" t="n">
        <v>9</v>
      </c>
    </row>
    <row r="434" customFormat="false" ht="12.75" hidden="false" customHeight="true" outlineLevel="0" collapsed="false">
      <c r="A434" s="1839" t="n">
        <v>42</v>
      </c>
      <c r="B434" s="1845" t="s">
        <v>2433</v>
      </c>
      <c r="C434" s="1841"/>
      <c r="D434" s="1763" t="s">
        <v>2391</v>
      </c>
      <c r="E434" s="1838" t="n">
        <v>2</v>
      </c>
      <c r="F434" s="1838" t="n">
        <f aca="false">10/0.437/10</f>
        <v>2.2883295194508</v>
      </c>
      <c r="G434" s="1838" t="n">
        <f aca="false">10/0.83/10</f>
        <v>1.20481927710843</v>
      </c>
    </row>
    <row r="435" customFormat="false" ht="12.75" hidden="false" customHeight="true" outlineLevel="0" collapsed="false">
      <c r="A435" s="1746" t="n">
        <v>43</v>
      </c>
      <c r="B435" s="1847" t="s">
        <v>2434</v>
      </c>
      <c r="C435" s="1843"/>
      <c r="D435" s="1763" t="s">
        <v>2391</v>
      </c>
      <c r="E435" s="1838" t="n">
        <v>33.5</v>
      </c>
      <c r="F435" s="1838" t="n">
        <v>0</v>
      </c>
      <c r="G435" s="1838" t="n">
        <v>0</v>
      </c>
    </row>
    <row r="436" customFormat="false" ht="12.75" hidden="false" customHeight="true" outlineLevel="0" collapsed="false">
      <c r="A436" s="1839" t="n">
        <v>44</v>
      </c>
      <c r="B436" s="1842" t="s">
        <v>2435</v>
      </c>
      <c r="C436" s="1837"/>
      <c r="D436" s="1763" t="s">
        <v>2391</v>
      </c>
      <c r="E436" s="1849" t="n">
        <v>33</v>
      </c>
      <c r="F436" s="1849" t="n">
        <v>0</v>
      </c>
      <c r="G436" s="1849" t="n">
        <v>0</v>
      </c>
    </row>
    <row r="437" customFormat="false" ht="12.75" hidden="false" customHeight="true" outlineLevel="0" collapsed="false">
      <c r="A437" s="1569" t="s">
        <v>1815</v>
      </c>
      <c r="B437" s="1568" t="s">
        <v>2386</v>
      </c>
      <c r="C437" s="1568"/>
      <c r="D437" s="1568" t="s">
        <v>1536</v>
      </c>
      <c r="E437" s="1568" t="s">
        <v>2436</v>
      </c>
      <c r="F437" s="1568"/>
      <c r="G437" s="1568"/>
    </row>
    <row r="438" customFormat="false" ht="15.75" hidden="false" customHeight="true" outlineLevel="0" collapsed="false">
      <c r="A438" s="1569"/>
      <c r="B438" s="1568"/>
      <c r="C438" s="1568"/>
      <c r="D438" s="1568"/>
      <c r="E438" s="1747" t="s">
        <v>406</v>
      </c>
      <c r="F438" s="1747" t="s">
        <v>2388</v>
      </c>
      <c r="G438" s="1747" t="s">
        <v>2389</v>
      </c>
    </row>
    <row r="439" customFormat="false" ht="12.75" hidden="false" customHeight="true" outlineLevel="0" collapsed="false">
      <c r="A439" s="1746" t="n">
        <v>45</v>
      </c>
      <c r="B439" s="1845" t="s">
        <v>2437</v>
      </c>
      <c r="C439" s="1841"/>
      <c r="D439" s="1763" t="s">
        <v>2391</v>
      </c>
      <c r="E439" s="1838" t="n">
        <v>1</v>
      </c>
      <c r="F439" s="1838" t="n">
        <f aca="false">3.5/0.437/10</f>
        <v>0.80091533180778</v>
      </c>
      <c r="G439" s="1838" t="n">
        <f aca="false">10/0.83/10</f>
        <v>1.20481927710843</v>
      </c>
    </row>
    <row r="440" customFormat="false" ht="12.75" hidden="false" customHeight="true" outlineLevel="0" collapsed="false">
      <c r="A440" s="1839" t="n">
        <v>46</v>
      </c>
      <c r="B440" s="1850" t="s">
        <v>2438</v>
      </c>
      <c r="C440" s="1851" t="s">
        <v>2439</v>
      </c>
      <c r="D440" s="1763" t="s">
        <v>2391</v>
      </c>
      <c r="E440" s="1838" t="n">
        <v>16</v>
      </c>
      <c r="F440" s="1838" t="n">
        <v>8</v>
      </c>
      <c r="G440" s="1838" t="n">
        <v>12</v>
      </c>
    </row>
    <row r="441" customFormat="false" ht="12.75" hidden="false" customHeight="true" outlineLevel="0" collapsed="false">
      <c r="A441" s="1746" t="n">
        <v>47</v>
      </c>
      <c r="B441" s="1845" t="s">
        <v>2440</v>
      </c>
      <c r="C441" s="1837"/>
      <c r="D441" s="1763" t="s">
        <v>2391</v>
      </c>
      <c r="E441" s="1838" t="n">
        <v>1.5</v>
      </c>
      <c r="F441" s="1838" t="n">
        <f aca="false">10/0.437/10</f>
        <v>2.2883295194508</v>
      </c>
      <c r="G441" s="1838" t="n">
        <f aca="false">18/0.83/10</f>
        <v>2.16867469879518</v>
      </c>
    </row>
    <row r="442" customFormat="false" ht="12.75" hidden="false" customHeight="true" outlineLevel="0" collapsed="false">
      <c r="A442" s="1839" t="n">
        <v>48</v>
      </c>
      <c r="B442" s="1845" t="s">
        <v>2441</v>
      </c>
      <c r="C442" s="1843"/>
      <c r="D442" s="1763" t="s">
        <v>2391</v>
      </c>
      <c r="E442" s="1838" t="n">
        <v>0.8</v>
      </c>
      <c r="F442" s="1838" t="n">
        <f aca="false">5/0.437/10</f>
        <v>1.1441647597254</v>
      </c>
      <c r="G442" s="1838" t="n">
        <f aca="false">8/0.83/10</f>
        <v>0.963855421686747</v>
      </c>
    </row>
    <row r="443" customFormat="false" ht="12.75" hidden="false" customHeight="true" outlineLevel="0" collapsed="false">
      <c r="A443" s="1746" t="n">
        <v>49</v>
      </c>
      <c r="B443" s="1845" t="s">
        <v>2442</v>
      </c>
      <c r="C443" s="1843"/>
      <c r="D443" s="1763" t="s">
        <v>2391</v>
      </c>
      <c r="E443" s="1838" t="n">
        <v>0.13</v>
      </c>
      <c r="F443" s="1838" t="n">
        <f aca="false">0.2/0.437/10</f>
        <v>0.045766590389016</v>
      </c>
      <c r="G443" s="1838" t="n">
        <f aca="false">0.4/0.83/10</f>
        <v>0.0481927710843374</v>
      </c>
    </row>
    <row r="444" customFormat="false" ht="12.75" hidden="false" customHeight="true" outlineLevel="0" collapsed="false">
      <c r="A444" s="1839" t="n">
        <v>50</v>
      </c>
      <c r="B444" s="1845" t="s">
        <v>2443</v>
      </c>
      <c r="C444" s="1837"/>
      <c r="D444" s="1763" t="s">
        <v>2391</v>
      </c>
      <c r="E444" s="1838" t="n">
        <v>2.5</v>
      </c>
      <c r="F444" s="1838" t="n">
        <f aca="false">30/0.437/10</f>
        <v>6.8649885583524</v>
      </c>
      <c r="G444" s="1838" t="n">
        <f aca="false">30/0.83/10</f>
        <v>3.6144578313253</v>
      </c>
    </row>
    <row r="445" customFormat="false" ht="12.75" hidden="false" customHeight="true" outlineLevel="0" collapsed="false">
      <c r="A445" s="1746" t="n">
        <v>51</v>
      </c>
      <c r="B445" s="1845" t="s">
        <v>2444</v>
      </c>
      <c r="C445" s="1841"/>
      <c r="D445" s="1763" t="s">
        <v>2391</v>
      </c>
      <c r="E445" s="1838" t="n">
        <v>1.5</v>
      </c>
      <c r="F445" s="1838" t="n">
        <f aca="false">5/0.437/10</f>
        <v>1.1441647597254</v>
      </c>
      <c r="G445" s="1838" t="n">
        <f aca="false">13/0.83/10</f>
        <v>1.56626506024096</v>
      </c>
    </row>
    <row r="446" customFormat="false" ht="12.75" hidden="false" customHeight="true" outlineLevel="0" collapsed="false">
      <c r="A446" s="1839" t="n">
        <v>52</v>
      </c>
      <c r="B446" s="1836" t="s">
        <v>2445</v>
      </c>
      <c r="C446" s="1837"/>
      <c r="D446" s="1763" t="s">
        <v>2391</v>
      </c>
      <c r="E446" s="1838" t="n">
        <v>0</v>
      </c>
      <c r="F446" s="1838" t="n">
        <v>0</v>
      </c>
      <c r="G446" s="1838" t="n">
        <v>60</v>
      </c>
    </row>
    <row r="447" customFormat="false" ht="12.75" hidden="false" customHeight="true" outlineLevel="0" collapsed="false">
      <c r="A447" s="1746" t="n">
        <v>53</v>
      </c>
      <c r="B447" s="1842" t="s">
        <v>2446</v>
      </c>
      <c r="C447" s="1843"/>
      <c r="D447" s="1763" t="s">
        <v>2391</v>
      </c>
      <c r="E447" s="1844" t="n">
        <v>14</v>
      </c>
      <c r="F447" s="1844" t="n">
        <v>0</v>
      </c>
      <c r="G447" s="1844" t="n">
        <v>0</v>
      </c>
    </row>
    <row r="448" customFormat="false" ht="12.75" hidden="false" customHeight="true" outlineLevel="0" collapsed="false">
      <c r="A448" s="1839" t="n">
        <v>54</v>
      </c>
      <c r="B448" s="1845" t="s">
        <v>2447</v>
      </c>
      <c r="C448" s="1843"/>
      <c r="D448" s="1763" t="s">
        <v>2391</v>
      </c>
      <c r="E448" s="1838" t="n">
        <v>0.86</v>
      </c>
      <c r="F448" s="1838" t="n">
        <f aca="false">4.1/0.437/10</f>
        <v>0.938215102974828</v>
      </c>
      <c r="G448" s="1838" t="n">
        <f aca="false">6.8/0.83/10</f>
        <v>0.819277108433735</v>
      </c>
    </row>
    <row r="449" customFormat="false" ht="12.75" hidden="false" customHeight="true" outlineLevel="0" collapsed="false">
      <c r="A449" s="1746" t="n">
        <v>55</v>
      </c>
      <c r="B449" s="1845" t="s">
        <v>2448</v>
      </c>
      <c r="C449" s="1843"/>
      <c r="D449" s="1763" t="s">
        <v>2391</v>
      </c>
      <c r="E449" s="1838" t="n">
        <v>0.4</v>
      </c>
      <c r="F449" s="1838" t="n">
        <f aca="false">3/0.437/10</f>
        <v>0.68649885583524</v>
      </c>
      <c r="G449" s="1838" t="n">
        <f aca="false">6/0.83/10</f>
        <v>0.72289156626506</v>
      </c>
    </row>
    <row r="450" customFormat="false" ht="12.75" hidden="false" customHeight="true" outlineLevel="0" collapsed="false">
      <c r="A450" s="1839" t="n">
        <v>56</v>
      </c>
      <c r="B450" s="1845" t="s">
        <v>2449</v>
      </c>
      <c r="C450" s="1843"/>
      <c r="D450" s="1763" t="s">
        <v>2391</v>
      </c>
      <c r="E450" s="1838" t="n">
        <v>0.36</v>
      </c>
      <c r="F450" s="1838" t="n">
        <f aca="false">1.3/0.437/10</f>
        <v>0.297482837528604</v>
      </c>
      <c r="G450" s="1838" t="n">
        <f aca="false">3.6/0.83/10</f>
        <v>0.433734939759036</v>
      </c>
    </row>
    <row r="451" customFormat="false" ht="12.75" hidden="false" customHeight="true" outlineLevel="0" collapsed="false">
      <c r="A451" s="1746" t="n">
        <v>57</v>
      </c>
      <c r="B451" s="1845" t="s">
        <v>2450</v>
      </c>
      <c r="C451" s="1843"/>
      <c r="D451" s="1763" t="s">
        <v>2391</v>
      </c>
      <c r="E451" s="1838" t="n">
        <v>0.32</v>
      </c>
      <c r="F451" s="1838" t="n">
        <f aca="false">0.8/0.437/10</f>
        <v>0.183066361556064</v>
      </c>
      <c r="G451" s="1838" t="n">
        <f aca="false">3.9/0.83/10</f>
        <v>0.469879518072289</v>
      </c>
    </row>
    <row r="452" customFormat="false" ht="12.75" hidden="false" customHeight="true" outlineLevel="0" collapsed="false">
      <c r="A452" s="1839" t="n">
        <v>58</v>
      </c>
      <c r="B452" s="1845" t="s">
        <v>2451</v>
      </c>
      <c r="C452" s="1837"/>
      <c r="D452" s="1763" t="s">
        <v>2391</v>
      </c>
      <c r="E452" s="1852" t="n">
        <v>1.8</v>
      </c>
      <c r="F452" s="1838" t="n">
        <f aca="false">7/0.437/10</f>
        <v>1.60183066361556</v>
      </c>
      <c r="G452" s="1838" t="n">
        <f aca="false">15/0.83/10</f>
        <v>1.80722891566265</v>
      </c>
    </row>
    <row r="453" customFormat="false" ht="12.75" hidden="false" customHeight="true" outlineLevel="0" collapsed="false">
      <c r="A453" s="1746" t="n">
        <v>59</v>
      </c>
      <c r="B453" s="1845" t="s">
        <v>2452</v>
      </c>
      <c r="C453" s="1843"/>
      <c r="D453" s="1763" t="s">
        <v>2391</v>
      </c>
      <c r="E453" s="1838" t="n">
        <v>19</v>
      </c>
      <c r="F453" s="1838" t="n">
        <v>7</v>
      </c>
      <c r="G453" s="1838" t="n">
        <v>10</v>
      </c>
    </row>
    <row r="454" customFormat="false" ht="12.75" hidden="false" customHeight="true" outlineLevel="0" collapsed="false">
      <c r="A454" s="1839" t="n">
        <v>60</v>
      </c>
      <c r="B454" s="1853" t="s">
        <v>2453</v>
      </c>
      <c r="C454" s="1841"/>
      <c r="D454" s="1763" t="s">
        <v>2391</v>
      </c>
      <c r="E454" s="1849" t="n">
        <v>15</v>
      </c>
      <c r="F454" s="1849" t="n">
        <v>9</v>
      </c>
      <c r="G454" s="1849" t="n">
        <v>15</v>
      </c>
    </row>
    <row r="455" customFormat="false" ht="12.75" hidden="false" customHeight="true" outlineLevel="0" collapsed="false">
      <c r="A455" s="1746" t="n">
        <v>61</v>
      </c>
      <c r="B455" s="1853" t="s">
        <v>2453</v>
      </c>
      <c r="C455" s="1841"/>
      <c r="D455" s="1763" t="s">
        <v>2391</v>
      </c>
      <c r="E455" s="1838" t="n">
        <v>20</v>
      </c>
      <c r="F455" s="1838" t="n">
        <v>5</v>
      </c>
      <c r="G455" s="1838" t="n">
        <v>8</v>
      </c>
    </row>
    <row r="456" customFormat="false" ht="12.75" hidden="false" customHeight="true" outlineLevel="0" collapsed="false">
      <c r="A456" s="1839" t="n">
        <v>62</v>
      </c>
      <c r="B456" s="1853" t="s">
        <v>2453</v>
      </c>
      <c r="C456" s="1841"/>
      <c r="D456" s="1763" t="s">
        <v>2391</v>
      </c>
      <c r="E456" s="1838" t="n">
        <v>6</v>
      </c>
      <c r="F456" s="1838" t="n">
        <v>5</v>
      </c>
      <c r="G456" s="1838" t="n">
        <v>10</v>
      </c>
    </row>
    <row r="457" customFormat="false" ht="12.75" hidden="false" customHeight="true" outlineLevel="0" collapsed="false">
      <c r="A457" s="1746" t="n">
        <v>63</v>
      </c>
      <c r="B457" s="1846" t="s">
        <v>2454</v>
      </c>
      <c r="C457" s="1837"/>
      <c r="D457" s="1763" t="s">
        <v>2391</v>
      </c>
      <c r="E457" s="1838" t="n">
        <v>16</v>
      </c>
      <c r="F457" s="1838" t="n">
        <v>8</v>
      </c>
      <c r="G457" s="1838" t="n">
        <v>10</v>
      </c>
    </row>
    <row r="458" customFormat="false" ht="12.75" hidden="false" customHeight="true" outlineLevel="0" collapsed="false">
      <c r="A458" s="1839" t="n">
        <v>64</v>
      </c>
      <c r="B458" s="1842" t="s">
        <v>2455</v>
      </c>
      <c r="C458" s="1843"/>
      <c r="D458" s="1763" t="s">
        <v>2391</v>
      </c>
      <c r="E458" s="1844" t="n">
        <v>15</v>
      </c>
      <c r="F458" s="1844" t="n">
        <v>8</v>
      </c>
      <c r="G458" s="1844" t="n">
        <v>12</v>
      </c>
    </row>
    <row r="459" customFormat="false" ht="12.75" hidden="false" customHeight="true" outlineLevel="0" collapsed="false">
      <c r="A459" s="1746" t="n">
        <v>65</v>
      </c>
      <c r="B459" s="1845" t="s">
        <v>2456</v>
      </c>
      <c r="C459" s="1841"/>
      <c r="D459" s="1763" t="s">
        <v>2391</v>
      </c>
      <c r="E459" s="1838" t="n">
        <v>11</v>
      </c>
      <c r="F459" s="1838" t="n">
        <v>4</v>
      </c>
      <c r="G459" s="1838" t="n">
        <v>24</v>
      </c>
    </row>
    <row r="460" customFormat="false" ht="12.75" hidden="false" customHeight="true" outlineLevel="0" collapsed="false">
      <c r="A460" s="1839" t="n">
        <v>66</v>
      </c>
      <c r="B460" s="1845" t="s">
        <v>2457</v>
      </c>
      <c r="C460" s="1843"/>
      <c r="D460" s="1763" t="s">
        <v>2391</v>
      </c>
      <c r="E460" s="1838" t="n">
        <v>0.45</v>
      </c>
      <c r="F460" s="1838" t="n">
        <f aca="false">1.1/0.437/10</f>
        <v>0.251716247139588</v>
      </c>
      <c r="G460" s="1838" t="n">
        <f aca="false">2.8/0.83/10</f>
        <v>0.337349397590361</v>
      </c>
    </row>
    <row r="461" customFormat="false" ht="12.75" hidden="false" customHeight="true" outlineLevel="0" collapsed="false">
      <c r="A461" s="1763" t="n">
        <v>67</v>
      </c>
      <c r="B461" s="1845" t="s">
        <v>2458</v>
      </c>
      <c r="C461" s="1843"/>
      <c r="D461" s="1763" t="s">
        <v>2391</v>
      </c>
      <c r="E461" s="1838" t="n">
        <v>2.5</v>
      </c>
      <c r="F461" s="1838" t="n">
        <f aca="false">18/0.437/10</f>
        <v>4.11899313501144</v>
      </c>
      <c r="G461" s="1838" t="n">
        <f aca="false">30/0.83/10</f>
        <v>3.6144578313253</v>
      </c>
    </row>
    <row r="462" customFormat="false" ht="12.75" hidden="false" customHeight="true" outlineLevel="0" collapsed="false">
      <c r="A462" s="1839" t="n">
        <v>68</v>
      </c>
      <c r="B462" s="1842" t="s">
        <v>2459</v>
      </c>
      <c r="C462" s="1843"/>
      <c r="D462" s="1763" t="s">
        <v>2391</v>
      </c>
      <c r="E462" s="1844" t="s">
        <v>2460</v>
      </c>
      <c r="F462" s="1844" t="n">
        <v>3</v>
      </c>
      <c r="G462" s="1844" t="n">
        <v>20</v>
      </c>
    </row>
    <row r="463" customFormat="false" ht="12.75" hidden="false" customHeight="true" outlineLevel="0" collapsed="false">
      <c r="A463" s="1746" t="n">
        <v>69</v>
      </c>
      <c r="B463" s="1836" t="s">
        <v>2461</v>
      </c>
      <c r="C463" s="1837"/>
      <c r="D463" s="1763" t="s">
        <v>2391</v>
      </c>
      <c r="E463" s="1838" t="n">
        <v>3</v>
      </c>
      <c r="F463" s="1838" t="n">
        <v>2</v>
      </c>
      <c r="G463" s="1838" t="n">
        <v>2</v>
      </c>
    </row>
    <row r="464" customFormat="false" ht="12.75" hidden="false" customHeight="true" outlineLevel="0" collapsed="false">
      <c r="A464" s="1839" t="n">
        <v>70</v>
      </c>
      <c r="B464" s="1845" t="s">
        <v>2462</v>
      </c>
      <c r="C464" s="1841"/>
      <c r="D464" s="1763" t="s">
        <v>2463</v>
      </c>
      <c r="E464" s="1838" t="n">
        <v>9</v>
      </c>
      <c r="F464" s="1838" t="n">
        <v>6</v>
      </c>
      <c r="G464" s="1838" t="n">
        <v>21</v>
      </c>
    </row>
    <row r="465" customFormat="false" ht="12.75" hidden="false" customHeight="true" outlineLevel="0" collapsed="false">
      <c r="A465" s="1746" t="n">
        <v>71</v>
      </c>
      <c r="B465" s="1845" t="s">
        <v>2464</v>
      </c>
      <c r="C465" s="1841"/>
      <c r="D465" s="1763" t="s">
        <v>2463</v>
      </c>
      <c r="E465" s="1838" t="n">
        <v>3</v>
      </c>
      <c r="F465" s="1838" t="n">
        <v>6</v>
      </c>
      <c r="G465" s="1838" t="n">
        <v>14</v>
      </c>
    </row>
    <row r="466" customFormat="false" ht="12.75" hidden="false" customHeight="true" outlineLevel="0" collapsed="false">
      <c r="A466" s="1839" t="n">
        <v>72</v>
      </c>
      <c r="B466" s="1853" t="s">
        <v>2465</v>
      </c>
      <c r="C466" s="1841"/>
      <c r="D466" s="1763" t="s">
        <v>2391</v>
      </c>
      <c r="E466" s="1854" t="s">
        <v>2466</v>
      </c>
      <c r="F466" s="1854" t="n">
        <v>6</v>
      </c>
      <c r="G466" s="1854" t="n">
        <v>10</v>
      </c>
    </row>
    <row r="467" customFormat="false" ht="12.75" hidden="false" customHeight="true" outlineLevel="0" collapsed="false">
      <c r="A467" s="1746" t="n">
        <v>73</v>
      </c>
      <c r="B467" s="1845" t="s">
        <v>2467</v>
      </c>
      <c r="C467" s="1843"/>
      <c r="D467" s="1763" t="s">
        <v>2391</v>
      </c>
      <c r="E467" s="1838" t="n">
        <v>1.5</v>
      </c>
      <c r="F467" s="1838" t="n">
        <f aca="false">3/0.437/10</f>
        <v>0.68649885583524</v>
      </c>
      <c r="G467" s="1838" t="n">
        <f aca="false">24/0.83/10</f>
        <v>2.89156626506024</v>
      </c>
    </row>
    <row r="468" customFormat="false" ht="12.75" hidden="false" customHeight="true" outlineLevel="0" collapsed="false">
      <c r="A468" s="1839" t="n">
        <v>74</v>
      </c>
      <c r="B468" s="1845" t="s">
        <v>2468</v>
      </c>
      <c r="C468" s="1843"/>
      <c r="D468" s="1763" t="s">
        <v>2391</v>
      </c>
      <c r="E468" s="1838" t="n">
        <v>0.6</v>
      </c>
      <c r="F468" s="1838" t="n">
        <f aca="false">1/0.437/10</f>
        <v>0.22883295194508</v>
      </c>
      <c r="G468" s="1838" t="n">
        <f aca="false">4/0.83/10</f>
        <v>0.481927710843373</v>
      </c>
    </row>
    <row r="469" customFormat="false" ht="12.75" hidden="false" customHeight="true" outlineLevel="0" collapsed="false">
      <c r="A469" s="1746" t="n">
        <v>75</v>
      </c>
      <c r="B469" s="1845" t="s">
        <v>2469</v>
      </c>
      <c r="C469" s="1843"/>
      <c r="D469" s="1763" t="s">
        <v>2391</v>
      </c>
      <c r="E469" s="1838" t="n">
        <v>1.6</v>
      </c>
      <c r="F469" s="1838" t="n">
        <f aca="false">5/0.437/10</f>
        <v>1.1441647597254</v>
      </c>
      <c r="G469" s="1838" t="n">
        <f aca="false">13/0.83/10</f>
        <v>1.56626506024096</v>
      </c>
    </row>
    <row r="470" customFormat="false" ht="12.75" hidden="false" customHeight="true" outlineLevel="0" collapsed="false">
      <c r="A470" s="1839" t="n">
        <v>76</v>
      </c>
      <c r="B470" s="1845" t="s">
        <v>2470</v>
      </c>
      <c r="C470" s="1841"/>
      <c r="D470" s="1763" t="s">
        <v>2391</v>
      </c>
      <c r="E470" s="1838" t="n">
        <v>2</v>
      </c>
      <c r="F470" s="1838" t="n">
        <f aca="false">10/0.437/10</f>
        <v>2.2883295194508</v>
      </c>
      <c r="G470" s="1838" t="n">
        <f aca="false">10/0.83/10</f>
        <v>1.20481927710843</v>
      </c>
    </row>
    <row r="471" customFormat="false" ht="12.75" hidden="false" customHeight="true" outlineLevel="0" collapsed="false">
      <c r="A471" s="1746" t="n">
        <v>77</v>
      </c>
      <c r="B471" s="1845" t="s">
        <v>2471</v>
      </c>
      <c r="C471" s="1841"/>
      <c r="D471" s="1763" t="s">
        <v>2391</v>
      </c>
      <c r="E471" s="1838" t="n">
        <v>1.2</v>
      </c>
      <c r="F471" s="1838" t="n">
        <f aca="false">8/0.437/10</f>
        <v>1.83066361556064</v>
      </c>
      <c r="G471" s="1838" t="n">
        <f aca="false">8/0.83/10</f>
        <v>0.963855421686747</v>
      </c>
    </row>
    <row r="472" customFormat="false" ht="12.75" hidden="false" customHeight="true" outlineLevel="0" collapsed="false">
      <c r="A472" s="1839" t="n">
        <v>78</v>
      </c>
      <c r="B472" s="1845" t="s">
        <v>2472</v>
      </c>
      <c r="C472" s="1841"/>
      <c r="D472" s="1763" t="s">
        <v>2391</v>
      </c>
      <c r="E472" s="1838" t="n">
        <v>1.35</v>
      </c>
      <c r="F472" s="1838" t="n">
        <f aca="false">8/0.437/10</f>
        <v>1.83066361556064</v>
      </c>
      <c r="G472" s="1838" t="n">
        <f aca="false">8/0.83/10</f>
        <v>0.963855421686747</v>
      </c>
    </row>
    <row r="473" customFormat="false" ht="12.75" hidden="false" customHeight="true" outlineLevel="0" collapsed="false">
      <c r="A473" s="1746" t="n">
        <v>79</v>
      </c>
      <c r="B473" s="1845" t="s">
        <v>2473</v>
      </c>
      <c r="C473" s="1841"/>
      <c r="D473" s="1763" t="s">
        <v>2391</v>
      </c>
      <c r="E473" s="1838" t="n">
        <v>1.2</v>
      </c>
      <c r="F473" s="1838" t="n">
        <f aca="false">4/0.437/10</f>
        <v>0.91533180778032</v>
      </c>
      <c r="G473" s="1838" t="n">
        <f aca="false">12/0.83/10</f>
        <v>1.44578313253012</v>
      </c>
    </row>
    <row r="474" customFormat="false" ht="12.75" hidden="false" customHeight="true" outlineLevel="0" collapsed="false">
      <c r="A474" s="1839" t="n">
        <v>80</v>
      </c>
      <c r="B474" s="1845" t="s">
        <v>2474</v>
      </c>
      <c r="C474" s="1841"/>
      <c r="D474" s="1763" t="s">
        <v>2391</v>
      </c>
      <c r="E474" s="1838" t="n">
        <v>2</v>
      </c>
      <c r="F474" s="1838" t="n">
        <f aca="false">5/0.437/10</f>
        <v>1.1441647597254</v>
      </c>
      <c r="G474" s="1838" t="n">
        <f aca="false">5/0.83/10</f>
        <v>0.602409638554217</v>
      </c>
    </row>
    <row r="475" customFormat="false" ht="12.75" hidden="false" customHeight="true" outlineLevel="0" collapsed="false">
      <c r="A475" s="1746" t="n">
        <v>81</v>
      </c>
      <c r="B475" s="1842" t="s">
        <v>2475</v>
      </c>
      <c r="C475" s="1837"/>
      <c r="D475" s="1763" t="s">
        <v>2391</v>
      </c>
      <c r="E475" s="1849" t="n">
        <v>12</v>
      </c>
      <c r="F475" s="1849" t="n">
        <v>6</v>
      </c>
      <c r="G475" s="1849" t="n">
        <v>26</v>
      </c>
    </row>
    <row r="476" customFormat="false" ht="12.75" hidden="false" customHeight="true" outlineLevel="0" collapsed="false">
      <c r="A476" s="1839" t="n">
        <v>82</v>
      </c>
      <c r="B476" s="1836" t="s">
        <v>2476</v>
      </c>
      <c r="C476" s="1837"/>
      <c r="D476" s="1763" t="s">
        <v>2391</v>
      </c>
      <c r="E476" s="1838" t="n">
        <v>82</v>
      </c>
      <c r="F476" s="1838" t="n">
        <v>0</v>
      </c>
      <c r="G476" s="1838" t="n">
        <v>0</v>
      </c>
    </row>
    <row r="477" customFormat="false" ht="12.75" hidden="false" customHeight="true" outlineLevel="0" collapsed="false">
      <c r="A477" s="1746" t="n">
        <v>83</v>
      </c>
      <c r="B477" s="1847" t="s">
        <v>2477</v>
      </c>
      <c r="C477" s="1843"/>
      <c r="D477" s="1763" t="s">
        <v>2391</v>
      </c>
      <c r="E477" s="1844" t="n">
        <v>15</v>
      </c>
      <c r="F477" s="1844" t="n">
        <v>0</v>
      </c>
      <c r="G477" s="1844" t="n">
        <v>0</v>
      </c>
    </row>
    <row r="478" customFormat="false" ht="12.75" hidden="false" customHeight="true" outlineLevel="0" collapsed="false">
      <c r="A478" s="1839" t="n">
        <v>84</v>
      </c>
      <c r="B478" s="1840" t="s">
        <v>2478</v>
      </c>
      <c r="C478" s="1841"/>
      <c r="D478" s="1763" t="s">
        <v>2391</v>
      </c>
      <c r="E478" s="1838" t="n">
        <v>13</v>
      </c>
      <c r="F478" s="1838" t="n">
        <v>0</v>
      </c>
      <c r="G478" s="1838" t="n">
        <v>46</v>
      </c>
    </row>
    <row r="479" customFormat="false" ht="12.75" hidden="false" customHeight="true" outlineLevel="0" collapsed="false">
      <c r="A479" s="1839" t="n">
        <v>85</v>
      </c>
      <c r="B479" s="1846" t="s">
        <v>2479</v>
      </c>
      <c r="C479" s="1837"/>
      <c r="D479" s="1763" t="s">
        <v>2391</v>
      </c>
      <c r="E479" s="1838" t="n">
        <v>12</v>
      </c>
      <c r="F479" s="1838" t="n">
        <v>12</v>
      </c>
      <c r="G479" s="1838" t="n">
        <v>17</v>
      </c>
    </row>
    <row r="480" customFormat="false" ht="12.75" hidden="false" customHeight="true" outlineLevel="0" collapsed="false">
      <c r="A480" s="1839" t="n">
        <v>86</v>
      </c>
      <c r="B480" s="1846" t="s">
        <v>2480</v>
      </c>
      <c r="C480" s="1837"/>
      <c r="D480" s="1763" t="s">
        <v>2391</v>
      </c>
      <c r="E480" s="1838" t="n">
        <v>15</v>
      </c>
      <c r="F480" s="1838" t="n">
        <v>5</v>
      </c>
      <c r="G480" s="1838" t="n">
        <v>20</v>
      </c>
    </row>
    <row r="481" customFormat="false" ht="12.75" hidden="false" customHeight="true" outlineLevel="0" collapsed="false">
      <c r="A481" s="1839" t="n">
        <v>87</v>
      </c>
      <c r="B481" s="1840" t="s">
        <v>2481</v>
      </c>
      <c r="C481" s="1841"/>
      <c r="D481" s="1763" t="s">
        <v>2391</v>
      </c>
      <c r="E481" s="1838" t="n">
        <v>30</v>
      </c>
      <c r="F481" s="1838" t="n">
        <v>0</v>
      </c>
      <c r="G481" s="1838" t="n">
        <v>0</v>
      </c>
    </row>
    <row r="482" customFormat="false" ht="12.75" hidden="false" customHeight="true" outlineLevel="0" collapsed="false">
      <c r="A482" s="1839" t="n">
        <v>88</v>
      </c>
      <c r="B482" s="1845" t="s">
        <v>2482</v>
      </c>
      <c r="C482" s="1843"/>
      <c r="D482" s="1763" t="s">
        <v>2391</v>
      </c>
      <c r="E482" s="1838" t="n">
        <v>16</v>
      </c>
      <c r="F482" s="1838" t="n">
        <v>10</v>
      </c>
      <c r="G482" s="1838" t="n">
        <v>10</v>
      </c>
    </row>
    <row r="483" customFormat="false" ht="12.75" hidden="false" customHeight="true" outlineLevel="0" collapsed="false">
      <c r="A483" s="1839" t="n">
        <v>89</v>
      </c>
      <c r="B483" s="1845" t="s">
        <v>2483</v>
      </c>
      <c r="C483" s="1841"/>
      <c r="D483" s="1763" t="s">
        <v>2391</v>
      </c>
      <c r="E483" s="1838" t="n">
        <v>2.4</v>
      </c>
      <c r="F483" s="1838" t="n">
        <f aca="false">20/0.437/10</f>
        <v>4.5766590389016</v>
      </c>
      <c r="G483" s="1838" t="n">
        <f aca="false">18/0.83/10</f>
        <v>2.16867469879518</v>
      </c>
    </row>
    <row r="484" customFormat="false" ht="12.75" hidden="false" customHeight="true" outlineLevel="0" collapsed="false">
      <c r="A484" s="1839" t="n">
        <v>90</v>
      </c>
      <c r="B484" s="1846" t="s">
        <v>2484</v>
      </c>
      <c r="C484" s="1837"/>
      <c r="D484" s="1763" t="s">
        <v>2391</v>
      </c>
      <c r="E484" s="1838" t="n">
        <v>14</v>
      </c>
      <c r="F484" s="1838" t="n">
        <v>14</v>
      </c>
      <c r="G484" s="1838" t="n">
        <v>14</v>
      </c>
    </row>
    <row r="485" customFormat="false" ht="12.75" hidden="false" customHeight="true" outlineLevel="0" collapsed="false">
      <c r="A485" s="1839" t="n">
        <v>91</v>
      </c>
      <c r="B485" s="1845" t="s">
        <v>2485</v>
      </c>
      <c r="C485" s="1841"/>
      <c r="D485" s="1763" t="s">
        <v>2391</v>
      </c>
      <c r="E485" s="1838" t="n">
        <v>1.6</v>
      </c>
      <c r="F485" s="1838" t="n">
        <f aca="false">1/0.437/10</f>
        <v>0.22883295194508</v>
      </c>
      <c r="G485" s="1838" t="n">
        <f aca="false">7.5/0.83/10</f>
        <v>0.903614457831325</v>
      </c>
    </row>
    <row r="486" customFormat="false" ht="12.75" hidden="false" customHeight="true" outlineLevel="0" collapsed="false">
      <c r="A486" s="1839" t="n">
        <v>92</v>
      </c>
      <c r="B486" s="1842" t="s">
        <v>2486</v>
      </c>
      <c r="C486" s="1843"/>
      <c r="D486" s="1763" t="s">
        <v>2391</v>
      </c>
      <c r="E486" s="1844" t="n">
        <v>0</v>
      </c>
      <c r="F486" s="1844" t="n">
        <v>0</v>
      </c>
      <c r="G486" s="1844" t="n">
        <v>18</v>
      </c>
    </row>
    <row r="487" customFormat="false" ht="12.75" hidden="false" customHeight="true" outlineLevel="0" collapsed="false">
      <c r="A487" s="1839" t="n">
        <v>93</v>
      </c>
      <c r="B487" s="1847" t="s">
        <v>2487</v>
      </c>
      <c r="C487" s="1843"/>
      <c r="D487" s="1763" t="s">
        <v>2391</v>
      </c>
      <c r="E487" s="1844" t="n">
        <v>0</v>
      </c>
      <c r="F487" s="1844" t="n">
        <v>0</v>
      </c>
      <c r="G487" s="1844" t="n">
        <v>30</v>
      </c>
    </row>
    <row r="488" customFormat="false" ht="12.75" hidden="false" customHeight="true" outlineLevel="0" collapsed="false">
      <c r="A488" s="1569" t="s">
        <v>1815</v>
      </c>
      <c r="B488" s="1568" t="s">
        <v>2386</v>
      </c>
      <c r="C488" s="1568"/>
      <c r="D488" s="1568" t="s">
        <v>1536</v>
      </c>
      <c r="E488" s="1568" t="s">
        <v>2436</v>
      </c>
      <c r="F488" s="1568"/>
      <c r="G488" s="1568"/>
    </row>
    <row r="489" customFormat="false" ht="15.75" hidden="false" customHeight="true" outlineLevel="0" collapsed="false">
      <c r="A489" s="1569"/>
      <c r="B489" s="1568"/>
      <c r="C489" s="1568"/>
      <c r="D489" s="1568"/>
      <c r="E489" s="1747" t="s">
        <v>406</v>
      </c>
      <c r="F489" s="1747" t="s">
        <v>2388</v>
      </c>
      <c r="G489" s="1747" t="s">
        <v>2389</v>
      </c>
    </row>
    <row r="490" customFormat="false" ht="12.75" hidden="false" customHeight="true" outlineLevel="0" collapsed="false">
      <c r="A490" s="1839" t="n">
        <v>94</v>
      </c>
      <c r="B490" s="1840" t="s">
        <v>2488</v>
      </c>
      <c r="C490" s="1841"/>
      <c r="D490" s="1763" t="s">
        <v>2391</v>
      </c>
      <c r="E490" s="1838" t="n">
        <v>46</v>
      </c>
      <c r="F490" s="1838" t="n">
        <v>0</v>
      </c>
      <c r="G490" s="1838" t="n">
        <v>0</v>
      </c>
    </row>
    <row r="491" customFormat="false" ht="12.75" hidden="false" customHeight="true" outlineLevel="0" collapsed="false">
      <c r="A491" s="1839" t="n">
        <v>95</v>
      </c>
      <c r="B491" s="1846" t="s">
        <v>2489</v>
      </c>
      <c r="C491" s="1837"/>
      <c r="D491" s="1763" t="s">
        <v>2391</v>
      </c>
      <c r="E491" s="1838" t="n">
        <v>3</v>
      </c>
      <c r="F491" s="1838" t="n">
        <v>6</v>
      </c>
      <c r="G491" s="1838" t="n">
        <v>16</v>
      </c>
    </row>
    <row r="492" customFormat="false" ht="12.75" hidden="false" customHeight="true" outlineLevel="0" collapsed="false">
      <c r="A492" s="1839" t="n">
        <v>96</v>
      </c>
      <c r="B492" s="1836" t="s">
        <v>2490</v>
      </c>
      <c r="C492" s="1841"/>
      <c r="D492" s="1763" t="s">
        <v>2391</v>
      </c>
      <c r="E492" s="1849" t="n">
        <v>0</v>
      </c>
      <c r="F492" s="1849" t="n">
        <v>18</v>
      </c>
      <c r="G492" s="1849" t="n">
        <v>10</v>
      </c>
    </row>
    <row r="493" customFormat="false" ht="12.75" hidden="false" customHeight="true" outlineLevel="0" collapsed="false">
      <c r="A493" s="1839" t="n">
        <v>97</v>
      </c>
      <c r="B493" s="1846" t="s">
        <v>2491</v>
      </c>
      <c r="C493" s="1837"/>
      <c r="D493" s="1763" t="s">
        <v>2391</v>
      </c>
      <c r="E493" s="1838" t="n">
        <v>0</v>
      </c>
      <c r="F493" s="1838" t="n">
        <v>27</v>
      </c>
      <c r="G493" s="1838" t="n">
        <v>0</v>
      </c>
    </row>
    <row r="494" customFormat="false" ht="12.75" hidden="false" customHeight="true" outlineLevel="0" collapsed="false">
      <c r="A494" s="1839" t="n">
        <v>98</v>
      </c>
      <c r="B494" s="1847" t="s">
        <v>2492</v>
      </c>
      <c r="C494" s="1843"/>
      <c r="D494" s="1763" t="s">
        <v>2391</v>
      </c>
      <c r="E494" s="1844" t="n">
        <v>18</v>
      </c>
      <c r="F494" s="1844" t="n">
        <v>46</v>
      </c>
      <c r="G494" s="1844" t="n">
        <v>0</v>
      </c>
    </row>
    <row r="495" customFormat="false" ht="12.75" hidden="false" customHeight="true" outlineLevel="0" collapsed="false">
      <c r="A495" s="1839" t="n">
        <v>99</v>
      </c>
      <c r="B495" s="1845" t="s">
        <v>2493</v>
      </c>
      <c r="C495" s="1843"/>
      <c r="D495" s="1763" t="s">
        <v>2391</v>
      </c>
      <c r="E495" s="1838" t="n">
        <v>10</v>
      </c>
      <c r="F495" s="1838" t="n">
        <v>52</v>
      </c>
      <c r="G495" s="1838" t="n">
        <v>10</v>
      </c>
    </row>
    <row r="496" customFormat="false" ht="12.75" hidden="false" customHeight="true" outlineLevel="0" collapsed="false">
      <c r="A496" s="1839" t="n">
        <v>100</v>
      </c>
      <c r="B496" s="1840" t="s">
        <v>2494</v>
      </c>
      <c r="C496" s="1841"/>
      <c r="D496" s="1763" t="s">
        <v>2391</v>
      </c>
      <c r="E496" s="1838" t="n">
        <v>0</v>
      </c>
      <c r="F496" s="1838" t="n">
        <v>0</v>
      </c>
      <c r="G496" s="1838" t="n">
        <v>40</v>
      </c>
    </row>
    <row r="497" customFormat="false" ht="12.75" hidden="false" customHeight="true" outlineLevel="0" collapsed="false">
      <c r="A497" s="1839" t="n">
        <v>101</v>
      </c>
      <c r="B497" s="1845" t="s">
        <v>2495</v>
      </c>
      <c r="C497" s="1841"/>
      <c r="D497" s="1763" t="s">
        <v>2391</v>
      </c>
      <c r="E497" s="1838" t="n">
        <v>2</v>
      </c>
      <c r="F497" s="1838" t="n">
        <f aca="false">7/0.437/10</f>
        <v>1.60183066361556</v>
      </c>
      <c r="G497" s="1838" t="n">
        <f aca="false">10/0.83/10</f>
        <v>1.20481927710843</v>
      </c>
    </row>
    <row r="498" customFormat="false" ht="12.75" hidden="false" customHeight="true" outlineLevel="0" collapsed="false">
      <c r="A498" s="1839" t="n">
        <v>102</v>
      </c>
      <c r="B498" s="1845" t="s">
        <v>2496</v>
      </c>
      <c r="C498" s="1843"/>
      <c r="D498" s="1763" t="s">
        <v>2391</v>
      </c>
      <c r="E498" s="1838" t="n">
        <v>1</v>
      </c>
      <c r="F498" s="1838" t="n">
        <f aca="false">5/0.437/10</f>
        <v>1.1441647597254</v>
      </c>
      <c r="G498" s="1838" t="n">
        <f aca="false">5/0.83/10</f>
        <v>0.602409638554217</v>
      </c>
    </row>
    <row r="499" customFormat="false" ht="12.75" hidden="false" customHeight="true" outlineLevel="0" collapsed="false">
      <c r="A499" s="1839" t="n">
        <v>103</v>
      </c>
      <c r="B499" s="1853" t="s">
        <v>2497</v>
      </c>
      <c r="C499" s="1841"/>
      <c r="D499" s="1763" t="s">
        <v>2391</v>
      </c>
      <c r="E499" s="1849" t="s">
        <v>2498</v>
      </c>
      <c r="F499" s="1849" t="n">
        <v>6</v>
      </c>
      <c r="G499" s="1849" t="n">
        <v>15</v>
      </c>
    </row>
    <row r="500" customFormat="false" ht="12.75" hidden="false" customHeight="true" outlineLevel="0" collapsed="false">
      <c r="A500" s="1839" t="n">
        <v>104</v>
      </c>
      <c r="B500" s="1840" t="s">
        <v>2499</v>
      </c>
      <c r="C500" s="1841"/>
      <c r="D500" s="1763" t="s">
        <v>2391</v>
      </c>
      <c r="E500" s="1838" t="n">
        <v>0</v>
      </c>
      <c r="F500" s="1838" t="n">
        <v>12</v>
      </c>
      <c r="G500" s="1838" t="n">
        <v>0</v>
      </c>
    </row>
    <row r="501" customFormat="false" ht="12.75" hidden="false" customHeight="true" outlineLevel="0" collapsed="false">
      <c r="A501" s="1839" t="n">
        <v>105</v>
      </c>
      <c r="B501" s="1840" t="s">
        <v>2500</v>
      </c>
      <c r="C501" s="1841"/>
      <c r="D501" s="1763" t="s">
        <v>2391</v>
      </c>
      <c r="E501" s="1838" t="n">
        <v>0</v>
      </c>
      <c r="F501" s="1838" t="n">
        <v>16</v>
      </c>
      <c r="G501" s="1838" t="n">
        <v>0</v>
      </c>
    </row>
    <row r="502" customFormat="false" ht="12.75" hidden="false" customHeight="true" outlineLevel="0" collapsed="false">
      <c r="A502" s="1839" t="n">
        <v>106</v>
      </c>
      <c r="B502" s="1840" t="s">
        <v>2501</v>
      </c>
      <c r="C502" s="1841"/>
      <c r="D502" s="1763" t="s">
        <v>2391</v>
      </c>
      <c r="E502" s="1838" t="n">
        <v>0</v>
      </c>
      <c r="F502" s="1838" t="n">
        <v>18</v>
      </c>
      <c r="G502" s="1838" t="n">
        <v>0</v>
      </c>
    </row>
    <row r="503" customFormat="false" ht="12.75" hidden="false" customHeight="true" outlineLevel="0" collapsed="false">
      <c r="A503" s="1839" t="n">
        <v>107</v>
      </c>
      <c r="B503" s="1836" t="s">
        <v>2502</v>
      </c>
      <c r="C503" s="1837"/>
      <c r="D503" s="1763" t="s">
        <v>2391</v>
      </c>
      <c r="E503" s="1838" t="n">
        <v>0</v>
      </c>
      <c r="F503" s="1838" t="n">
        <v>7</v>
      </c>
      <c r="G503" s="1838" t="n">
        <v>21</v>
      </c>
    </row>
    <row r="504" customFormat="false" ht="12.75" hidden="false" customHeight="true" outlineLevel="0" collapsed="false">
      <c r="A504" s="1839" t="n">
        <v>108</v>
      </c>
      <c r="B504" s="1845" t="s">
        <v>2503</v>
      </c>
      <c r="C504" s="1841"/>
      <c r="D504" s="1763" t="s">
        <v>2391</v>
      </c>
      <c r="E504" s="1838" t="n">
        <v>0</v>
      </c>
      <c r="F504" s="1838" t="n">
        <v>8</v>
      </c>
      <c r="G504" s="1838" t="n">
        <v>24</v>
      </c>
    </row>
    <row r="505" customFormat="false" ht="12.75" hidden="false" customHeight="true" outlineLevel="0" collapsed="false">
      <c r="A505" s="1839" t="n">
        <v>109</v>
      </c>
      <c r="B505" s="1836" t="s">
        <v>2504</v>
      </c>
      <c r="C505" s="1837"/>
      <c r="D505" s="1763" t="s">
        <v>2391</v>
      </c>
      <c r="E505" s="1838" t="n">
        <v>0</v>
      </c>
      <c r="F505" s="1838" t="n">
        <v>10</v>
      </c>
      <c r="G505" s="1838" t="n">
        <v>10</v>
      </c>
    </row>
    <row r="506" customFormat="false" ht="12.75" hidden="false" customHeight="true" outlineLevel="0" collapsed="false">
      <c r="A506" s="1839" t="n">
        <v>110</v>
      </c>
      <c r="B506" s="1836" t="s">
        <v>2505</v>
      </c>
      <c r="C506" s="1837"/>
      <c r="D506" s="1763" t="s">
        <v>2391</v>
      </c>
      <c r="E506" s="1838" t="n">
        <v>0</v>
      </c>
      <c r="F506" s="1838" t="n">
        <v>10</v>
      </c>
      <c r="G506" s="1838" t="n">
        <v>15</v>
      </c>
    </row>
    <row r="507" customFormat="false" ht="12.75" hidden="false" customHeight="true" outlineLevel="0" collapsed="false">
      <c r="A507" s="1839" t="n">
        <v>111</v>
      </c>
      <c r="B507" s="1836" t="s">
        <v>2506</v>
      </c>
      <c r="C507" s="1837"/>
      <c r="D507" s="1763" t="s">
        <v>2391</v>
      </c>
      <c r="E507" s="1838" t="n">
        <v>0</v>
      </c>
      <c r="F507" s="1838" t="n">
        <v>10</v>
      </c>
      <c r="G507" s="1838" t="n">
        <v>20</v>
      </c>
    </row>
    <row r="508" customFormat="false" ht="12.75" hidden="false" customHeight="true" outlineLevel="0" collapsed="false">
      <c r="A508" s="1839" t="n">
        <v>112</v>
      </c>
      <c r="B508" s="1836" t="s">
        <v>2507</v>
      </c>
      <c r="C508" s="1837"/>
      <c r="D508" s="1763" t="s">
        <v>2391</v>
      </c>
      <c r="E508" s="1838" t="n">
        <v>0</v>
      </c>
      <c r="F508" s="1838" t="n">
        <v>12</v>
      </c>
      <c r="G508" s="1838" t="n">
        <v>12</v>
      </c>
    </row>
    <row r="509" customFormat="false" ht="12.75" hidden="false" customHeight="true" outlineLevel="0" collapsed="false">
      <c r="A509" s="1839" t="n">
        <v>113</v>
      </c>
      <c r="B509" s="1836" t="s">
        <v>2508</v>
      </c>
      <c r="C509" s="1841"/>
      <c r="D509" s="1763" t="s">
        <v>2391</v>
      </c>
      <c r="E509" s="1838" t="n">
        <v>0</v>
      </c>
      <c r="F509" s="1838" t="n">
        <v>15</v>
      </c>
      <c r="G509" s="1838" t="n">
        <v>15</v>
      </c>
    </row>
    <row r="510" customFormat="false" ht="12.75" hidden="false" customHeight="true" outlineLevel="0" collapsed="false">
      <c r="A510" s="1839" t="n">
        <v>114</v>
      </c>
      <c r="B510" s="1836" t="s">
        <v>2509</v>
      </c>
      <c r="C510" s="1837"/>
      <c r="D510" s="1763" t="s">
        <v>2391</v>
      </c>
      <c r="E510" s="1838" t="n">
        <v>0</v>
      </c>
      <c r="F510" s="1838" t="n">
        <v>6</v>
      </c>
      <c r="G510" s="1838" t="n">
        <v>18</v>
      </c>
    </row>
    <row r="511" customFormat="false" ht="12.75" hidden="false" customHeight="true" outlineLevel="0" collapsed="false">
      <c r="A511" s="1839" t="n">
        <v>115</v>
      </c>
      <c r="B511" s="1842" t="s">
        <v>2510</v>
      </c>
      <c r="C511" s="1843"/>
      <c r="D511" s="1763" t="s">
        <v>2391</v>
      </c>
      <c r="E511" s="1844" t="n">
        <v>8</v>
      </c>
      <c r="F511" s="1844" t="n">
        <v>5</v>
      </c>
      <c r="G511" s="1844" t="n">
        <v>20</v>
      </c>
    </row>
    <row r="512" customFormat="false" ht="12.75" hidden="false" customHeight="true" outlineLevel="0" collapsed="false">
      <c r="A512" s="1839" t="n">
        <v>116</v>
      </c>
      <c r="B512" s="1840" t="s">
        <v>2511</v>
      </c>
      <c r="C512" s="1841"/>
      <c r="D512" s="1763" t="s">
        <v>2391</v>
      </c>
      <c r="E512" s="1838" t="n">
        <v>30</v>
      </c>
      <c r="F512" s="1838" t="n">
        <v>0</v>
      </c>
      <c r="G512" s="1838" t="n">
        <v>0</v>
      </c>
    </row>
    <row r="513" customFormat="false" ht="12.75" hidden="false" customHeight="true" outlineLevel="0" collapsed="false">
      <c r="A513" s="1839" t="n">
        <v>117</v>
      </c>
      <c r="B513" s="1842" t="s">
        <v>2512</v>
      </c>
      <c r="C513" s="1855"/>
      <c r="D513" s="1763" t="s">
        <v>2391</v>
      </c>
      <c r="E513" s="1838" t="n">
        <v>7</v>
      </c>
      <c r="F513" s="1838" t="n">
        <v>5</v>
      </c>
      <c r="G513" s="1838" t="n">
        <v>20</v>
      </c>
    </row>
    <row r="514" customFormat="false" ht="12.75" hidden="false" customHeight="true" outlineLevel="0" collapsed="false">
      <c r="A514" s="1839" t="n">
        <v>118</v>
      </c>
      <c r="B514" s="1842" t="s">
        <v>2513</v>
      </c>
      <c r="C514" s="1855"/>
      <c r="D514" s="1763" t="s">
        <v>2391</v>
      </c>
      <c r="E514" s="1838" t="n">
        <v>10</v>
      </c>
      <c r="F514" s="1838" t="n">
        <v>3</v>
      </c>
      <c r="G514" s="1838" t="n">
        <v>30</v>
      </c>
    </row>
    <row r="515" customFormat="false" ht="12.75" hidden="false" customHeight="true" outlineLevel="0" collapsed="false">
      <c r="A515" s="1839" t="n">
        <v>119</v>
      </c>
      <c r="B515" s="1845" t="s">
        <v>2514</v>
      </c>
      <c r="C515" s="1841"/>
      <c r="D515" s="1763" t="s">
        <v>2391</v>
      </c>
      <c r="E515" s="1838" t="n">
        <v>0</v>
      </c>
      <c r="F515" s="1838" t="n">
        <v>10</v>
      </c>
      <c r="G515" s="1838" t="n">
        <v>26</v>
      </c>
    </row>
    <row r="516" customFormat="false" ht="12.75" hidden="false" customHeight="true" outlineLevel="0" collapsed="false">
      <c r="A516" s="1839" t="n">
        <v>120</v>
      </c>
      <c r="B516" s="1840" t="s">
        <v>2515</v>
      </c>
      <c r="C516" s="1841"/>
      <c r="D516" s="1763" t="s">
        <v>2391</v>
      </c>
      <c r="E516" s="1838" t="n">
        <v>21</v>
      </c>
      <c r="F516" s="1838" t="n">
        <v>0</v>
      </c>
      <c r="G516" s="1838" t="n">
        <v>0</v>
      </c>
    </row>
    <row r="517" customFormat="false" ht="12.75" hidden="false" customHeight="true" outlineLevel="0" collapsed="false">
      <c r="A517" s="1856" t="n">
        <v>121</v>
      </c>
      <c r="B517" s="1518" t="s">
        <v>2516</v>
      </c>
      <c r="C517" s="1518"/>
      <c r="D517" s="1763" t="s">
        <v>2391</v>
      </c>
      <c r="E517" s="1844" t="n">
        <v>0</v>
      </c>
      <c r="F517" s="1844" t="n">
        <v>0</v>
      </c>
      <c r="G517" s="1844" t="n">
        <v>50</v>
      </c>
    </row>
    <row r="518" customFormat="false" ht="12.75" hidden="false" customHeight="true" outlineLevel="0" collapsed="false">
      <c r="A518" s="1839" t="n">
        <v>122</v>
      </c>
      <c r="B518" s="1840" t="s">
        <v>2517</v>
      </c>
      <c r="C518" s="1841"/>
      <c r="D518" s="1763" t="s">
        <v>2391</v>
      </c>
      <c r="E518" s="1838" t="n">
        <v>0</v>
      </c>
      <c r="F518" s="1838" t="n">
        <v>18</v>
      </c>
      <c r="G518" s="1838" t="n">
        <v>0</v>
      </c>
    </row>
    <row r="519" customFormat="false" ht="12.75" hidden="false" customHeight="true" outlineLevel="0" collapsed="false">
      <c r="A519" s="1839" t="n">
        <v>123</v>
      </c>
      <c r="B519" s="1840" t="s">
        <v>2518</v>
      </c>
      <c r="C519" s="1841"/>
      <c r="D519" s="1763" t="s">
        <v>2391</v>
      </c>
      <c r="E519" s="1838" t="n">
        <v>0</v>
      </c>
      <c r="F519" s="1838" t="n">
        <v>25</v>
      </c>
      <c r="G519" s="1838" t="n">
        <v>0</v>
      </c>
    </row>
    <row r="520" customFormat="false" ht="12.75" hidden="false" customHeight="true" outlineLevel="0" collapsed="false">
      <c r="A520" s="1839" t="n">
        <v>124</v>
      </c>
      <c r="B520" s="1840" t="s">
        <v>2519</v>
      </c>
      <c r="C520" s="1841"/>
      <c r="D520" s="1763" t="s">
        <v>2391</v>
      </c>
      <c r="E520" s="1838" t="n">
        <v>0</v>
      </c>
      <c r="F520" s="1838" t="n">
        <v>45</v>
      </c>
      <c r="G520" s="1838" t="n">
        <v>0</v>
      </c>
    </row>
    <row r="521" customFormat="false" ht="12.75" hidden="false" customHeight="true" outlineLevel="0" collapsed="false">
      <c r="A521" s="1839" t="n">
        <v>125</v>
      </c>
      <c r="B521" s="1836" t="s">
        <v>2520</v>
      </c>
      <c r="C521" s="1841"/>
      <c r="D521" s="1763" t="s">
        <v>2391</v>
      </c>
      <c r="E521" s="1838" t="n">
        <v>0</v>
      </c>
      <c r="F521" s="1838" t="n">
        <v>12</v>
      </c>
      <c r="G521" s="1838" t="n">
        <v>24</v>
      </c>
    </row>
    <row r="522" customFormat="false" ht="12.75" hidden="false" customHeight="true" outlineLevel="0" collapsed="false">
      <c r="A522" s="1839" t="n">
        <v>126</v>
      </c>
      <c r="B522" s="1836" t="s">
        <v>2521</v>
      </c>
      <c r="C522" s="1841"/>
      <c r="D522" s="1763" t="s">
        <v>2391</v>
      </c>
      <c r="E522" s="1838" t="n">
        <v>0</v>
      </c>
      <c r="F522" s="1838" t="n">
        <v>13</v>
      </c>
      <c r="G522" s="1838" t="n">
        <v>18</v>
      </c>
    </row>
    <row r="523" customFormat="false" ht="12.75" hidden="false" customHeight="true" outlineLevel="0" collapsed="false">
      <c r="A523" s="1839" t="n">
        <v>127</v>
      </c>
      <c r="B523" s="1836" t="s">
        <v>2522</v>
      </c>
      <c r="C523" s="1837"/>
      <c r="D523" s="1763" t="s">
        <v>2391</v>
      </c>
      <c r="E523" s="1838" t="n">
        <v>0</v>
      </c>
      <c r="F523" s="1838" t="n">
        <v>14</v>
      </c>
      <c r="G523" s="1838" t="n">
        <v>28</v>
      </c>
    </row>
    <row r="524" customFormat="false" ht="12.75" hidden="false" customHeight="true" outlineLevel="0" collapsed="false">
      <c r="A524" s="1839" t="n">
        <v>128</v>
      </c>
      <c r="B524" s="1836" t="s">
        <v>2523</v>
      </c>
      <c r="C524" s="1837"/>
      <c r="D524" s="1763" t="s">
        <v>2391</v>
      </c>
      <c r="E524" s="1838" t="n">
        <v>0</v>
      </c>
      <c r="F524" s="1838" t="n">
        <v>20</v>
      </c>
      <c r="G524" s="1838" t="n">
        <v>20</v>
      </c>
    </row>
    <row r="525" customFormat="false" ht="12.75" hidden="false" customHeight="true" outlineLevel="0" collapsed="false">
      <c r="A525" s="1839" t="n">
        <v>129</v>
      </c>
      <c r="B525" s="1836" t="s">
        <v>2524</v>
      </c>
      <c r="C525" s="1843"/>
      <c r="D525" s="1763" t="s">
        <v>2391</v>
      </c>
      <c r="E525" s="1838" t="n">
        <v>0</v>
      </c>
      <c r="F525" s="1838" t="n">
        <v>25</v>
      </c>
      <c r="G525" s="1838" t="n">
        <v>25</v>
      </c>
    </row>
    <row r="526" customFormat="false" ht="12.75" hidden="false" customHeight="true" outlineLevel="0" collapsed="false">
      <c r="A526" s="1839" t="n">
        <v>130</v>
      </c>
      <c r="B526" s="1845" t="s">
        <v>2525</v>
      </c>
      <c r="C526" s="1843"/>
      <c r="D526" s="1763" t="s">
        <v>2391</v>
      </c>
      <c r="E526" s="1838" t="n">
        <v>0.6</v>
      </c>
      <c r="F526" s="1838" t="n">
        <f aca="false">2/0.437/10</f>
        <v>0.45766590389016</v>
      </c>
      <c r="G526" s="1838" t="n">
        <f aca="false">3/0.83/10</f>
        <v>0.36144578313253</v>
      </c>
    </row>
    <row r="527" customFormat="false" ht="12.75" hidden="false" customHeight="true" outlineLevel="0" collapsed="false">
      <c r="A527" s="1839" t="n">
        <v>131</v>
      </c>
      <c r="B527" s="1845" t="s">
        <v>2526</v>
      </c>
      <c r="C527" s="1843"/>
      <c r="D527" s="1763" t="s">
        <v>2391</v>
      </c>
      <c r="E527" s="1838" t="n">
        <v>0.5</v>
      </c>
      <c r="F527" s="1838" t="n">
        <f aca="false">3/0.437/10</f>
        <v>0.68649885583524</v>
      </c>
      <c r="G527" s="1838" t="n">
        <f aca="false">1/0.83/10</f>
        <v>0.120481927710843</v>
      </c>
    </row>
    <row r="528" customFormat="false" ht="12.75" hidden="false" customHeight="true" outlineLevel="0" collapsed="false">
      <c r="A528" s="1839" t="n">
        <v>132</v>
      </c>
      <c r="B528" s="1845" t="s">
        <v>2527</v>
      </c>
      <c r="C528" s="1841"/>
      <c r="D528" s="1763" t="s">
        <v>2391</v>
      </c>
      <c r="E528" s="1838" t="n">
        <v>2.3</v>
      </c>
      <c r="F528" s="1838" t="n">
        <f aca="false">7/0.437/10</f>
        <v>1.60183066361556</v>
      </c>
      <c r="G528" s="1838" t="n">
        <f aca="false">13/0.83/10</f>
        <v>1.56626506024096</v>
      </c>
    </row>
    <row r="529" customFormat="false" ht="12.75" hidden="false" customHeight="true" outlineLevel="0" collapsed="false">
      <c r="A529" s="1839" t="n">
        <v>133</v>
      </c>
      <c r="B529" s="1847" t="s">
        <v>2528</v>
      </c>
      <c r="C529" s="1843"/>
      <c r="D529" s="1763" t="s">
        <v>2391</v>
      </c>
      <c r="E529" s="1838" t="n">
        <v>2.3</v>
      </c>
      <c r="F529" s="1838" t="n">
        <v>1.6</v>
      </c>
      <c r="G529" s="1838" t="n">
        <v>1.6</v>
      </c>
    </row>
    <row r="530" customFormat="false" ht="12.75" hidden="false" customHeight="true" outlineLevel="0" collapsed="false">
      <c r="A530" s="1329"/>
      <c r="D530" s="1735"/>
    </row>
    <row r="531" customFormat="false" ht="15" hidden="false" customHeight="true" outlineLevel="0" collapsed="false">
      <c r="A531" s="1742" t="s">
        <v>2529</v>
      </c>
      <c r="D531" s="1735"/>
    </row>
    <row r="532" customFormat="false" ht="12.75" hidden="false" customHeight="true" outlineLevel="0" collapsed="false">
      <c r="A532" s="1329"/>
      <c r="D532" s="1735"/>
    </row>
    <row r="533" customFormat="false" ht="12.75" hidden="false" customHeight="true" outlineLevel="0" collapsed="false">
      <c r="A533" s="1857" t="s">
        <v>2530</v>
      </c>
      <c r="B533" s="1568" t="s">
        <v>2531</v>
      </c>
      <c r="C533" s="1568"/>
      <c r="D533" s="1568" t="s">
        <v>2532</v>
      </c>
      <c r="E533" s="1568"/>
      <c r="F533" s="1568"/>
    </row>
    <row r="534" customFormat="false" ht="15.75" hidden="false" customHeight="true" outlineLevel="0" collapsed="false">
      <c r="A534" s="1857"/>
      <c r="B534" s="1568"/>
      <c r="C534" s="1568"/>
      <c r="D534" s="1747" t="s">
        <v>406</v>
      </c>
      <c r="E534" s="1747" t="s">
        <v>2388</v>
      </c>
      <c r="F534" s="1747" t="s">
        <v>2389</v>
      </c>
    </row>
    <row r="535" customFormat="false" ht="12.75" hidden="false" customHeight="true" outlineLevel="0" collapsed="false">
      <c r="A535" s="1857"/>
      <c r="B535" s="1858" t="s">
        <v>2533</v>
      </c>
      <c r="C535" s="1858"/>
      <c r="D535" s="1859" t="n">
        <v>8</v>
      </c>
      <c r="E535" s="1859" t="n">
        <v>5</v>
      </c>
      <c r="F535" s="1859" t="n">
        <v>14</v>
      </c>
    </row>
    <row r="536" customFormat="false" ht="12.75" hidden="false" customHeight="true" outlineLevel="0" collapsed="false">
      <c r="A536" s="1857"/>
      <c r="B536" s="1858" t="s">
        <v>2534</v>
      </c>
      <c r="C536" s="1858"/>
      <c r="D536" s="1859" t="n">
        <v>11.5</v>
      </c>
      <c r="E536" s="1859" t="n">
        <v>7</v>
      </c>
      <c r="F536" s="1859" t="n">
        <v>2.3</v>
      </c>
    </row>
    <row r="537" customFormat="false" ht="12.75" hidden="false" customHeight="true" outlineLevel="0" collapsed="false">
      <c r="A537" s="1857"/>
      <c r="B537" s="1858" t="s">
        <v>439</v>
      </c>
      <c r="C537" s="1858"/>
      <c r="D537" s="1859" t="n">
        <v>7</v>
      </c>
      <c r="E537" s="1859" t="n">
        <v>5</v>
      </c>
      <c r="F537" s="1859" t="n">
        <v>5</v>
      </c>
    </row>
    <row r="538" customFormat="false" ht="12.75" hidden="false" customHeight="true" outlineLevel="0" collapsed="false">
      <c r="A538" s="1857"/>
      <c r="B538" s="1858" t="s">
        <v>2535</v>
      </c>
      <c r="C538" s="1858"/>
      <c r="D538" s="1859" t="n">
        <v>2.3</v>
      </c>
      <c r="E538" s="1859" t="n">
        <v>2.8</v>
      </c>
      <c r="F538" s="1859" t="n">
        <v>2.4</v>
      </c>
    </row>
    <row r="539" customFormat="false" ht="21.95" hidden="false" customHeight="true" outlineLevel="0" collapsed="false">
      <c r="A539" s="1857"/>
      <c r="B539" s="1860" t="s">
        <v>2536</v>
      </c>
      <c r="C539" s="1860"/>
      <c r="D539" s="1861" t="n">
        <v>2.2</v>
      </c>
      <c r="E539" s="1861" t="n">
        <v>2.2</v>
      </c>
      <c r="F539" s="1861" t="n">
        <v>1.9</v>
      </c>
      <c r="G539" s="961"/>
    </row>
    <row r="541" customFormat="false" ht="12.75" hidden="false" customHeight="true" outlineLevel="0" collapsed="false">
      <c r="A541" s="1857" t="s">
        <v>2537</v>
      </c>
      <c r="B541" s="1862" t="s">
        <v>2531</v>
      </c>
      <c r="C541" s="1568" t="s">
        <v>2538</v>
      </c>
      <c r="D541" s="1568" t="s">
        <v>2532</v>
      </c>
      <c r="E541" s="1568"/>
      <c r="F541" s="1568"/>
    </row>
    <row r="542" customFormat="false" ht="15.75" hidden="false" customHeight="true" outlineLevel="0" collapsed="false">
      <c r="A542" s="1857"/>
      <c r="B542" s="1862"/>
      <c r="C542" s="1568"/>
      <c r="D542" s="1747" t="s">
        <v>406</v>
      </c>
      <c r="E542" s="1747" t="s">
        <v>2388</v>
      </c>
      <c r="F542" s="1747" t="s">
        <v>2389</v>
      </c>
    </row>
    <row r="543" customFormat="false" ht="12.75" hidden="false" customHeight="true" outlineLevel="0" collapsed="false">
      <c r="A543" s="1857"/>
      <c r="B543" s="1863" t="s">
        <v>2539</v>
      </c>
      <c r="C543" s="1858"/>
      <c r="D543" s="1859" t="n">
        <v>29</v>
      </c>
      <c r="E543" s="1859" t="n">
        <v>25</v>
      </c>
      <c r="F543" s="1859" t="n">
        <v>20</v>
      </c>
    </row>
    <row r="544" customFormat="false" ht="12.75" hidden="false" customHeight="true" outlineLevel="0" collapsed="false">
      <c r="A544" s="1857"/>
      <c r="B544" s="1863" t="s">
        <v>2540</v>
      </c>
      <c r="C544" s="1858"/>
      <c r="D544" s="1859" t="n">
        <v>26</v>
      </c>
      <c r="E544" s="1859" t="n">
        <v>24</v>
      </c>
      <c r="F544" s="1859" t="n">
        <v>19</v>
      </c>
    </row>
    <row r="545" customFormat="false" ht="26.1" hidden="false" customHeight="true" outlineLevel="0" collapsed="false">
      <c r="A545" s="1857"/>
      <c r="B545" s="1864" t="s">
        <v>2541</v>
      </c>
      <c r="C545" s="1864"/>
      <c r="D545" s="1861" t="n">
        <v>22</v>
      </c>
      <c r="E545" s="1861" t="n">
        <v>23</v>
      </c>
      <c r="F545" s="1861" t="n">
        <v>18</v>
      </c>
      <c r="G545" s="961"/>
    </row>
    <row r="546" customFormat="false" ht="23.1" hidden="false" customHeight="true" outlineLevel="0" collapsed="false">
      <c r="A546" s="1857"/>
      <c r="B546" s="1863" t="s">
        <v>2542</v>
      </c>
      <c r="C546" s="1858"/>
      <c r="D546" s="1859" t="n">
        <v>22</v>
      </c>
      <c r="E546" s="1859" t="n">
        <v>22</v>
      </c>
      <c r="F546" s="1859" t="n">
        <v>15</v>
      </c>
    </row>
    <row r="547" customFormat="false" ht="12.75" hidden="false" customHeight="true" outlineLevel="0" collapsed="false">
      <c r="A547" s="1857"/>
      <c r="B547" s="1865"/>
      <c r="C547" s="1865"/>
      <c r="D547" s="1866"/>
      <c r="E547" s="1866"/>
      <c r="F547" s="1866"/>
    </row>
    <row r="548" customFormat="false" ht="12.75" hidden="false" customHeight="true" outlineLevel="0" collapsed="false">
      <c r="A548" s="1857"/>
      <c r="B548" s="1862" t="s">
        <v>2531</v>
      </c>
      <c r="C548" s="1568" t="s">
        <v>2543</v>
      </c>
      <c r="D548" s="1568" t="s">
        <v>2532</v>
      </c>
      <c r="E548" s="1568"/>
      <c r="F548" s="1568"/>
    </row>
    <row r="549" customFormat="false" ht="15.75" hidden="false" customHeight="true" outlineLevel="0" collapsed="false">
      <c r="A549" s="1857"/>
      <c r="B549" s="1862"/>
      <c r="C549" s="1568"/>
      <c r="D549" s="1747" t="s">
        <v>406</v>
      </c>
      <c r="E549" s="1747" t="s">
        <v>2388</v>
      </c>
      <c r="F549" s="1747" t="s">
        <v>2389</v>
      </c>
    </row>
    <row r="550" customFormat="false" ht="12.75" hidden="false" customHeight="true" outlineLevel="0" collapsed="false">
      <c r="A550" s="1857"/>
      <c r="B550" s="1863" t="s">
        <v>2539</v>
      </c>
      <c r="C550" s="1858"/>
      <c r="D550" s="1859" t="n">
        <v>20</v>
      </c>
      <c r="E550" s="1859" t="n">
        <v>18</v>
      </c>
      <c r="F550" s="1859" t="n">
        <v>15</v>
      </c>
    </row>
    <row r="551" customFormat="false" ht="12.75" hidden="false" customHeight="true" outlineLevel="0" collapsed="false">
      <c r="A551" s="1857"/>
      <c r="B551" s="1863" t="s">
        <v>2540</v>
      </c>
      <c r="C551" s="1858"/>
      <c r="D551" s="1859" t="n">
        <v>18</v>
      </c>
      <c r="E551" s="1859" t="n">
        <v>17</v>
      </c>
      <c r="F551" s="1859" t="n">
        <v>15</v>
      </c>
    </row>
    <row r="552" customFormat="false" ht="21" hidden="false" customHeight="true" outlineLevel="0" collapsed="false">
      <c r="A552" s="1857"/>
      <c r="B552" s="1864" t="s">
        <v>2541</v>
      </c>
      <c r="C552" s="1864"/>
      <c r="D552" s="1861" t="n">
        <v>15</v>
      </c>
      <c r="E552" s="1861" t="n">
        <v>17</v>
      </c>
      <c r="F552" s="1861" t="n">
        <v>14</v>
      </c>
      <c r="G552" s="961"/>
    </row>
    <row r="553" customFormat="false" ht="12.75" hidden="false" customHeight="true" outlineLevel="0" collapsed="false">
      <c r="A553" s="1857"/>
      <c r="B553" s="1863" t="s">
        <v>2542</v>
      </c>
      <c r="C553" s="1858"/>
      <c r="D553" s="1859" t="n">
        <v>15</v>
      </c>
      <c r="E553" s="1859" t="n">
        <v>16</v>
      </c>
      <c r="F553" s="1859" t="n">
        <v>12</v>
      </c>
    </row>
    <row r="554" customFormat="false" ht="12.75" hidden="false" customHeight="true" outlineLevel="0" collapsed="false">
      <c r="A554" s="1857"/>
    </row>
    <row r="555" customFormat="false" ht="12.75" hidden="false" customHeight="true" outlineLevel="0" collapsed="false">
      <c r="A555" s="1857"/>
      <c r="B555" s="1862" t="s">
        <v>2531</v>
      </c>
      <c r="C555" s="1568" t="s">
        <v>2544</v>
      </c>
      <c r="D555" s="1568" t="s">
        <v>2532</v>
      </c>
      <c r="E555" s="1568"/>
      <c r="F555" s="1568"/>
    </row>
    <row r="556" customFormat="false" ht="15.75" hidden="false" customHeight="true" outlineLevel="0" collapsed="false">
      <c r="A556" s="1857"/>
      <c r="B556" s="1862"/>
      <c r="C556" s="1568"/>
      <c r="D556" s="1747" t="s">
        <v>406</v>
      </c>
      <c r="E556" s="1747" t="s">
        <v>2388</v>
      </c>
      <c r="F556" s="1747" t="s">
        <v>2389</v>
      </c>
    </row>
    <row r="557" customFormat="false" ht="12.75" hidden="false" customHeight="true" outlineLevel="0" collapsed="false">
      <c r="A557" s="1857"/>
      <c r="B557" s="1863" t="s">
        <v>2539</v>
      </c>
      <c r="C557" s="1858"/>
      <c r="D557" s="1859" t="n">
        <v>27</v>
      </c>
      <c r="E557" s="1859" t="n">
        <v>27</v>
      </c>
      <c r="F557" s="1859" t="n">
        <v>20</v>
      </c>
    </row>
    <row r="558" customFormat="false" ht="12.75" hidden="false" customHeight="true" outlineLevel="0" collapsed="false">
      <c r="A558" s="1857"/>
      <c r="B558" s="1863" t="s">
        <v>2540</v>
      </c>
      <c r="C558" s="1858"/>
      <c r="D558" s="1859" t="n">
        <v>25</v>
      </c>
      <c r="E558" s="1859" t="n">
        <v>26</v>
      </c>
      <c r="F558" s="1859" t="n">
        <v>19</v>
      </c>
    </row>
    <row r="559" customFormat="false" ht="20.1" hidden="false" customHeight="true" outlineLevel="0" collapsed="false">
      <c r="A559" s="1857"/>
      <c r="B559" s="1864" t="s">
        <v>2541</v>
      </c>
      <c r="C559" s="1864"/>
      <c r="D559" s="1861" t="n">
        <v>21</v>
      </c>
      <c r="E559" s="1861" t="n">
        <v>25</v>
      </c>
      <c r="F559" s="1861" t="n">
        <v>18</v>
      </c>
      <c r="G559" s="961"/>
    </row>
    <row r="560" customFormat="false" ht="12.75" hidden="false" customHeight="true" outlineLevel="0" collapsed="false">
      <c r="A560" s="1857"/>
      <c r="B560" s="1863" t="s">
        <v>2542</v>
      </c>
      <c r="C560" s="1858"/>
      <c r="D560" s="1859" t="n">
        <v>21</v>
      </c>
      <c r="E560" s="1859" t="n">
        <v>23</v>
      </c>
      <c r="F560" s="1859" t="n">
        <v>15</v>
      </c>
    </row>
    <row r="561" customFormat="false" ht="12.75" hidden="false" customHeight="true" outlineLevel="0" collapsed="false">
      <c r="A561" s="1857"/>
    </row>
    <row r="562" customFormat="false" ht="12.75" hidden="false" customHeight="true" outlineLevel="0" collapsed="false">
      <c r="A562" s="1857"/>
      <c r="B562" s="1862" t="s">
        <v>2531</v>
      </c>
      <c r="C562" s="1568" t="s">
        <v>2545</v>
      </c>
      <c r="D562" s="1568" t="s">
        <v>2532</v>
      </c>
      <c r="E562" s="1568"/>
      <c r="F562" s="1568"/>
    </row>
    <row r="563" customFormat="false" ht="15.75" hidden="false" customHeight="true" outlineLevel="0" collapsed="false">
      <c r="A563" s="1857"/>
      <c r="B563" s="1862"/>
      <c r="C563" s="1568"/>
      <c r="D563" s="1747" t="s">
        <v>406</v>
      </c>
      <c r="E563" s="1747" t="s">
        <v>2388</v>
      </c>
      <c r="F563" s="1747" t="s">
        <v>2389</v>
      </c>
    </row>
    <row r="564" customFormat="false" ht="12.75" hidden="false" customHeight="true" outlineLevel="0" collapsed="false">
      <c r="A564" s="1857"/>
      <c r="B564" s="1863" t="s">
        <v>2539</v>
      </c>
      <c r="C564" s="1858"/>
      <c r="D564" s="1859" t="n">
        <v>32</v>
      </c>
      <c r="E564" s="1859" t="n">
        <v>25</v>
      </c>
      <c r="F564" s="1859" t="n">
        <v>20</v>
      </c>
    </row>
    <row r="565" customFormat="false" ht="12.75" hidden="false" customHeight="true" outlineLevel="0" collapsed="false">
      <c r="A565" s="1857"/>
      <c r="B565" s="1863" t="s">
        <v>2540</v>
      </c>
      <c r="C565" s="1858"/>
      <c r="D565" s="1859" t="n">
        <v>29</v>
      </c>
      <c r="E565" s="1859" t="n">
        <v>24</v>
      </c>
      <c r="F565" s="1859" t="n">
        <v>19</v>
      </c>
    </row>
    <row r="566" customFormat="false" ht="21" hidden="false" customHeight="true" outlineLevel="0" collapsed="false">
      <c r="A566" s="1857"/>
      <c r="B566" s="1864" t="s">
        <v>2541</v>
      </c>
      <c r="C566" s="1864"/>
      <c r="D566" s="1861" t="n">
        <v>24</v>
      </c>
      <c r="E566" s="1861" t="n">
        <v>23</v>
      </c>
      <c r="F566" s="1861" t="n">
        <v>18</v>
      </c>
      <c r="G566" s="961"/>
    </row>
    <row r="567" customFormat="false" ht="15.75" hidden="false" customHeight="true" outlineLevel="0" collapsed="false">
      <c r="A567" s="1857"/>
      <c r="B567" s="1863" t="s">
        <v>2542</v>
      </c>
      <c r="C567" s="1858"/>
      <c r="D567" s="1859" t="n">
        <v>24</v>
      </c>
      <c r="E567" s="1859" t="n">
        <v>22</v>
      </c>
      <c r="F567" s="1859" t="n">
        <v>15</v>
      </c>
      <c r="H567" s="1867" t="s">
        <v>2546</v>
      </c>
      <c r="I567" s="1868" t="s">
        <v>2547</v>
      </c>
      <c r="J567" s="1869"/>
      <c r="K567" s="1869"/>
      <c r="L567" s="1869"/>
      <c r="M567" s="1870" t="s">
        <v>2548</v>
      </c>
      <c r="N567" s="1871"/>
    </row>
    <row r="568" customFormat="false" ht="12.75" hidden="false" customHeight="true" outlineLevel="0" collapsed="false">
      <c r="H568" s="1872" t="s">
        <v>1006</v>
      </c>
      <c r="I568" s="1873" t="s">
        <v>2549</v>
      </c>
      <c r="J568" s="1874"/>
      <c r="K568" s="1874"/>
      <c r="L568" s="1875"/>
      <c r="M568" s="1874" t="n">
        <v>5.8</v>
      </c>
      <c r="N568" s="1875"/>
    </row>
    <row r="569" customFormat="false" ht="12.75" hidden="false" customHeight="true" outlineLevel="0" collapsed="false">
      <c r="A569" s="1857" t="s">
        <v>2550</v>
      </c>
      <c r="B569" s="1862" t="s">
        <v>2531</v>
      </c>
      <c r="C569" s="1568" t="s">
        <v>2551</v>
      </c>
      <c r="D569" s="1568" t="s">
        <v>2532</v>
      </c>
      <c r="E569" s="1568"/>
      <c r="F569" s="1568"/>
      <c r="H569" s="1872"/>
      <c r="I569" s="1876" t="s">
        <v>2552</v>
      </c>
      <c r="J569" s="931"/>
      <c r="K569" s="931"/>
      <c r="L569" s="1877"/>
      <c r="M569" s="931" t="n">
        <v>5</v>
      </c>
      <c r="N569" s="1877"/>
    </row>
    <row r="570" customFormat="false" ht="15.75" hidden="false" customHeight="true" outlineLevel="0" collapsed="false">
      <c r="A570" s="1857"/>
      <c r="B570" s="1862"/>
      <c r="C570" s="1568"/>
      <c r="D570" s="1747" t="s">
        <v>406</v>
      </c>
      <c r="E570" s="1747" t="s">
        <v>2388</v>
      </c>
      <c r="F570" s="1747" t="s">
        <v>2389</v>
      </c>
      <c r="H570" s="1872"/>
      <c r="I570" s="1878" t="s">
        <v>2553</v>
      </c>
      <c r="J570" s="931"/>
      <c r="K570" s="931"/>
      <c r="L570" s="1877"/>
      <c r="M570" s="931" t="n">
        <v>5.1</v>
      </c>
      <c r="N570" s="1877"/>
    </row>
    <row r="571" customFormat="false" ht="12.75" hidden="false" customHeight="true" outlineLevel="0" collapsed="false">
      <c r="A571" s="1857"/>
      <c r="B571" s="1879" t="s">
        <v>2554</v>
      </c>
      <c r="C571" s="1863"/>
      <c r="D571" s="1859" t="n">
        <v>15</v>
      </c>
      <c r="E571" s="1859" t="n">
        <v>14</v>
      </c>
      <c r="F571" s="1859" t="n">
        <v>12</v>
      </c>
      <c r="H571" s="1872"/>
      <c r="I571" s="1876" t="s">
        <v>421</v>
      </c>
      <c r="J571" s="931"/>
      <c r="K571" s="931"/>
      <c r="L571" s="1877"/>
      <c r="M571" s="931" t="n">
        <v>5.2</v>
      </c>
      <c r="N571" s="1877"/>
    </row>
    <row r="572" customFormat="false" ht="12.75" hidden="false" customHeight="true" outlineLevel="0" collapsed="false">
      <c r="A572" s="1857"/>
      <c r="B572" s="1863" t="s">
        <v>429</v>
      </c>
      <c r="C572" s="1858"/>
      <c r="D572" s="1859" t="n">
        <v>22</v>
      </c>
      <c r="E572" s="1859" t="n">
        <v>20</v>
      </c>
      <c r="F572" s="1859" t="n">
        <v>12</v>
      </c>
      <c r="H572" s="1872"/>
      <c r="I572" s="1876" t="s">
        <v>422</v>
      </c>
      <c r="J572" s="931"/>
      <c r="K572" s="931"/>
      <c r="L572" s="1877"/>
      <c r="M572" s="931" t="n">
        <v>3.5</v>
      </c>
      <c r="N572" s="1877"/>
    </row>
    <row r="573" customFormat="false" ht="12.75" hidden="false" customHeight="true" outlineLevel="0" collapsed="false">
      <c r="A573" s="1857"/>
      <c r="B573" s="1880" t="s">
        <v>2555</v>
      </c>
      <c r="C573" s="1880"/>
      <c r="D573" s="1861" t="n">
        <v>30</v>
      </c>
      <c r="E573" s="1861" t="n">
        <v>40</v>
      </c>
      <c r="F573" s="1861" t="n">
        <v>28</v>
      </c>
      <c r="G573" s="961"/>
      <c r="H573" s="1872"/>
      <c r="I573" s="1876" t="s">
        <v>2556</v>
      </c>
      <c r="J573" s="931"/>
      <c r="K573" s="931"/>
      <c r="L573" s="1877"/>
      <c r="M573" s="931" t="n">
        <v>2.7</v>
      </c>
      <c r="N573" s="1877"/>
    </row>
    <row r="574" customFormat="false" ht="12.75" hidden="false" customHeight="true" outlineLevel="0" collapsed="false">
      <c r="A574" s="1857"/>
      <c r="B574" s="1863" t="s">
        <v>430</v>
      </c>
      <c r="C574" s="1858"/>
      <c r="D574" s="1859" t="n">
        <v>40</v>
      </c>
      <c r="E574" s="1859" t="n">
        <v>40</v>
      </c>
      <c r="F574" s="1859" t="n">
        <v>28</v>
      </c>
      <c r="H574" s="1872"/>
      <c r="I574" s="1876" t="s">
        <v>2557</v>
      </c>
      <c r="J574" s="931"/>
      <c r="K574" s="931"/>
      <c r="L574" s="1877"/>
      <c r="M574" s="931" t="n">
        <v>1.6</v>
      </c>
      <c r="N574" s="1877"/>
    </row>
    <row r="575" customFormat="false" ht="12.75" hidden="false" customHeight="true" outlineLevel="0" collapsed="false">
      <c r="H575" s="1872"/>
      <c r="I575" s="1876" t="s">
        <v>2558</v>
      </c>
      <c r="J575" s="931"/>
      <c r="K575" s="931"/>
      <c r="L575" s="1877"/>
      <c r="M575" s="931" t="n">
        <v>3</v>
      </c>
      <c r="N575" s="1877"/>
    </row>
    <row r="576" customFormat="false" ht="13.5" hidden="false" customHeight="true" outlineLevel="0" collapsed="false">
      <c r="A576" s="1881" t="s">
        <v>2559</v>
      </c>
      <c r="B576" s="1862" t="s">
        <v>2560</v>
      </c>
      <c r="C576" s="1568" t="s">
        <v>1077</v>
      </c>
      <c r="D576" s="1568" t="s">
        <v>2532</v>
      </c>
      <c r="E576" s="1568"/>
      <c r="F576" s="1568"/>
      <c r="H576" s="1872"/>
      <c r="I576" s="1882" t="s">
        <v>2561</v>
      </c>
      <c r="J576" s="1883"/>
      <c r="K576" s="1883"/>
      <c r="L576" s="1884"/>
      <c r="M576" s="1883" t="n">
        <v>0.4</v>
      </c>
      <c r="N576" s="1884"/>
    </row>
    <row r="577" customFormat="false" ht="15.75" hidden="false" customHeight="true" outlineLevel="0" collapsed="false">
      <c r="A577" s="1881"/>
      <c r="B577" s="1862"/>
      <c r="C577" s="1568"/>
      <c r="D577" s="1747" t="s">
        <v>406</v>
      </c>
      <c r="E577" s="1747" t="s">
        <v>2388</v>
      </c>
      <c r="F577" s="1747" t="s">
        <v>2389</v>
      </c>
      <c r="H577" s="1885" t="s">
        <v>1846</v>
      </c>
      <c r="I577" s="1886" t="s">
        <v>427</v>
      </c>
      <c r="J577" s="1874"/>
      <c r="K577" s="1874"/>
      <c r="L577" s="1875"/>
      <c r="M577" s="1874" t="n">
        <v>6.8</v>
      </c>
      <c r="N577" s="1875"/>
    </row>
    <row r="578" customFormat="false" ht="12.75" hidden="false" customHeight="true" outlineLevel="0" collapsed="false">
      <c r="A578" s="1881"/>
      <c r="B578" s="1887" t="s">
        <v>2562</v>
      </c>
      <c r="C578" s="1863"/>
      <c r="D578" s="1859" t="n">
        <v>4.4</v>
      </c>
      <c r="E578" s="1859" t="n">
        <v>1.7</v>
      </c>
      <c r="F578" s="1859" t="n">
        <v>2.5</v>
      </c>
      <c r="H578" s="1885"/>
      <c r="I578" s="1876" t="s">
        <v>428</v>
      </c>
      <c r="J578" s="931"/>
      <c r="K578" s="931"/>
      <c r="L578" s="1877"/>
      <c r="M578" s="931" t="n">
        <v>22</v>
      </c>
      <c r="N578" s="1877"/>
    </row>
    <row r="579" customFormat="false" ht="12.75" hidden="false" customHeight="true" outlineLevel="0" collapsed="false">
      <c r="A579" s="1881"/>
      <c r="B579" s="1879" t="s">
        <v>2563</v>
      </c>
      <c r="C579" s="1863"/>
      <c r="D579" s="1859" t="n">
        <v>5.9</v>
      </c>
      <c r="E579" s="1859" t="n">
        <v>5.9</v>
      </c>
      <c r="F579" s="1859" t="n">
        <v>4.1</v>
      </c>
      <c r="H579" s="1885"/>
      <c r="I579" s="1876" t="s">
        <v>429</v>
      </c>
      <c r="J579" s="931"/>
      <c r="K579" s="931"/>
      <c r="L579" s="1877"/>
      <c r="M579" s="931" t="n">
        <v>40</v>
      </c>
      <c r="N579" s="1877"/>
    </row>
    <row r="580" customFormat="false" ht="13.5" hidden="false" customHeight="true" outlineLevel="0" collapsed="false">
      <c r="A580" s="1881"/>
      <c r="B580" s="1880" t="s">
        <v>2564</v>
      </c>
      <c r="C580" s="1880"/>
      <c r="D580" s="1861" t="n">
        <v>8.6</v>
      </c>
      <c r="E580" s="1861" t="n">
        <v>8.6</v>
      </c>
      <c r="F580" s="1861" t="n">
        <v>8.4</v>
      </c>
      <c r="G580" s="961"/>
      <c r="H580" s="1885"/>
      <c r="I580" s="1882" t="s">
        <v>430</v>
      </c>
      <c r="J580" s="1883"/>
      <c r="K580" s="1883"/>
      <c r="L580" s="1884"/>
      <c r="M580" s="1883" t="n">
        <v>22</v>
      </c>
      <c r="N580" s="1884"/>
    </row>
    <row r="581" customFormat="false" ht="12.75" hidden="false" customHeight="true" outlineLevel="0" collapsed="false">
      <c r="A581" s="1881"/>
      <c r="B581" s="1888"/>
      <c r="C581" s="1888"/>
      <c r="D581" s="1889"/>
      <c r="E581" s="1889"/>
      <c r="F581" s="1889"/>
      <c r="G581" s="961"/>
      <c r="H581" s="1890" t="s">
        <v>2565</v>
      </c>
      <c r="I581" s="1876" t="s">
        <v>431</v>
      </c>
      <c r="J581" s="931"/>
      <c r="K581" s="931"/>
      <c r="L581" s="1877"/>
      <c r="M581" s="931" t="n">
        <v>9.6</v>
      </c>
      <c r="N581" s="1877"/>
    </row>
    <row r="582" customFormat="false" ht="12.75" hidden="false" customHeight="true" outlineLevel="0" collapsed="false">
      <c r="A582" s="1881"/>
      <c r="B582" s="1862" t="s">
        <v>2560</v>
      </c>
      <c r="C582" s="1568" t="s">
        <v>2566</v>
      </c>
      <c r="D582" s="1568" t="s">
        <v>2532</v>
      </c>
      <c r="E582" s="1568"/>
      <c r="F582" s="1568"/>
      <c r="G582" s="961"/>
      <c r="H582" s="1890"/>
      <c r="I582" s="1876" t="s">
        <v>2567</v>
      </c>
      <c r="J582" s="931"/>
      <c r="K582" s="931"/>
      <c r="L582" s="1877"/>
      <c r="M582" s="931" t="n">
        <v>4.3</v>
      </c>
      <c r="N582" s="1877"/>
    </row>
    <row r="583" customFormat="false" ht="15.75" hidden="false" customHeight="true" outlineLevel="0" collapsed="false">
      <c r="A583" s="1881"/>
      <c r="B583" s="1862"/>
      <c r="C583" s="1568"/>
      <c r="D583" s="1747" t="s">
        <v>406</v>
      </c>
      <c r="E583" s="1747" t="s">
        <v>2388</v>
      </c>
      <c r="F583" s="1747" t="s">
        <v>2389</v>
      </c>
      <c r="H583" s="1890"/>
      <c r="I583" s="1878" t="s">
        <v>2568</v>
      </c>
      <c r="J583" s="931"/>
      <c r="K583" s="931"/>
      <c r="L583" s="1877"/>
      <c r="M583" s="931" t="n">
        <v>7.2</v>
      </c>
      <c r="N583" s="1877"/>
    </row>
    <row r="584" customFormat="false" ht="13.5" hidden="false" customHeight="true" outlineLevel="0" collapsed="false">
      <c r="A584" s="1881"/>
      <c r="B584" s="1879" t="s">
        <v>2569</v>
      </c>
      <c r="C584" s="1863"/>
      <c r="D584" s="1859" t="n">
        <v>3</v>
      </c>
      <c r="E584" s="1859" t="n">
        <v>1.5</v>
      </c>
      <c r="F584" s="1859" t="n">
        <v>1</v>
      </c>
      <c r="H584" s="1890"/>
      <c r="I584" s="1882" t="s">
        <v>2570</v>
      </c>
      <c r="J584" s="1883"/>
      <c r="K584" s="1883"/>
      <c r="L584" s="1884"/>
      <c r="M584" s="1883" t="n">
        <v>9.1</v>
      </c>
      <c r="N584" s="1884"/>
    </row>
    <row r="585" customFormat="false" ht="12.75" hidden="false" customHeight="true" outlineLevel="0" collapsed="false">
      <c r="A585" s="1881"/>
      <c r="B585" s="1888"/>
      <c r="C585" s="1888"/>
      <c r="D585" s="1889"/>
      <c r="E585" s="1889"/>
      <c r="F585" s="1889"/>
      <c r="G585" s="961"/>
      <c r="H585" s="0" t="s">
        <v>2571</v>
      </c>
    </row>
    <row r="586" customFormat="false" ht="12.75" hidden="false" customHeight="true" outlineLevel="0" collapsed="false">
      <c r="A586" s="1881"/>
      <c r="B586" s="1862" t="s">
        <v>2560</v>
      </c>
      <c r="C586" s="1568" t="s">
        <v>2551</v>
      </c>
      <c r="D586" s="1568" t="s">
        <v>2532</v>
      </c>
      <c r="E586" s="1568"/>
      <c r="F586" s="1568"/>
      <c r="G586" s="961"/>
    </row>
    <row r="587" customFormat="false" ht="15.75" hidden="false" customHeight="true" outlineLevel="0" collapsed="false">
      <c r="A587" s="1881"/>
      <c r="B587" s="1862"/>
      <c r="C587" s="1568"/>
      <c r="D587" s="1747" t="s">
        <v>406</v>
      </c>
      <c r="E587" s="1747" t="s">
        <v>2388</v>
      </c>
      <c r="F587" s="1747" t="s">
        <v>2389</v>
      </c>
    </row>
    <row r="588" customFormat="false" ht="12.75" hidden="false" customHeight="true" outlineLevel="0" collapsed="false">
      <c r="A588" s="1881"/>
      <c r="B588" s="1863" t="s">
        <v>2572</v>
      </c>
      <c r="C588" s="1858"/>
      <c r="D588" s="1746" t="n">
        <v>6.8</v>
      </c>
      <c r="E588" s="1746" t="n">
        <v>9.5</v>
      </c>
      <c r="F588" s="1746" t="n">
        <v>5.5</v>
      </c>
    </row>
    <row r="590" customFormat="false" ht="12.75" hidden="false" customHeight="true" outlineLevel="0" collapsed="false">
      <c r="A590" s="1881" t="s">
        <v>2573</v>
      </c>
      <c r="B590" s="1862" t="s">
        <v>2531</v>
      </c>
      <c r="C590" s="1568" t="s">
        <v>1841</v>
      </c>
      <c r="D590" s="1568" t="s">
        <v>2532</v>
      </c>
      <c r="E590" s="1568"/>
      <c r="F590" s="1568"/>
    </row>
    <row r="591" customFormat="false" ht="15.75" hidden="false" customHeight="true" outlineLevel="0" collapsed="false">
      <c r="A591" s="1881"/>
      <c r="B591" s="1862"/>
      <c r="C591" s="1568"/>
      <c r="D591" s="1747" t="s">
        <v>406</v>
      </c>
      <c r="E591" s="1747" t="s">
        <v>2388</v>
      </c>
      <c r="F591" s="1747" t="s">
        <v>2389</v>
      </c>
    </row>
    <row r="592" customFormat="false" ht="12.75" hidden="false" customHeight="true" outlineLevel="0" collapsed="false">
      <c r="A592" s="1881"/>
      <c r="B592" s="1891" t="s">
        <v>2574</v>
      </c>
      <c r="C592" s="1891"/>
      <c r="D592" s="1861" t="n">
        <v>5.3</v>
      </c>
      <c r="E592" s="1861" t="n">
        <v>1.7</v>
      </c>
      <c r="F592" s="1861" t="n">
        <v>7.1</v>
      </c>
    </row>
    <row r="593" customFormat="false" ht="12.75" hidden="false" customHeight="true" outlineLevel="0" collapsed="false">
      <c r="A593" s="1881"/>
      <c r="B593" s="1891" t="s">
        <v>2575</v>
      </c>
      <c r="C593" s="1891"/>
      <c r="D593" s="1861" t="n">
        <v>5.1</v>
      </c>
      <c r="E593" s="1861" t="n">
        <v>2.3</v>
      </c>
      <c r="F593" s="1861" t="n">
        <v>6.2</v>
      </c>
    </row>
    <row r="594" customFormat="false" ht="12.75" hidden="false" customHeight="true" outlineLevel="0" collapsed="false">
      <c r="A594" s="1881"/>
      <c r="B594" s="1892" t="s">
        <v>2576</v>
      </c>
      <c r="C594" s="1892"/>
      <c r="D594" s="1861" t="n">
        <v>5.8</v>
      </c>
      <c r="E594" s="1861" t="n">
        <v>2.3</v>
      </c>
      <c r="F594" s="1861" t="n">
        <v>9.6</v>
      </c>
    </row>
    <row r="595" customFormat="false" ht="12.75" hidden="false" customHeight="true" outlineLevel="0" collapsed="false">
      <c r="A595" s="1881"/>
      <c r="B595" s="1891" t="s">
        <v>2577</v>
      </c>
      <c r="C595" s="1891"/>
      <c r="D595" s="1861" t="n">
        <v>4.9</v>
      </c>
      <c r="E595" s="1861" t="n">
        <v>2.3</v>
      </c>
      <c r="F595" s="1861" t="n">
        <v>9</v>
      </c>
    </row>
    <row r="596" customFormat="false" ht="12.75" hidden="false" customHeight="true" outlineLevel="0" collapsed="false">
      <c r="A596" s="1893"/>
      <c r="B596" s="1894"/>
      <c r="C596" s="1894"/>
      <c r="D596" s="1895"/>
      <c r="E596" s="1895"/>
      <c r="F596" s="1895"/>
    </row>
    <row r="597" customFormat="false" ht="12.75" hidden="false" customHeight="true" outlineLevel="0" collapsed="false">
      <c r="A597" s="1881" t="s">
        <v>2578</v>
      </c>
      <c r="B597" s="1862" t="s">
        <v>2531</v>
      </c>
      <c r="C597" s="1568" t="s">
        <v>2579</v>
      </c>
      <c r="D597" s="1568" t="s">
        <v>2532</v>
      </c>
      <c r="E597" s="1568"/>
      <c r="F597" s="1568"/>
    </row>
    <row r="598" customFormat="false" ht="15.75" hidden="false" customHeight="true" outlineLevel="0" collapsed="false">
      <c r="A598" s="1881"/>
      <c r="B598" s="1862"/>
      <c r="C598" s="1568"/>
      <c r="D598" s="1747" t="s">
        <v>406</v>
      </c>
      <c r="E598" s="1747" t="s">
        <v>2388</v>
      </c>
      <c r="F598" s="1747" t="s">
        <v>2389</v>
      </c>
    </row>
    <row r="599" customFormat="false" ht="12.75" hidden="false" customHeight="true" outlineLevel="0" collapsed="false">
      <c r="A599" s="1881"/>
      <c r="B599" s="1896" t="s">
        <v>2580</v>
      </c>
      <c r="C599" s="1897"/>
      <c r="D599" s="1861" t="n">
        <v>6.1</v>
      </c>
      <c r="E599" s="1861" t="n">
        <v>5.2</v>
      </c>
      <c r="F599" s="1861" t="n">
        <v>7</v>
      </c>
      <c r="G599" s="1898"/>
    </row>
    <row r="600" customFormat="false" ht="12.75" hidden="false" customHeight="true" outlineLevel="0" collapsed="false">
      <c r="A600" s="1881"/>
      <c r="B600" s="1896" t="s">
        <v>2581</v>
      </c>
      <c r="C600" s="1897"/>
      <c r="D600" s="1861" t="n">
        <v>6.7</v>
      </c>
      <c r="E600" s="1861" t="n">
        <v>4</v>
      </c>
      <c r="F600" s="1861" t="n">
        <v>12</v>
      </c>
      <c r="G600" s="1898"/>
    </row>
    <row r="601" customFormat="false" ht="12.75" hidden="false" customHeight="true" outlineLevel="0" collapsed="false">
      <c r="A601" s="1881"/>
      <c r="B601" s="1899"/>
      <c r="C601" s="1900"/>
      <c r="D601" s="1889"/>
      <c r="E601" s="1889"/>
      <c r="F601" s="1889"/>
      <c r="G601" s="1898"/>
    </row>
    <row r="602" customFormat="false" ht="12.75" hidden="false" customHeight="true" outlineLevel="0" collapsed="false">
      <c r="A602" s="1881"/>
      <c r="B602" s="1862" t="s">
        <v>2531</v>
      </c>
      <c r="C602" s="1568" t="s">
        <v>2582</v>
      </c>
      <c r="D602" s="1568" t="s">
        <v>2532</v>
      </c>
      <c r="E602" s="1568"/>
      <c r="F602" s="1568"/>
      <c r="G602" s="1898"/>
    </row>
    <row r="603" customFormat="false" ht="15.75" hidden="false" customHeight="true" outlineLevel="0" collapsed="false">
      <c r="A603" s="1881"/>
      <c r="B603" s="1862"/>
      <c r="C603" s="1568"/>
      <c r="D603" s="1747" t="s">
        <v>406</v>
      </c>
      <c r="E603" s="1747" t="s">
        <v>2388</v>
      </c>
      <c r="F603" s="1747" t="s">
        <v>2389</v>
      </c>
      <c r="G603" s="1898"/>
    </row>
    <row r="604" customFormat="false" ht="12.75" hidden="false" customHeight="true" outlineLevel="0" collapsed="false">
      <c r="A604" s="1881"/>
      <c r="B604" s="1880" t="s">
        <v>2583</v>
      </c>
      <c r="C604" s="1880"/>
      <c r="D604" s="1861" t="n">
        <v>7.2</v>
      </c>
      <c r="E604" s="1861" t="n">
        <v>7</v>
      </c>
      <c r="F604" s="1861" t="n">
        <v>10.2</v>
      </c>
      <c r="G604" s="1898"/>
    </row>
    <row r="605" customFormat="false" ht="12.75" hidden="false" customHeight="true" outlineLevel="0" collapsed="false">
      <c r="A605" s="1881"/>
      <c r="B605" s="1897" t="s">
        <v>2584</v>
      </c>
      <c r="C605" s="1901"/>
      <c r="D605" s="1861" t="n">
        <v>9.1</v>
      </c>
      <c r="E605" s="1861" t="n">
        <v>10.9</v>
      </c>
      <c r="F605" s="1861" t="n">
        <v>11.2</v>
      </c>
      <c r="G605" s="1898"/>
    </row>
    <row r="606" customFormat="false" ht="12.75" hidden="false" customHeight="true" outlineLevel="0" collapsed="false">
      <c r="A606" s="1902"/>
      <c r="B606" s="1903"/>
      <c r="C606" s="1903"/>
      <c r="D606" s="1904"/>
      <c r="E606" s="1904"/>
      <c r="F606" s="1904"/>
      <c r="G606" s="1898"/>
    </row>
    <row r="607" customFormat="false" ht="12.75" hidden="false" customHeight="true" outlineLevel="0" collapsed="false">
      <c r="A607" s="1881" t="s">
        <v>2585</v>
      </c>
      <c r="B607" s="1862" t="s">
        <v>2560</v>
      </c>
      <c r="C607" s="1568" t="s">
        <v>1841</v>
      </c>
      <c r="D607" s="1568" t="s">
        <v>2532</v>
      </c>
      <c r="E607" s="1568"/>
      <c r="F607" s="1568"/>
    </row>
    <row r="608" customFormat="false" ht="15.75" hidden="false" customHeight="true" outlineLevel="0" collapsed="false">
      <c r="A608" s="1881"/>
      <c r="B608" s="1862"/>
      <c r="C608" s="1568"/>
      <c r="D608" s="1747" t="s">
        <v>406</v>
      </c>
      <c r="E608" s="1747" t="s">
        <v>2388</v>
      </c>
      <c r="F608" s="1747" t="s">
        <v>2389</v>
      </c>
    </row>
    <row r="609" customFormat="false" ht="12.75" hidden="false" customHeight="true" outlineLevel="0" collapsed="false">
      <c r="A609" s="1881"/>
      <c r="B609" s="1863" t="s">
        <v>2586</v>
      </c>
      <c r="C609" s="1858"/>
      <c r="D609" s="1859" t="n">
        <v>5.2</v>
      </c>
      <c r="E609" s="1859" t="n">
        <v>1.7</v>
      </c>
      <c r="F609" s="1859" t="n">
        <v>4</v>
      </c>
    </row>
    <row r="610" customFormat="false" ht="12.75" hidden="false" customHeight="true" outlineLevel="0" collapsed="false">
      <c r="A610" s="1881"/>
      <c r="B610" s="1863" t="s">
        <v>2587</v>
      </c>
      <c r="C610" s="1858"/>
      <c r="D610" s="1859" t="n">
        <v>1.6</v>
      </c>
      <c r="E610" s="1859" t="n">
        <v>0.8</v>
      </c>
      <c r="F610" s="1859" t="n">
        <v>2.4</v>
      </c>
    </row>
    <row r="611" customFormat="false" ht="12.75" hidden="false" customHeight="true" outlineLevel="0" collapsed="false">
      <c r="A611" s="1881"/>
      <c r="B611" s="1887" t="s">
        <v>2588</v>
      </c>
      <c r="C611" s="1863"/>
      <c r="D611" s="1859" t="n">
        <v>2.7</v>
      </c>
      <c r="E611" s="1859" t="n">
        <v>1.1</v>
      </c>
      <c r="F611" s="1859" t="n">
        <v>3.3</v>
      </c>
    </row>
    <row r="612" customFormat="false" ht="12.75" hidden="false" customHeight="true" outlineLevel="0" collapsed="false">
      <c r="A612" s="1881"/>
      <c r="B612" s="1887" t="s">
        <v>2589</v>
      </c>
      <c r="C612" s="1863"/>
      <c r="D612" s="1859" t="n">
        <v>2.5</v>
      </c>
      <c r="E612" s="1859" t="n">
        <v>1.1</v>
      </c>
      <c r="F612" s="1859" t="n">
        <v>3.3</v>
      </c>
    </row>
    <row r="613" customFormat="false" ht="12.75" hidden="false" customHeight="true" outlineLevel="0" collapsed="false">
      <c r="A613" s="1881"/>
      <c r="B613" s="1880" t="s">
        <v>2590</v>
      </c>
      <c r="C613" s="1880"/>
      <c r="D613" s="1861" t="n">
        <v>4</v>
      </c>
      <c r="E613" s="1861" t="n">
        <v>2</v>
      </c>
      <c r="F613" s="1861" t="n">
        <v>5</v>
      </c>
      <c r="G613" s="961"/>
    </row>
    <row r="614" customFormat="false" ht="12.75" hidden="false" customHeight="true" outlineLevel="0" collapsed="false">
      <c r="A614" s="1881"/>
      <c r="B614" s="1863" t="s">
        <v>2591</v>
      </c>
      <c r="C614" s="1858"/>
      <c r="D614" s="1859" t="n">
        <v>3.5</v>
      </c>
      <c r="E614" s="1859" t="n">
        <v>1.2</v>
      </c>
      <c r="F614" s="1859" t="n">
        <v>3.8</v>
      </c>
    </row>
    <row r="615" customFormat="false" ht="12.75" hidden="false" customHeight="true" outlineLevel="0" collapsed="false">
      <c r="A615" s="1881"/>
      <c r="B615" s="1764"/>
      <c r="C615" s="1905"/>
      <c r="D615" s="1906"/>
      <c r="E615" s="1906"/>
      <c r="F615" s="1906"/>
    </row>
    <row r="616" customFormat="false" ht="12.75" hidden="false" customHeight="true" outlineLevel="0" collapsed="false">
      <c r="A616" s="1881"/>
      <c r="B616" s="1862" t="s">
        <v>2560</v>
      </c>
      <c r="C616" s="1568" t="s">
        <v>2592</v>
      </c>
      <c r="D616" s="1568" t="s">
        <v>2532</v>
      </c>
      <c r="E616" s="1568"/>
      <c r="F616" s="1568"/>
    </row>
    <row r="617" customFormat="false" ht="15.75" hidden="false" customHeight="true" outlineLevel="0" collapsed="false">
      <c r="A617" s="1881"/>
      <c r="B617" s="1862"/>
      <c r="C617" s="1568"/>
      <c r="D617" s="1747" t="s">
        <v>406</v>
      </c>
      <c r="E617" s="1747" t="s">
        <v>2388</v>
      </c>
      <c r="F617" s="1747" t="s">
        <v>2389</v>
      </c>
    </row>
    <row r="618" customFormat="false" ht="12.75" hidden="false" customHeight="true" outlineLevel="0" collapsed="false">
      <c r="A618" s="1881"/>
      <c r="B618" s="1863" t="s">
        <v>2593</v>
      </c>
      <c r="C618" s="1858"/>
      <c r="D618" s="1859" t="n">
        <v>3</v>
      </c>
      <c r="E618" s="1859" t="n">
        <v>2</v>
      </c>
      <c r="F618" s="1859" t="n">
        <v>3</v>
      </c>
    </row>
    <row r="619" customFormat="false" ht="12.75" hidden="false" customHeight="true" outlineLevel="0" collapsed="false">
      <c r="A619" s="1907"/>
    </row>
    <row r="620" customFormat="false" ht="12.75" hidden="false" customHeight="true" outlineLevel="0" collapsed="false">
      <c r="A620" s="1881" t="s">
        <v>2594</v>
      </c>
      <c r="B620" s="1862" t="s">
        <v>2560</v>
      </c>
      <c r="C620" s="1568" t="s">
        <v>2582</v>
      </c>
      <c r="D620" s="1568" t="s">
        <v>2532</v>
      </c>
      <c r="E620" s="1568"/>
      <c r="F620" s="1568"/>
    </row>
    <row r="621" customFormat="false" ht="15.75" hidden="false" customHeight="true" outlineLevel="0" collapsed="false">
      <c r="A621" s="1881"/>
      <c r="B621" s="1862"/>
      <c r="C621" s="1568"/>
      <c r="D621" s="1747" t="s">
        <v>406</v>
      </c>
      <c r="E621" s="1747" t="s">
        <v>2388</v>
      </c>
      <c r="F621" s="1747" t="s">
        <v>2389</v>
      </c>
    </row>
    <row r="622" customFormat="false" ht="12.75" hidden="false" customHeight="true" outlineLevel="0" collapsed="false">
      <c r="A622" s="1881"/>
      <c r="B622" s="1896" t="s">
        <v>2595</v>
      </c>
      <c r="C622" s="1897"/>
      <c r="D622" s="1861" t="n">
        <v>3</v>
      </c>
      <c r="E622" s="1861" t="n">
        <v>2.1</v>
      </c>
      <c r="F622" s="1861" t="n">
        <v>3</v>
      </c>
      <c r="G622" s="1898"/>
    </row>
    <row r="623" customFormat="false" ht="12.75" hidden="false" customHeight="true" outlineLevel="0" collapsed="false">
      <c r="A623" s="1881"/>
      <c r="B623" s="1908" t="s">
        <v>2596</v>
      </c>
      <c r="C623" s="1897"/>
      <c r="D623" s="1861" t="n">
        <v>4.6</v>
      </c>
      <c r="E623" s="1861" t="n">
        <v>3.8</v>
      </c>
      <c r="F623" s="1861" t="n">
        <v>3</v>
      </c>
      <c r="G623" s="1898"/>
    </row>
    <row r="624" customFormat="false" ht="12.75" hidden="false" customHeight="true" outlineLevel="0" collapsed="false">
      <c r="A624" s="1881"/>
      <c r="B624" s="1896" t="s">
        <v>2597</v>
      </c>
      <c r="C624" s="1897"/>
      <c r="D624" s="1861" t="n">
        <v>9.6</v>
      </c>
      <c r="E624" s="1861" t="n">
        <v>4.8</v>
      </c>
      <c r="F624" s="1861" t="n">
        <v>5.9</v>
      </c>
      <c r="G624" s="1898"/>
    </row>
    <row r="625" customFormat="false" ht="12.75" hidden="false" customHeight="true" outlineLevel="0" collapsed="false">
      <c r="A625" s="1881"/>
      <c r="B625" s="1908" t="s">
        <v>2598</v>
      </c>
      <c r="C625" s="1896"/>
      <c r="D625" s="1861" t="n">
        <v>4.3</v>
      </c>
      <c r="E625" s="1861" t="n">
        <v>3.8</v>
      </c>
      <c r="F625" s="1861" t="n">
        <v>2.6</v>
      </c>
      <c r="G625" s="1898"/>
    </row>
    <row r="626" customFormat="false" ht="12.75" hidden="false" customHeight="true" outlineLevel="0" collapsed="false">
      <c r="A626" s="1881"/>
      <c r="B626" s="1880" t="s">
        <v>2599</v>
      </c>
      <c r="C626" s="1880"/>
      <c r="D626" s="1861" t="n">
        <v>3</v>
      </c>
      <c r="E626" s="1861" t="n">
        <v>0.9</v>
      </c>
      <c r="F626" s="1861" t="n">
        <v>5.7</v>
      </c>
      <c r="G626" s="1898"/>
    </row>
    <row r="627" customFormat="false" ht="12.75" hidden="false" customHeight="true" outlineLevel="0" collapsed="false">
      <c r="A627" s="1881"/>
      <c r="B627" s="1908" t="s">
        <v>2600</v>
      </c>
      <c r="C627" s="1897"/>
      <c r="D627" s="1861" t="n">
        <v>0.4</v>
      </c>
      <c r="E627" s="1861" t="n">
        <v>0.2</v>
      </c>
      <c r="F627" s="1861" t="n">
        <v>1.5</v>
      </c>
      <c r="G627" s="1898"/>
    </row>
    <row r="629" customFormat="false" ht="12.75" hidden="false" customHeight="true" outlineLevel="0" collapsed="false">
      <c r="A629" s="1881" t="s">
        <v>2601</v>
      </c>
      <c r="B629" s="1862" t="s">
        <v>2531</v>
      </c>
      <c r="C629" s="1568" t="s">
        <v>2602</v>
      </c>
      <c r="D629" s="1568" t="s">
        <v>2532</v>
      </c>
      <c r="E629" s="1568"/>
      <c r="F629" s="1568"/>
    </row>
    <row r="630" customFormat="false" ht="15.75" hidden="false" customHeight="true" outlineLevel="0" collapsed="false">
      <c r="A630" s="1881"/>
      <c r="B630" s="1862"/>
      <c r="C630" s="1568"/>
      <c r="D630" s="1747" t="s">
        <v>406</v>
      </c>
      <c r="E630" s="1747" t="s">
        <v>2388</v>
      </c>
      <c r="F630" s="1747" t="s">
        <v>2389</v>
      </c>
    </row>
    <row r="631" customFormat="false" ht="12.75" hidden="false" customHeight="true" outlineLevel="0" collapsed="false">
      <c r="A631" s="1881"/>
      <c r="B631" s="1896" t="s">
        <v>2603</v>
      </c>
      <c r="C631" s="1897"/>
      <c r="D631" s="1861" t="n">
        <v>6.5</v>
      </c>
      <c r="E631" s="1861" t="n">
        <v>3.5</v>
      </c>
      <c r="F631" s="1861" t="n">
        <v>8.5</v>
      </c>
      <c r="G631" s="1898"/>
    </row>
    <row r="632" customFormat="false" ht="12.75" hidden="false" customHeight="true" outlineLevel="0" collapsed="false">
      <c r="A632" s="1881"/>
      <c r="B632" s="1908" t="s">
        <v>2604</v>
      </c>
      <c r="C632" s="1897"/>
      <c r="D632" s="1861" t="n">
        <v>6</v>
      </c>
      <c r="E632" s="1861" t="n">
        <v>3</v>
      </c>
      <c r="F632" s="1861" t="n">
        <v>9</v>
      </c>
      <c r="G632" s="1898"/>
    </row>
    <row r="633" customFormat="false" ht="12.75" hidden="false" customHeight="true" outlineLevel="0" collapsed="false">
      <c r="A633" s="1881"/>
      <c r="B633" s="1896" t="s">
        <v>2605</v>
      </c>
      <c r="C633" s="1897"/>
      <c r="D633" s="1861" t="n">
        <v>9</v>
      </c>
      <c r="E633" s="1861" t="n">
        <v>5.5</v>
      </c>
      <c r="F633" s="1861" t="n">
        <v>12</v>
      </c>
      <c r="G633" s="1898"/>
    </row>
    <row r="634" customFormat="false" ht="12.75" hidden="false" customHeight="true" outlineLevel="0" collapsed="false">
      <c r="A634" s="1881"/>
      <c r="B634" s="1908" t="s">
        <v>2606</v>
      </c>
      <c r="C634" s="1896"/>
      <c r="D634" s="1861" t="n">
        <v>26</v>
      </c>
      <c r="E634" s="1861" t="n">
        <v>22.5</v>
      </c>
      <c r="F634" s="1861" t="n">
        <v>22.5</v>
      </c>
      <c r="G634" s="1898"/>
    </row>
    <row r="635" customFormat="false" ht="12.75" hidden="false" customHeight="true" outlineLevel="0" collapsed="false">
      <c r="A635" s="1881"/>
      <c r="B635" s="1896" t="s">
        <v>2607</v>
      </c>
      <c r="C635" s="1896"/>
      <c r="D635" s="1861" t="n">
        <v>8.2</v>
      </c>
      <c r="E635" s="1861" t="n">
        <v>3.2</v>
      </c>
      <c r="F635" s="1861" t="n">
        <v>9</v>
      </c>
      <c r="G635" s="1898"/>
    </row>
    <row r="636" customFormat="false" ht="12.75" hidden="false" customHeight="true" outlineLevel="0" collapsed="false">
      <c r="A636" s="1881"/>
      <c r="B636" s="1880" t="s">
        <v>2608</v>
      </c>
      <c r="C636" s="1880"/>
      <c r="D636" s="1861" t="n">
        <v>8</v>
      </c>
      <c r="E636" s="1861" t="n">
        <v>8</v>
      </c>
      <c r="F636" s="1861" t="n">
        <v>11</v>
      </c>
      <c r="G636" s="1898"/>
    </row>
    <row r="637" customFormat="false" ht="12.75" hidden="false" customHeight="true" outlineLevel="0" collapsed="false">
      <c r="A637" s="1881"/>
      <c r="B637" s="1764"/>
      <c r="C637" s="1905"/>
      <c r="D637" s="1905"/>
      <c r="E637" s="1905"/>
      <c r="F637" s="1905"/>
    </row>
    <row r="638" customFormat="false" ht="12.75" hidden="false" customHeight="true" outlineLevel="0" collapsed="false">
      <c r="A638" s="1881"/>
      <c r="B638" s="1862" t="s">
        <v>2560</v>
      </c>
      <c r="C638" s="1568" t="s">
        <v>2609</v>
      </c>
      <c r="D638" s="1568" t="s">
        <v>2532</v>
      </c>
      <c r="E638" s="1568"/>
      <c r="F638" s="1568"/>
    </row>
    <row r="639" customFormat="false" ht="15.75" hidden="false" customHeight="true" outlineLevel="0" collapsed="false">
      <c r="A639" s="1881"/>
      <c r="B639" s="1862"/>
      <c r="C639" s="1568"/>
      <c r="D639" s="1747" t="s">
        <v>406</v>
      </c>
      <c r="E639" s="1747" t="s">
        <v>2388</v>
      </c>
      <c r="F639" s="1747" t="s">
        <v>2389</v>
      </c>
    </row>
    <row r="640" customFormat="false" ht="12.75" hidden="false" customHeight="true" outlineLevel="0" collapsed="false">
      <c r="A640" s="1881"/>
      <c r="B640" s="1896" t="s">
        <v>2608</v>
      </c>
      <c r="C640" s="1897"/>
      <c r="D640" s="1861" t="n">
        <v>3</v>
      </c>
      <c r="E640" s="1861" t="n">
        <v>1.5</v>
      </c>
      <c r="F640" s="1861" t="n">
        <v>2</v>
      </c>
      <c r="G640" s="1898"/>
    </row>
    <row r="641" customFormat="false" ht="12.75" hidden="false" customHeight="true" outlineLevel="0" collapsed="false">
      <c r="A641" s="1881"/>
      <c r="B641" s="1908" t="s">
        <v>2610</v>
      </c>
      <c r="C641" s="1897"/>
      <c r="D641" s="1861" t="n">
        <v>3.5</v>
      </c>
      <c r="E641" s="1861" t="n">
        <v>2</v>
      </c>
      <c r="F641" s="1861" t="n">
        <v>4</v>
      </c>
      <c r="G641" s="1898"/>
    </row>
    <row r="642" customFormat="false" ht="12.75" hidden="false" customHeight="true" outlineLevel="0" collapsed="false">
      <c r="A642" s="1881"/>
      <c r="B642" s="1899"/>
      <c r="C642" s="1900"/>
      <c r="D642" s="1889"/>
      <c r="E642" s="1889"/>
      <c r="F642" s="1889"/>
      <c r="G642" s="1898"/>
    </row>
    <row r="643" customFormat="false" ht="12.75" hidden="false" customHeight="true" outlineLevel="0" collapsed="false">
      <c r="A643" s="1881"/>
      <c r="B643" s="1862" t="s">
        <v>2560</v>
      </c>
      <c r="C643" s="1568" t="s">
        <v>2611</v>
      </c>
      <c r="D643" s="1568" t="s">
        <v>2532</v>
      </c>
      <c r="E643" s="1568"/>
      <c r="F643" s="1568"/>
      <c r="G643" s="1898"/>
    </row>
    <row r="644" customFormat="false" ht="15.75" hidden="false" customHeight="true" outlineLevel="0" collapsed="false">
      <c r="A644" s="1881"/>
      <c r="B644" s="1862"/>
      <c r="C644" s="1568"/>
      <c r="D644" s="1747" t="s">
        <v>406</v>
      </c>
      <c r="E644" s="1747" t="s">
        <v>2388</v>
      </c>
      <c r="F644" s="1747" t="s">
        <v>2389</v>
      </c>
      <c r="G644" s="1898"/>
    </row>
    <row r="645" customFormat="false" ht="12.75" hidden="false" customHeight="true" outlineLevel="0" collapsed="false">
      <c r="A645" s="1881"/>
      <c r="B645" s="1908" t="s">
        <v>2610</v>
      </c>
      <c r="C645" s="1896"/>
      <c r="D645" s="1861" t="n">
        <v>0.8</v>
      </c>
      <c r="E645" s="1861" t="n">
        <v>0.3</v>
      </c>
      <c r="F645" s="1861" t="n">
        <v>2.2</v>
      </c>
      <c r="G645" s="1898"/>
    </row>
    <row r="647" customFormat="false" ht="12.75" hidden="false" customHeight="true" outlineLevel="0" collapsed="false">
      <c r="A647" s="1881" t="s">
        <v>2612</v>
      </c>
      <c r="B647" s="1862" t="s">
        <v>2531</v>
      </c>
      <c r="C647" s="1568" t="s">
        <v>2613</v>
      </c>
      <c r="D647" s="1568" t="s">
        <v>2532</v>
      </c>
      <c r="E647" s="1568"/>
      <c r="F647" s="1568"/>
    </row>
    <row r="648" customFormat="false" ht="15.75" hidden="false" customHeight="true" outlineLevel="0" collapsed="false">
      <c r="A648" s="1881"/>
      <c r="B648" s="1862"/>
      <c r="C648" s="1568"/>
      <c r="D648" s="1747" t="s">
        <v>406</v>
      </c>
      <c r="E648" s="1747" t="s">
        <v>2388</v>
      </c>
      <c r="F648" s="1747" t="s">
        <v>2389</v>
      </c>
    </row>
    <row r="649" customFormat="false" ht="12.75" hidden="false" customHeight="true" outlineLevel="0" collapsed="false">
      <c r="A649" s="1881"/>
      <c r="B649" s="1896" t="s">
        <v>2614</v>
      </c>
      <c r="C649" s="1897"/>
      <c r="D649" s="1909" t="s">
        <v>2615</v>
      </c>
      <c r="E649" s="1909" t="s">
        <v>2616</v>
      </c>
      <c r="F649" s="1909" t="s">
        <v>2617</v>
      </c>
      <c r="G649" s="1898"/>
    </row>
    <row r="650" customFormat="false" ht="12.75" hidden="false" customHeight="true" outlineLevel="0" collapsed="false">
      <c r="A650" s="1881"/>
      <c r="B650" s="1908" t="s">
        <v>2618</v>
      </c>
      <c r="C650" s="1897"/>
      <c r="D650" s="1909" t="s">
        <v>2619</v>
      </c>
      <c r="E650" s="1909" t="s">
        <v>2620</v>
      </c>
      <c r="F650" s="1909" t="s">
        <v>2621</v>
      </c>
      <c r="G650" s="1898"/>
    </row>
    <row r="651" customFormat="false" ht="12.75" hidden="false" customHeight="true" outlineLevel="0" collapsed="false">
      <c r="A651" s="1881"/>
      <c r="B651" s="1896" t="s">
        <v>2622</v>
      </c>
      <c r="C651" s="1897"/>
      <c r="D651" s="1909" t="s">
        <v>2623</v>
      </c>
      <c r="E651" s="1909" t="s">
        <v>2624</v>
      </c>
      <c r="F651" s="1909" t="s">
        <v>2625</v>
      </c>
      <c r="G651" s="1898"/>
    </row>
    <row r="652" customFormat="false" ht="12.75" hidden="false" customHeight="true" outlineLevel="0" collapsed="false">
      <c r="A652" s="1881"/>
      <c r="B652" s="1908" t="s">
        <v>2626</v>
      </c>
      <c r="C652" s="1896"/>
      <c r="D652" s="1909" t="s">
        <v>2620</v>
      </c>
      <c r="E652" s="1909" t="s">
        <v>2627</v>
      </c>
      <c r="F652" s="1909" t="s">
        <v>2628</v>
      </c>
      <c r="G652" s="1898"/>
    </row>
    <row r="653" customFormat="false" ht="12.75" hidden="false" customHeight="true" outlineLevel="0" collapsed="false">
      <c r="A653" s="1881"/>
      <c r="B653" s="1896" t="s">
        <v>2629</v>
      </c>
      <c r="C653" s="1896"/>
      <c r="D653" s="1909" t="s">
        <v>2630</v>
      </c>
      <c r="E653" s="1909" t="s">
        <v>2631</v>
      </c>
      <c r="F653" s="1909" t="s">
        <v>2632</v>
      </c>
      <c r="G653" s="1898"/>
    </row>
    <row r="654" customFormat="false" ht="12.75" hidden="false" customHeight="true" outlineLevel="0" collapsed="false">
      <c r="A654" s="1329"/>
      <c r="D654" s="1735"/>
    </row>
    <row r="675" customFormat="false" ht="12.75" hidden="false" customHeight="true" outlineLevel="0" collapsed="false">
      <c r="P675" s="0" t="s">
        <v>2633</v>
      </c>
    </row>
    <row r="680" customFormat="false" ht="12.75" hidden="false" customHeight="true" outlineLevel="0" collapsed="false">
      <c r="A680" s="1329"/>
      <c r="D680" s="1735"/>
    </row>
    <row r="681" customFormat="false" ht="12.75" hidden="false" customHeight="true" outlineLevel="0" collapsed="false">
      <c r="A681" s="1329"/>
      <c r="D681" s="1735"/>
    </row>
    <row r="682" customFormat="false" ht="15" hidden="false" customHeight="true" outlineLevel="0" collapsed="false">
      <c r="A682" s="1742" t="s">
        <v>2634</v>
      </c>
      <c r="D682" s="1735"/>
    </row>
    <row r="683" customFormat="false" ht="12.75" hidden="false" customHeight="true" outlineLevel="0" collapsed="false">
      <c r="A683" s="1329"/>
      <c r="D683" s="1735"/>
    </row>
    <row r="684" customFormat="false" ht="12.75" hidden="false" customHeight="true" outlineLevel="0" collapsed="false">
      <c r="A684" s="1329"/>
      <c r="C684" s="1858" t="s">
        <v>2635</v>
      </c>
      <c r="D684" s="1747" t="s">
        <v>406</v>
      </c>
      <c r="E684" s="1747" t="s">
        <v>407</v>
      </c>
      <c r="F684" s="1747" t="s">
        <v>408</v>
      </c>
    </row>
    <row r="685" customFormat="false" ht="12.75" hidden="false" customHeight="true" outlineLevel="0" collapsed="false">
      <c r="A685" s="1329"/>
      <c r="C685" s="1858" t="s">
        <v>192</v>
      </c>
      <c r="D685" s="1746" t="n">
        <v>12.5</v>
      </c>
      <c r="E685" s="1859" t="n">
        <f aca="false">H685/0.437</f>
        <v>5.49199084668192</v>
      </c>
      <c r="F685" s="1859" t="n">
        <f aca="false">I685/0.83</f>
        <v>12.5301204819277</v>
      </c>
      <c r="H685" s="0" t="n">
        <v>2.4</v>
      </c>
      <c r="I685" s="0" t="n">
        <v>10.4</v>
      </c>
    </row>
    <row r="686" customFormat="false" ht="12.75" hidden="false" customHeight="true" outlineLevel="0" collapsed="false">
      <c r="A686" s="1329"/>
      <c r="C686" s="1858" t="s">
        <v>194</v>
      </c>
      <c r="D686" s="1746" t="n">
        <v>20</v>
      </c>
      <c r="E686" s="1859" t="n">
        <f aca="false">H686/0.437</f>
        <v>5.94965675057208</v>
      </c>
      <c r="F686" s="1859" t="n">
        <f aca="false">I686/0.83</f>
        <v>24.9397590361446</v>
      </c>
      <c r="H686" s="0" t="n">
        <v>2.6</v>
      </c>
      <c r="I686" s="0" t="n">
        <v>20.7</v>
      </c>
    </row>
    <row r="687" customFormat="false" ht="12.75" hidden="false" customHeight="true" outlineLevel="0" collapsed="false">
      <c r="A687" s="1329"/>
      <c r="C687" s="1858" t="s">
        <v>196</v>
      </c>
      <c r="D687" s="1746" t="n">
        <v>15</v>
      </c>
      <c r="E687" s="1859" t="n">
        <f aca="false">H687/0.437</f>
        <v>5.94965675057208</v>
      </c>
      <c r="F687" s="1859" t="n">
        <f aca="false">I687/0.83</f>
        <v>22.0481927710843</v>
      </c>
      <c r="H687" s="0" t="n">
        <v>2.6</v>
      </c>
      <c r="I687" s="0" t="n">
        <v>18.3</v>
      </c>
    </row>
    <row r="688" customFormat="false" ht="12.75" hidden="false" customHeight="true" outlineLevel="0" collapsed="false">
      <c r="A688" s="1329"/>
      <c r="C688" s="1858" t="s">
        <v>198</v>
      </c>
      <c r="D688" s="1746" t="n">
        <v>28</v>
      </c>
      <c r="E688" s="1859" t="n">
        <f aca="false">H688/0.437</f>
        <v>5.94965675057208</v>
      </c>
      <c r="F688" s="1859" t="n">
        <f aca="false">I688/0.83</f>
        <v>24.9397590361446</v>
      </c>
      <c r="H688" s="0" t="n">
        <v>2.6</v>
      </c>
      <c r="I688" s="0" t="n">
        <v>20.7</v>
      </c>
    </row>
    <row r="689" customFormat="false" ht="12.75" hidden="false" customHeight="true" outlineLevel="0" collapsed="false">
      <c r="A689" s="1329"/>
      <c r="C689" s="1858" t="s">
        <v>200</v>
      </c>
      <c r="D689" s="1746" t="n">
        <v>25</v>
      </c>
      <c r="E689" s="1859" t="n">
        <v>8</v>
      </c>
      <c r="F689" s="1859" t="n">
        <f aca="false">I689/0.83</f>
        <v>33.0120481927711</v>
      </c>
      <c r="H689" s="0" t="n">
        <v>3.5</v>
      </c>
      <c r="I689" s="0" t="n">
        <v>27.4</v>
      </c>
    </row>
    <row r="690" customFormat="false" ht="12.75" hidden="false" customHeight="true" outlineLevel="0" collapsed="false">
      <c r="A690" s="1329"/>
      <c r="C690" s="1858" t="s">
        <v>202</v>
      </c>
      <c r="D690" s="1746" t="n">
        <v>15</v>
      </c>
      <c r="E690" s="1859" t="n">
        <f aca="false">H690/0.437</f>
        <v>5.94965675057208</v>
      </c>
      <c r="F690" s="1859" t="n">
        <f aca="false">I690/0.83</f>
        <v>20</v>
      </c>
      <c r="H690" s="0" t="n">
        <v>2.6</v>
      </c>
      <c r="I690" s="0" t="n">
        <v>16.6</v>
      </c>
    </row>
    <row r="691" customFormat="false" ht="12.75" hidden="false" customHeight="true" outlineLevel="0" collapsed="false">
      <c r="A691" s="1329"/>
      <c r="C691" s="1858" t="s">
        <v>204</v>
      </c>
      <c r="D691" s="1746" t="n">
        <v>35</v>
      </c>
      <c r="E691" s="1859" t="n">
        <f aca="false">H691/0.437</f>
        <v>8.0091533180778</v>
      </c>
      <c r="F691" s="1859" t="n">
        <f aca="false">I691/0.83</f>
        <v>40</v>
      </c>
      <c r="H691" s="0" t="n">
        <v>3.5</v>
      </c>
      <c r="I691" s="0" t="n">
        <v>33.2</v>
      </c>
    </row>
    <row r="692" customFormat="false" ht="12.75" hidden="false" customHeight="true" outlineLevel="0" collapsed="false">
      <c r="A692" s="1329"/>
      <c r="C692" s="1858" t="s">
        <v>206</v>
      </c>
      <c r="D692" s="1746" t="n">
        <v>16</v>
      </c>
      <c r="E692" s="1859" t="n">
        <f aca="false">H692/0.437</f>
        <v>3.4324942791762</v>
      </c>
      <c r="F692" s="1859" t="n">
        <f aca="false">I692/0.83</f>
        <v>34.9397590361446</v>
      </c>
      <c r="H692" s="0" t="n">
        <v>1.5</v>
      </c>
      <c r="I692" s="0" t="n">
        <v>29</v>
      </c>
    </row>
    <row r="693" customFormat="false" ht="12.75" hidden="false" customHeight="true" outlineLevel="0" collapsed="false">
      <c r="A693" s="1329"/>
      <c r="C693" s="1858" t="s">
        <v>208</v>
      </c>
      <c r="D693" s="1746" t="n">
        <v>16</v>
      </c>
      <c r="E693" s="1859" t="n">
        <f aca="false">H693/0.437</f>
        <v>2.2883295194508</v>
      </c>
      <c r="F693" s="1859" t="n">
        <f aca="false">I693/0.83</f>
        <v>7.46987951807229</v>
      </c>
      <c r="H693" s="0" t="n">
        <v>1</v>
      </c>
      <c r="I693" s="0" t="n">
        <v>6.2</v>
      </c>
    </row>
    <row r="694" customFormat="false" ht="12.75" hidden="false" customHeight="true" outlineLevel="0" collapsed="false">
      <c r="A694" s="1329"/>
      <c r="C694" s="1858" t="s">
        <v>2636</v>
      </c>
      <c r="D694" s="1746" t="n">
        <v>16</v>
      </c>
      <c r="E694" s="1859" t="n">
        <f aca="false">H694/0.437</f>
        <v>2.2883295194508</v>
      </c>
      <c r="F694" s="1859" t="n">
        <f aca="false">I694/0.83</f>
        <v>7.46987951807229</v>
      </c>
      <c r="H694" s="0" t="n">
        <v>1</v>
      </c>
      <c r="I694" s="0" t="n">
        <v>6.2</v>
      </c>
    </row>
    <row r="695" customFormat="false" ht="12.75" hidden="false" customHeight="true" outlineLevel="0" collapsed="false">
      <c r="A695" s="1329"/>
      <c r="C695" s="1858" t="s">
        <v>210</v>
      </c>
      <c r="D695" s="1746" t="n">
        <v>23.3</v>
      </c>
      <c r="E695" s="1859" t="n">
        <f aca="false">H695/0.437</f>
        <v>1.1441647597254</v>
      </c>
      <c r="F695" s="1859" t="n">
        <f aca="false">I695/0.83</f>
        <v>47.9518072289157</v>
      </c>
      <c r="H695" s="0" t="n">
        <v>0.5</v>
      </c>
      <c r="I695" s="0" t="n">
        <v>39.8</v>
      </c>
    </row>
    <row r="696" customFormat="false" ht="12.75" hidden="false" customHeight="true" outlineLevel="0" collapsed="false">
      <c r="A696" s="1329"/>
      <c r="C696" s="1858" t="s">
        <v>212</v>
      </c>
      <c r="D696" s="1746" t="n">
        <v>48</v>
      </c>
      <c r="E696" s="1859" t="n">
        <f aca="false">H696/0.437</f>
        <v>13.0434782608696</v>
      </c>
      <c r="F696" s="1859" t="n">
        <f aca="false">I696/0.83</f>
        <v>0.963855421686747</v>
      </c>
      <c r="H696" s="0" t="n">
        <v>5.7</v>
      </c>
      <c r="I696" s="0" t="n">
        <v>0.8</v>
      </c>
    </row>
    <row r="697" customFormat="false" ht="12.75" hidden="false" customHeight="true" outlineLevel="0" collapsed="false">
      <c r="A697" s="1329"/>
      <c r="C697" s="1858" t="s">
        <v>2637</v>
      </c>
      <c r="D697" s="1746" t="n">
        <v>26</v>
      </c>
      <c r="E697" s="1859" t="n">
        <f aca="false">H697/0.437</f>
        <v>6.17848970251716</v>
      </c>
      <c r="F697" s="1859" t="n">
        <f aca="false">I697/0.83</f>
        <v>18.0722891566265</v>
      </c>
      <c r="H697" s="0" t="n">
        <v>2.7</v>
      </c>
      <c r="I697" s="0" t="n">
        <v>15</v>
      </c>
    </row>
    <row r="698" customFormat="false" ht="12.75" hidden="false" customHeight="true" outlineLevel="0" collapsed="false">
      <c r="A698" s="1329"/>
      <c r="C698" s="1858" t="s">
        <v>316</v>
      </c>
      <c r="D698" s="1746" t="n">
        <v>16</v>
      </c>
      <c r="E698" s="1859" t="n">
        <f aca="false">H698/0.437</f>
        <v>2.51716247139588</v>
      </c>
      <c r="F698" s="1859" t="n">
        <f aca="false">I698/0.83</f>
        <v>12.0481927710843</v>
      </c>
      <c r="H698" s="0" t="n">
        <v>1.1</v>
      </c>
      <c r="I698" s="0" t="n">
        <v>10</v>
      </c>
    </row>
    <row r="699" customFormat="false" ht="12.75" hidden="false" customHeight="true" outlineLevel="0" collapsed="false">
      <c r="A699" s="1329"/>
      <c r="C699" s="1858" t="s">
        <v>2638</v>
      </c>
      <c r="D699" s="1746" t="n">
        <v>6</v>
      </c>
      <c r="E699" s="1859" t="n">
        <f aca="false">H699/0.437</f>
        <v>2.51716247139588</v>
      </c>
      <c r="F699" s="1859" t="n">
        <f aca="false">I699/0.83</f>
        <v>12.0481927710843</v>
      </c>
      <c r="H699" s="0" t="n">
        <v>1.1</v>
      </c>
      <c r="I699" s="0" t="n">
        <v>10</v>
      </c>
    </row>
    <row r="700" customFormat="false" ht="12.75" hidden="false" customHeight="true" outlineLevel="0" collapsed="false">
      <c r="A700" s="1329"/>
      <c r="C700" s="1858" t="s">
        <v>218</v>
      </c>
      <c r="D700" s="1746" t="n">
        <v>14</v>
      </c>
      <c r="E700" s="1859" t="n">
        <f aca="false">H700/0.437</f>
        <v>2.97482837528604</v>
      </c>
      <c r="F700" s="1859" t="n">
        <f aca="false">I700/0.83</f>
        <v>24.9397590361446</v>
      </c>
      <c r="H700" s="0" t="n">
        <v>1.3</v>
      </c>
      <c r="I700" s="0" t="n">
        <v>20.7</v>
      </c>
    </row>
    <row r="701" customFormat="false" ht="12.75" hidden="false" customHeight="true" outlineLevel="0" collapsed="false">
      <c r="A701" s="1329"/>
      <c r="D701" s="1735"/>
      <c r="E701" s="1735"/>
      <c r="F701" s="1735"/>
    </row>
    <row r="702" customFormat="false" ht="15" hidden="false" customHeight="true" outlineLevel="0" collapsed="false">
      <c r="A702" s="1742" t="s">
        <v>2639</v>
      </c>
      <c r="D702" s="1735"/>
    </row>
    <row r="703" customFormat="false" ht="12.75" hidden="false" customHeight="true" outlineLevel="0" collapsed="false">
      <c r="A703" s="1329"/>
      <c r="D703" s="1735"/>
    </row>
    <row r="704" customFormat="false" ht="12.75" hidden="false" customHeight="true" outlineLevel="0" collapsed="false">
      <c r="A704" s="1329"/>
      <c r="C704" s="1858" t="s">
        <v>2640</v>
      </c>
      <c r="D704" s="1747" t="s">
        <v>406</v>
      </c>
      <c r="E704" s="1747" t="s">
        <v>407</v>
      </c>
      <c r="F704" s="1747" t="s">
        <v>408</v>
      </c>
    </row>
    <row r="705" customFormat="false" ht="12.75" hidden="false" customHeight="true" outlineLevel="0" collapsed="false">
      <c r="A705" s="1329"/>
      <c r="B705" s="1881" t="s">
        <v>2641</v>
      </c>
      <c r="C705" s="1858" t="s">
        <v>343</v>
      </c>
      <c r="D705" s="1746" t="n">
        <v>15.5</v>
      </c>
      <c r="E705" s="1859" t="n">
        <f aca="false">H705/0.437</f>
        <v>8.0091533180778</v>
      </c>
      <c r="F705" s="1859" t="n">
        <f aca="false">I705/0.83</f>
        <v>5.18072289156626</v>
      </c>
      <c r="H705" s="0" t="n">
        <v>3.5</v>
      </c>
      <c r="I705" s="0" t="n">
        <v>4.3</v>
      </c>
    </row>
    <row r="706" customFormat="false" ht="12.75" hidden="false" customHeight="true" outlineLevel="0" collapsed="false">
      <c r="A706" s="1329"/>
      <c r="B706" s="1881"/>
      <c r="C706" s="1858" t="s">
        <v>2642</v>
      </c>
      <c r="D706" s="1746" t="n">
        <v>13</v>
      </c>
      <c r="E706" s="1859" t="n">
        <f aca="false">H706/0.437</f>
        <v>8.0091533180778</v>
      </c>
      <c r="F706" s="1859" t="n">
        <f aca="false">I706/0.83</f>
        <v>6.98795180722891</v>
      </c>
      <c r="H706" s="0" t="n">
        <v>3.5</v>
      </c>
      <c r="I706" s="0" t="n">
        <v>5.8</v>
      </c>
    </row>
    <row r="707" customFormat="false" ht="12.75" hidden="false" customHeight="true" outlineLevel="0" collapsed="false">
      <c r="A707" s="1329"/>
      <c r="B707" s="1881"/>
      <c r="C707" s="1858" t="s">
        <v>346</v>
      </c>
      <c r="D707" s="1746" t="n">
        <v>13</v>
      </c>
      <c r="E707" s="1859" t="n">
        <f aca="false">H707/0.437</f>
        <v>6.8649885583524</v>
      </c>
      <c r="F707" s="1859" t="n">
        <f aca="false">I707/0.83</f>
        <v>4.33734939759036</v>
      </c>
      <c r="H707" s="0" t="n">
        <v>3</v>
      </c>
      <c r="I707" s="0" t="n">
        <v>3.6</v>
      </c>
    </row>
    <row r="708" customFormat="false" ht="12.75" hidden="false" customHeight="true" outlineLevel="0" collapsed="false">
      <c r="A708" s="1329"/>
      <c r="B708" s="1881"/>
      <c r="C708" s="1858" t="s">
        <v>2643</v>
      </c>
      <c r="D708" s="1746" t="n">
        <v>73</v>
      </c>
      <c r="E708" s="1859" t="n">
        <f aca="false">H708/0.437</f>
        <v>16.0183066361556</v>
      </c>
      <c r="F708" s="1859" t="n">
        <f aca="false">I708/0.83</f>
        <v>20.9638554216867</v>
      </c>
      <c r="H708" s="0" t="n">
        <v>7</v>
      </c>
      <c r="I708" s="0" t="n">
        <v>17.4</v>
      </c>
    </row>
    <row r="709" customFormat="false" ht="12.75" hidden="false" customHeight="true" outlineLevel="0" collapsed="false">
      <c r="A709" s="1329"/>
      <c r="B709" s="1881"/>
      <c r="C709" s="1858" t="s">
        <v>2644</v>
      </c>
      <c r="D709" s="1746" t="n">
        <v>71</v>
      </c>
      <c r="E709" s="1859" t="n">
        <v>8</v>
      </c>
      <c r="F709" s="1859" t="n">
        <f aca="false">I709/0.83</f>
        <v>20.9638554216867</v>
      </c>
      <c r="H709" s="0" t="n">
        <v>7</v>
      </c>
      <c r="I709" s="0" t="n">
        <v>17.4</v>
      </c>
    </row>
    <row r="710" customFormat="false" ht="12.75" hidden="false" customHeight="true" outlineLevel="0" collapsed="false">
      <c r="A710" s="1329"/>
      <c r="B710" s="1881"/>
      <c r="C710" s="1858" t="s">
        <v>2645</v>
      </c>
      <c r="D710" s="1746" t="n">
        <v>68</v>
      </c>
      <c r="E710" s="1859" t="n">
        <f aca="false">H710/0.437</f>
        <v>13.9588100686499</v>
      </c>
      <c r="F710" s="1859" t="n">
        <f aca="false">I710/0.83</f>
        <v>20.9638554216867</v>
      </c>
      <c r="H710" s="0" t="n">
        <v>6.1</v>
      </c>
      <c r="I710" s="0" t="n">
        <v>17.4</v>
      </c>
    </row>
    <row r="711" customFormat="false" ht="12.75" hidden="false" customHeight="true" outlineLevel="0" collapsed="false">
      <c r="A711" s="1329"/>
      <c r="B711" s="1881"/>
      <c r="C711" s="1858" t="s">
        <v>2646</v>
      </c>
      <c r="D711" s="1746" t="n">
        <v>56</v>
      </c>
      <c r="E711" s="1859" t="n">
        <f aca="false">H711/0.437</f>
        <v>25.1716247139588</v>
      </c>
      <c r="F711" s="1859" t="n">
        <f aca="false">I711/0.83</f>
        <v>13.0120481927711</v>
      </c>
      <c r="H711" s="0" t="n">
        <v>11</v>
      </c>
      <c r="I711" s="0" t="n">
        <v>10.8</v>
      </c>
    </row>
    <row r="712" customFormat="false" ht="12.75" hidden="false" customHeight="true" outlineLevel="0" collapsed="false">
      <c r="A712" s="1329"/>
      <c r="B712" s="1881"/>
      <c r="C712" s="1858" t="s">
        <v>1871</v>
      </c>
      <c r="D712" s="1746" t="n">
        <v>32.5</v>
      </c>
      <c r="E712" s="1859" t="n">
        <f aca="false">H712/0.437</f>
        <v>8.69565217391304</v>
      </c>
      <c r="F712" s="1859" t="n">
        <f aca="false">I712/0.83</f>
        <v>11.2048192771084</v>
      </c>
      <c r="H712" s="0" t="n">
        <v>3.8</v>
      </c>
      <c r="I712" s="0" t="n">
        <v>9.3</v>
      </c>
    </row>
    <row r="713" customFormat="false" ht="12.75" hidden="false" customHeight="true" outlineLevel="0" collapsed="false">
      <c r="A713" s="1329"/>
      <c r="B713" s="1881"/>
      <c r="C713" s="1858" t="s">
        <v>2647</v>
      </c>
      <c r="D713" s="1746" t="n">
        <v>55.5</v>
      </c>
      <c r="E713" s="1859" t="n">
        <f aca="false">H713/0.437</f>
        <v>8.92448512585812</v>
      </c>
      <c r="F713" s="1859" t="n">
        <f aca="false">I713/0.83</f>
        <v>16.9879518072289</v>
      </c>
      <c r="H713" s="0" t="n">
        <v>3.9</v>
      </c>
      <c r="I713" s="0" t="n">
        <v>14.1</v>
      </c>
    </row>
    <row r="714" customFormat="false" ht="12.75" hidden="false" customHeight="true" outlineLevel="0" collapsed="false">
      <c r="A714" s="1329"/>
      <c r="B714" s="1881"/>
      <c r="C714" s="1858" t="s">
        <v>217</v>
      </c>
      <c r="D714" s="1746" t="n">
        <v>16</v>
      </c>
      <c r="E714" s="1859" t="n">
        <f aca="false">H714/0.437</f>
        <v>2.2883295194508</v>
      </c>
      <c r="F714" s="1859" t="n">
        <f aca="false">I714/0.83</f>
        <v>7.46987951807229</v>
      </c>
      <c r="H714" s="0" t="n">
        <v>1</v>
      </c>
      <c r="I714" s="0" t="n">
        <v>6.2</v>
      </c>
    </row>
    <row r="715" customFormat="false" ht="12.75" hidden="false" customHeight="true" outlineLevel="0" collapsed="false">
      <c r="A715" s="1329"/>
      <c r="B715" s="1881"/>
      <c r="C715" s="1858" t="s">
        <v>2648</v>
      </c>
      <c r="D715" s="1746" t="n">
        <v>25.6</v>
      </c>
      <c r="E715" s="1859" t="n">
        <f aca="false">H715/0.437</f>
        <v>6.17848970251716</v>
      </c>
      <c r="F715" s="1859" t="n">
        <f aca="false">I715/0.83</f>
        <v>18.0722891566265</v>
      </c>
      <c r="H715" s="0" t="n">
        <v>2.7</v>
      </c>
      <c r="I715" s="0" t="n">
        <v>15</v>
      </c>
    </row>
    <row r="716" customFormat="false" ht="12.75" hidden="false" customHeight="true" outlineLevel="0" collapsed="false">
      <c r="A716" s="1329"/>
      <c r="B716" s="1881"/>
      <c r="C716" s="1858" t="s">
        <v>2649</v>
      </c>
      <c r="D716" s="1746" t="n">
        <v>28.8</v>
      </c>
      <c r="E716" s="1859" t="n">
        <f aca="false">H716/0.437</f>
        <v>6.17848970251716</v>
      </c>
      <c r="F716" s="1859" t="n">
        <f aca="false">I716/0.83</f>
        <v>18.0722891566265</v>
      </c>
      <c r="H716" s="0" t="n">
        <v>2.7</v>
      </c>
      <c r="I716" s="0" t="n">
        <v>15</v>
      </c>
    </row>
    <row r="717" customFormat="false" ht="12.75" hidden="false" customHeight="true" outlineLevel="0" collapsed="false">
      <c r="A717" s="1329"/>
      <c r="B717" s="1881"/>
      <c r="C717" s="1858" t="s">
        <v>2650</v>
      </c>
      <c r="D717" s="1746" t="n">
        <v>32</v>
      </c>
      <c r="E717" s="1859" t="n">
        <f aca="false">H717/0.437</f>
        <v>6.17848970251716</v>
      </c>
      <c r="F717" s="1859" t="n">
        <f aca="false">I717/0.83</f>
        <v>18.0722891566265</v>
      </c>
      <c r="H717" s="0" t="n">
        <v>2.7</v>
      </c>
      <c r="I717" s="0" t="n">
        <v>15</v>
      </c>
    </row>
    <row r="718" customFormat="false" ht="12.75" hidden="false" customHeight="true" outlineLevel="0" collapsed="false">
      <c r="A718" s="1329"/>
      <c r="B718" s="1881"/>
      <c r="C718" s="1858" t="s">
        <v>2651</v>
      </c>
      <c r="D718" s="1746" t="n">
        <v>35.2</v>
      </c>
      <c r="E718" s="1859" t="n">
        <f aca="false">H718/0.437</f>
        <v>6.17848970251716</v>
      </c>
      <c r="F718" s="1859" t="n">
        <f aca="false">I718/0.83</f>
        <v>18.0722891566265</v>
      </c>
      <c r="H718" s="0" t="n">
        <v>2.7</v>
      </c>
      <c r="I718" s="0" t="n">
        <v>15</v>
      </c>
    </row>
    <row r="719" customFormat="false" ht="12.75" hidden="false" customHeight="true" outlineLevel="0" collapsed="false">
      <c r="A719" s="1329"/>
      <c r="D719" s="1735"/>
    </row>
    <row r="720" customFormat="false" ht="12.75" hidden="false" customHeight="true" outlineLevel="0" collapsed="false">
      <c r="A720" s="1329"/>
      <c r="C720" s="1858" t="s">
        <v>2640</v>
      </c>
      <c r="D720" s="1747" t="s">
        <v>406</v>
      </c>
      <c r="E720" s="1747" t="s">
        <v>407</v>
      </c>
      <c r="F720" s="1747" t="s">
        <v>408</v>
      </c>
    </row>
    <row r="721" customFormat="false" ht="12.75" hidden="false" customHeight="true" outlineLevel="0" collapsed="false">
      <c r="A721" s="1329"/>
      <c r="B721" s="1881" t="s">
        <v>2652</v>
      </c>
      <c r="C721" s="1858" t="s">
        <v>220</v>
      </c>
      <c r="D721" s="1746" t="n">
        <v>19.2</v>
      </c>
      <c r="E721" s="1859" t="n">
        <f aca="false">H721/0.437</f>
        <v>8.92448512585812</v>
      </c>
      <c r="F721" s="1859" t="n">
        <f aca="false">I721/0.83</f>
        <v>6.02409638554217</v>
      </c>
      <c r="H721" s="0" t="n">
        <v>3.9</v>
      </c>
      <c r="I721" s="0" t="n">
        <v>5</v>
      </c>
    </row>
    <row r="722" customFormat="false" ht="12.75" hidden="false" customHeight="true" outlineLevel="0" collapsed="false">
      <c r="A722" s="1329"/>
      <c r="B722" s="1881"/>
      <c r="C722" s="1858" t="s">
        <v>221</v>
      </c>
      <c r="D722" s="1746" t="n">
        <v>22.4</v>
      </c>
      <c r="E722" s="1859" t="n">
        <f aca="false">H722/0.437</f>
        <v>8.92448512585812</v>
      </c>
      <c r="F722" s="1859" t="n">
        <f aca="false">I722/0.83</f>
        <v>6.98795180722891</v>
      </c>
      <c r="H722" s="0" t="n">
        <v>3.9</v>
      </c>
      <c r="I722" s="0" t="n">
        <v>5.8</v>
      </c>
    </row>
    <row r="723" customFormat="false" ht="12.75" hidden="false" customHeight="true" outlineLevel="0" collapsed="false">
      <c r="A723" s="1329"/>
      <c r="B723" s="1881"/>
      <c r="C723" s="1858" t="s">
        <v>222</v>
      </c>
      <c r="D723" s="1746" t="n">
        <v>29</v>
      </c>
      <c r="E723" s="1859" t="n">
        <f aca="false">H723/0.437</f>
        <v>10.0686498855835</v>
      </c>
      <c r="F723" s="1859" t="n">
        <f aca="false">I723/0.83</f>
        <v>9.03614457831325</v>
      </c>
      <c r="H723" s="0" t="n">
        <v>4.4</v>
      </c>
      <c r="I723" s="0" t="n">
        <v>7.5</v>
      </c>
    </row>
    <row r="724" customFormat="false" ht="12.75" hidden="false" customHeight="true" outlineLevel="0" collapsed="false">
      <c r="A724" s="1329"/>
      <c r="B724" s="1881"/>
      <c r="C724" s="1858" t="s">
        <v>223</v>
      </c>
      <c r="D724" s="1746" t="n">
        <v>35</v>
      </c>
      <c r="E724" s="1859" t="n">
        <f aca="false">H724/0.437</f>
        <v>10.9839816933638</v>
      </c>
      <c r="F724" s="1859" t="n">
        <f aca="false">I724/0.83</f>
        <v>11.0843373493976</v>
      </c>
      <c r="H724" s="0" t="n">
        <v>4.8</v>
      </c>
      <c r="I724" s="0" t="n">
        <v>9.2</v>
      </c>
    </row>
    <row r="725" customFormat="false" ht="12.75" hidden="false" customHeight="true" outlineLevel="0" collapsed="false">
      <c r="A725" s="1329"/>
      <c r="B725" s="1881"/>
      <c r="C725" s="1858" t="s">
        <v>224</v>
      </c>
      <c r="D725" s="1746" t="n">
        <v>42</v>
      </c>
      <c r="E725" s="1859" t="n">
        <v>8</v>
      </c>
      <c r="F725" s="1859" t="n">
        <f aca="false">I725/0.83</f>
        <v>12.0481927710843</v>
      </c>
      <c r="H725" s="0" t="n">
        <v>5.2</v>
      </c>
      <c r="I725" s="0" t="n">
        <v>10</v>
      </c>
    </row>
    <row r="726" customFormat="false" ht="12.75" hidden="false" customHeight="true" outlineLevel="0" collapsed="false">
      <c r="A726" s="1329"/>
      <c r="B726" s="1881"/>
      <c r="C726" s="1858" t="s">
        <v>225</v>
      </c>
      <c r="D726" s="1746" t="n">
        <v>48</v>
      </c>
      <c r="E726" s="1859" t="n">
        <f aca="false">H726/0.437</f>
        <v>13.0434782608696</v>
      </c>
      <c r="F726" s="1859" t="n">
        <f aca="false">I726/0.83</f>
        <v>14.0963855421687</v>
      </c>
      <c r="H726" s="0" t="n">
        <v>5.7</v>
      </c>
      <c r="I726" s="0" t="n">
        <v>11.7</v>
      </c>
    </row>
    <row r="727" customFormat="false" ht="12.75" hidden="false" customHeight="true" outlineLevel="0" collapsed="false">
      <c r="A727" s="1329"/>
      <c r="B727" s="1881"/>
      <c r="C727" s="1858" t="s">
        <v>228</v>
      </c>
      <c r="D727" s="1746" t="n">
        <v>58</v>
      </c>
      <c r="E727" s="1859" t="n">
        <f aca="false">H727/0.437</f>
        <v>13.9588100686499</v>
      </c>
      <c r="F727" s="1859" t="n">
        <f aca="false">I727/0.83</f>
        <v>17.1084337349398</v>
      </c>
      <c r="H727" s="0" t="n">
        <v>6.1</v>
      </c>
      <c r="I727" s="0" t="n">
        <v>14.2</v>
      </c>
    </row>
    <row r="728" customFormat="false" ht="12.75" hidden="false" customHeight="true" outlineLevel="0" collapsed="false">
      <c r="A728" s="1329"/>
      <c r="B728" s="1881"/>
      <c r="C728" s="1858" t="s">
        <v>231</v>
      </c>
      <c r="D728" s="1746" t="n">
        <v>64</v>
      </c>
      <c r="E728" s="1859" t="n">
        <f aca="false">H728/0.437</f>
        <v>14.8741418764302</v>
      </c>
      <c r="F728" s="1859" t="n">
        <f aca="false">I728/0.83</f>
        <v>19.2771084337349</v>
      </c>
      <c r="H728" s="0" t="n">
        <v>6.5</v>
      </c>
      <c r="I728" s="0" t="n">
        <v>16</v>
      </c>
    </row>
    <row r="729" customFormat="false" ht="12.75" hidden="false" customHeight="true" outlineLevel="0" collapsed="false">
      <c r="A729" s="1329"/>
      <c r="B729" s="1881"/>
      <c r="C729" s="1858" t="s">
        <v>233</v>
      </c>
      <c r="D729" s="1746" t="n">
        <v>70</v>
      </c>
      <c r="E729" s="1859" t="n">
        <f aca="false">H729/0.437</f>
        <v>16.0183066361556</v>
      </c>
      <c r="F729" s="1859" t="n">
        <f aca="false">I729/0.83</f>
        <v>20.1204819277108</v>
      </c>
      <c r="H729" s="0" t="n">
        <v>7</v>
      </c>
      <c r="I729" s="0" t="n">
        <v>16.7</v>
      </c>
    </row>
    <row r="730" customFormat="false" ht="12.75" hidden="false" customHeight="true" outlineLevel="0" collapsed="false">
      <c r="A730" s="1329"/>
      <c r="B730" s="1881"/>
      <c r="C730" s="1858" t="s">
        <v>234</v>
      </c>
      <c r="D730" s="1746" t="n">
        <v>36</v>
      </c>
      <c r="E730" s="1859" t="n">
        <f aca="false">H730/0.437</f>
        <v>23.7986270022883</v>
      </c>
      <c r="F730" s="1859" t="n">
        <f aca="false">I730/0.83</f>
        <v>21.0843373493976</v>
      </c>
      <c r="H730" s="0" t="n">
        <v>10.4</v>
      </c>
      <c r="I730" s="0" t="n">
        <v>17.5</v>
      </c>
    </row>
    <row r="731" customFormat="false" ht="12.75" hidden="false" customHeight="true" outlineLevel="0" collapsed="false">
      <c r="A731" s="1329"/>
      <c r="B731" s="1881"/>
      <c r="C731" s="1910" t="s">
        <v>235</v>
      </c>
      <c r="D731" s="1746" t="n">
        <v>29</v>
      </c>
      <c r="E731" s="1859" t="n">
        <f aca="false">H731/0.437</f>
        <v>14.8741418764302</v>
      </c>
      <c r="F731" s="1859" t="n">
        <f aca="false">I731/0.83</f>
        <v>9.03614457831325</v>
      </c>
      <c r="H731" s="0" t="n">
        <v>6.5</v>
      </c>
      <c r="I731" s="0" t="n">
        <v>7.5</v>
      </c>
    </row>
    <row r="732" customFormat="false" ht="12.75" hidden="false" customHeight="true" outlineLevel="0" collapsed="false">
      <c r="A732" s="1329"/>
      <c r="B732" s="1881"/>
      <c r="C732" s="1858" t="s">
        <v>2653</v>
      </c>
      <c r="D732" s="1746" t="n">
        <v>27.2</v>
      </c>
      <c r="E732" s="1859" t="n">
        <f aca="false">H732/0.437</f>
        <v>14.8741418764302</v>
      </c>
      <c r="F732" s="1859" t="n">
        <f aca="false">I732/0.83</f>
        <v>9.63855421686747</v>
      </c>
      <c r="H732" s="0" t="n">
        <v>6.5</v>
      </c>
      <c r="I732" s="0" t="n">
        <v>8</v>
      </c>
    </row>
    <row r="733" customFormat="false" ht="12.75" hidden="false" customHeight="true" outlineLevel="0" collapsed="false">
      <c r="A733" s="1329"/>
      <c r="B733" s="1881"/>
      <c r="C733" s="1858" t="s">
        <v>237</v>
      </c>
      <c r="D733" s="1746" t="n">
        <v>35.2</v>
      </c>
      <c r="E733" s="1859" t="n">
        <f aca="false">H733/0.437</f>
        <v>16.0183066361556</v>
      </c>
      <c r="F733" s="1859" t="n">
        <f aca="false">I733/0.83</f>
        <v>10.9638554216867</v>
      </c>
      <c r="H733" s="0" t="n">
        <v>7</v>
      </c>
      <c r="I733" s="0" t="n">
        <v>9.1</v>
      </c>
    </row>
    <row r="734" customFormat="false" ht="12.75" hidden="false" customHeight="true" outlineLevel="0" collapsed="false">
      <c r="A734" s="1329"/>
      <c r="B734" s="1881"/>
      <c r="C734" s="1858" t="s">
        <v>2654</v>
      </c>
      <c r="D734" s="1746" t="n">
        <v>26.4</v>
      </c>
      <c r="E734" s="1859" t="n">
        <f aca="false">H734/0.437</f>
        <v>16.0183066361556</v>
      </c>
      <c r="F734" s="1859" t="n">
        <f aca="false">I734/0.83</f>
        <v>8.43373493975904</v>
      </c>
      <c r="H734" s="0" t="n">
        <v>7</v>
      </c>
      <c r="I734" s="0" t="n">
        <v>7</v>
      </c>
    </row>
    <row r="735" customFormat="false" ht="12.75" hidden="false" customHeight="true" outlineLevel="0" collapsed="false">
      <c r="A735" s="1329"/>
      <c r="D735" s="1735"/>
    </row>
    <row r="736" customFormat="false" ht="15" hidden="false" customHeight="true" outlineLevel="0" collapsed="false">
      <c r="A736" s="1742" t="s">
        <v>2655</v>
      </c>
      <c r="D736" s="1735"/>
    </row>
    <row r="737" customFormat="false" ht="15" hidden="false" customHeight="true" outlineLevel="0" collapsed="false">
      <c r="A737" s="1742"/>
      <c r="D737" s="1735"/>
    </row>
    <row r="738" customFormat="false" ht="15" hidden="false" customHeight="true" outlineLevel="0" collapsed="false">
      <c r="A738" s="1742"/>
      <c r="B738" s="1858" t="s">
        <v>2656</v>
      </c>
      <c r="C738" s="1747" t="s">
        <v>2657</v>
      </c>
      <c r="D738" s="1747" t="s">
        <v>2658</v>
      </c>
      <c r="E738" s="1747" t="s">
        <v>2659</v>
      </c>
      <c r="F738" s="1747" t="s">
        <v>2660</v>
      </c>
    </row>
    <row r="739" customFormat="false" ht="15" hidden="false" customHeight="true" outlineLevel="0" collapsed="false">
      <c r="A739" s="1742"/>
      <c r="B739" s="1858" t="s">
        <v>2661</v>
      </c>
      <c r="C739" s="1746" t="n">
        <v>0.05</v>
      </c>
      <c r="D739" s="1746" t="s">
        <v>2662</v>
      </c>
      <c r="E739" s="1746" t="n">
        <v>0.05</v>
      </c>
      <c r="F739" s="1746" t="s">
        <v>2662</v>
      </c>
    </row>
    <row r="740" customFormat="false" ht="15" hidden="false" customHeight="true" outlineLevel="0" collapsed="false">
      <c r="A740" s="1742"/>
      <c r="B740" s="1858" t="s">
        <v>2663</v>
      </c>
      <c r="C740" s="1746" t="n">
        <v>0.32</v>
      </c>
      <c r="D740" s="1746" t="n">
        <v>0.315</v>
      </c>
      <c r="E740" s="1746" t="n">
        <v>0.3</v>
      </c>
      <c r="F740" s="1746" t="n">
        <v>0.37</v>
      </c>
    </row>
    <row r="741" customFormat="false" ht="15" hidden="false" customHeight="true" outlineLevel="0" collapsed="false">
      <c r="A741" s="1742"/>
      <c r="B741" s="1911" t="s">
        <v>2664</v>
      </c>
      <c r="C741" s="1746" t="n">
        <v>0.6</v>
      </c>
      <c r="D741" s="1746" t="n">
        <v>0.63</v>
      </c>
      <c r="E741" s="1746" t="n">
        <v>0.55</v>
      </c>
      <c r="F741" s="1746" t="n">
        <v>0.6</v>
      </c>
    </row>
    <row r="742" customFormat="false" ht="15" hidden="false" customHeight="true" outlineLevel="0" collapsed="false">
      <c r="A742" s="1742"/>
      <c r="B742" s="1858" t="s">
        <v>2665</v>
      </c>
      <c r="C742" s="1746" t="n">
        <v>0.67</v>
      </c>
      <c r="D742" s="1746" t="n">
        <v>0.695</v>
      </c>
      <c r="E742" s="1746" t="n">
        <v>0.6</v>
      </c>
      <c r="F742" s="1746" t="n">
        <v>0.625</v>
      </c>
    </row>
    <row r="743" customFormat="false" ht="15" hidden="false" customHeight="true" outlineLevel="0" collapsed="false">
      <c r="A743" s="1742"/>
      <c r="B743" s="1858" t="s">
        <v>2666</v>
      </c>
      <c r="C743" s="1746" t="n">
        <v>0.69</v>
      </c>
      <c r="D743" s="1746" t="n">
        <v>0.71</v>
      </c>
      <c r="E743" s="1746" t="n">
        <v>0.65</v>
      </c>
      <c r="F743" s="1746" t="n">
        <v>0.68</v>
      </c>
    </row>
    <row r="744" customFormat="false" ht="15" hidden="false" customHeight="true" outlineLevel="0" collapsed="false">
      <c r="A744" s="1742"/>
      <c r="B744" s="1858" t="s">
        <v>2667</v>
      </c>
      <c r="C744" s="1746" t="n">
        <v>0.74</v>
      </c>
      <c r="D744" s="1746" t="n">
        <v>0.75</v>
      </c>
      <c r="E744" s="1746" t="n">
        <v>0.71</v>
      </c>
      <c r="F744" s="1746" t="s">
        <v>2662</v>
      </c>
    </row>
    <row r="745" customFormat="false" ht="15" hidden="false" customHeight="true" outlineLevel="0" collapsed="false">
      <c r="A745" s="1742"/>
      <c r="B745" s="1858" t="s">
        <v>2668</v>
      </c>
      <c r="C745" s="1746" t="s">
        <v>2662</v>
      </c>
      <c r="D745" s="1746" t="n">
        <v>0.32</v>
      </c>
      <c r="E745" s="1746" t="s">
        <v>2662</v>
      </c>
      <c r="F745" s="1746" t="n">
        <v>0.3</v>
      </c>
    </row>
    <row r="746" customFormat="false" ht="15" hidden="false" customHeight="true" outlineLevel="0" collapsed="false">
      <c r="A746" s="1742"/>
      <c r="B746" s="1911" t="s">
        <v>2669</v>
      </c>
      <c r="C746" s="1746" t="n">
        <v>0.62</v>
      </c>
      <c r="D746" s="1746" t="n">
        <v>0.63</v>
      </c>
      <c r="E746" s="1746" t="s">
        <v>2662</v>
      </c>
      <c r="F746" s="1746" t="n">
        <v>0.6</v>
      </c>
    </row>
    <row r="747" customFormat="false" ht="15" hidden="false" customHeight="true" outlineLevel="0" collapsed="false">
      <c r="A747" s="1742"/>
      <c r="D747" s="1735"/>
    </row>
    <row r="748" customFormat="false" ht="15" hidden="false" customHeight="true" outlineLevel="0" collapsed="false">
      <c r="A748" s="1742"/>
      <c r="B748" s="1570" t="s">
        <v>2670</v>
      </c>
      <c r="C748" s="1570"/>
      <c r="D748" s="1570"/>
    </row>
    <row r="749" customFormat="false" ht="15" hidden="false" customHeight="true" outlineLevel="0" collapsed="false">
      <c r="A749" s="1742"/>
      <c r="B749" s="1858" t="s">
        <v>2582</v>
      </c>
      <c r="C749" s="1858" t="s">
        <v>2671</v>
      </c>
      <c r="D749" s="1746" t="n">
        <v>0.015</v>
      </c>
    </row>
    <row r="750" customFormat="false" ht="15" hidden="false" customHeight="true" outlineLevel="0" collapsed="false">
      <c r="A750" s="1742"/>
      <c r="B750" s="1858"/>
      <c r="C750" s="1858" t="s">
        <v>2672</v>
      </c>
      <c r="D750" s="1746" t="n">
        <v>0.105</v>
      </c>
    </row>
    <row r="751" customFormat="false" ht="15" hidden="false" customHeight="true" outlineLevel="0" collapsed="false">
      <c r="A751" s="1742"/>
      <c r="B751" s="1858"/>
      <c r="C751" s="1858" t="s">
        <v>2673</v>
      </c>
      <c r="D751" s="1746" t="n">
        <v>0.2</v>
      </c>
    </row>
    <row r="752" customFormat="false" ht="15" hidden="false" customHeight="true" outlineLevel="0" collapsed="false">
      <c r="A752" s="1742"/>
      <c r="B752" s="1858" t="s">
        <v>1846</v>
      </c>
      <c r="C752" s="1858" t="s">
        <v>2674</v>
      </c>
      <c r="D752" s="1746" t="n">
        <v>5E-005</v>
      </c>
    </row>
    <row r="753" customFormat="false" ht="15" hidden="false" customHeight="true" outlineLevel="0" collapsed="false">
      <c r="A753" s="1742"/>
      <c r="B753" s="1858"/>
      <c r="C753" s="1858" t="s">
        <v>2675</v>
      </c>
      <c r="D753" s="1746" t="n">
        <v>0.0014</v>
      </c>
    </row>
    <row r="754" customFormat="false" ht="15" hidden="false" customHeight="true" outlineLevel="0" collapsed="false">
      <c r="A754" s="1742"/>
      <c r="B754" s="1858"/>
      <c r="C754" s="1858" t="s">
        <v>2676</v>
      </c>
      <c r="D754" s="1746" t="n">
        <v>0.0018</v>
      </c>
    </row>
    <row r="755" customFormat="false" ht="15" hidden="false" customHeight="true" outlineLevel="0" collapsed="false">
      <c r="A755" s="1742"/>
      <c r="B755" s="1858"/>
      <c r="C755" s="1858" t="s">
        <v>2677</v>
      </c>
      <c r="D755" s="1746" t="n">
        <v>0.0022</v>
      </c>
    </row>
    <row r="756" customFormat="false" ht="15" hidden="false" customHeight="true" outlineLevel="0" collapsed="false">
      <c r="A756" s="1742"/>
      <c r="B756" s="1858"/>
      <c r="C756" s="1858" t="s">
        <v>2678</v>
      </c>
      <c r="D756" s="1746" t="n">
        <v>0.0064</v>
      </c>
    </row>
    <row r="757" customFormat="false" ht="15" hidden="false" customHeight="true" outlineLevel="0" collapsed="false">
      <c r="A757" s="1742"/>
      <c r="B757" s="1858"/>
      <c r="C757" s="1858" t="s">
        <v>2679</v>
      </c>
      <c r="D757" s="1746" t="n">
        <v>0.0016</v>
      </c>
    </row>
    <row r="758" customFormat="false" ht="15" hidden="false" customHeight="true" outlineLevel="0" collapsed="false">
      <c r="A758" s="1742"/>
      <c r="B758" s="1858"/>
      <c r="C758" s="1858" t="s">
        <v>2680</v>
      </c>
      <c r="D758" s="1746" t="n">
        <v>0.0035</v>
      </c>
    </row>
    <row r="759" customFormat="false" ht="15" hidden="false" customHeight="true" outlineLevel="0" collapsed="false">
      <c r="A759" s="1742"/>
      <c r="B759" s="1858"/>
      <c r="C759" s="1858" t="s">
        <v>2681</v>
      </c>
      <c r="D759" s="1746" t="n">
        <v>0.0031</v>
      </c>
    </row>
    <row r="760" customFormat="false" ht="15" hidden="false" customHeight="true" outlineLevel="0" collapsed="false">
      <c r="A760" s="1742"/>
      <c r="B760" s="1858"/>
      <c r="C760" s="1858" t="s">
        <v>2682</v>
      </c>
      <c r="D760" s="1746" t="n">
        <v>0.0055</v>
      </c>
    </row>
    <row r="761" customFormat="false" ht="15" hidden="false" customHeight="true" outlineLevel="0" collapsed="false">
      <c r="A761" s="1742"/>
      <c r="B761" s="1858" t="s">
        <v>2683</v>
      </c>
      <c r="C761" s="1858" t="s">
        <v>2683</v>
      </c>
      <c r="D761" s="1746" t="n">
        <v>0.0023</v>
      </c>
    </row>
    <row r="762" customFormat="false" ht="15" hidden="false" customHeight="true" outlineLevel="0" collapsed="false">
      <c r="A762" s="1742"/>
      <c r="B762" s="1858"/>
      <c r="C762" s="1858" t="s">
        <v>2684</v>
      </c>
      <c r="D762" s="1746" t="n">
        <v>0.0042</v>
      </c>
    </row>
    <row r="763" customFormat="false" ht="15" hidden="false" customHeight="true" outlineLevel="0" collapsed="false">
      <c r="A763" s="1742"/>
      <c r="D763" s="1735"/>
    </row>
    <row r="764" customFormat="false" ht="12.75" hidden="false" customHeight="true" outlineLevel="0" collapsed="false">
      <c r="A764" s="1329"/>
      <c r="B764" s="1858" t="s">
        <v>2685</v>
      </c>
      <c r="C764" s="1747" t="s">
        <v>406</v>
      </c>
      <c r="D764" s="1747" t="s">
        <v>407</v>
      </c>
      <c r="E764" s="1747" t="s">
        <v>408</v>
      </c>
    </row>
    <row r="765" customFormat="false" ht="12.75" hidden="false" customHeight="true" outlineLevel="0" collapsed="false">
      <c r="A765" s="1329"/>
      <c r="B765" s="1863" t="s">
        <v>1006</v>
      </c>
      <c r="C765" s="1746" t="n">
        <v>24</v>
      </c>
      <c r="D765" s="1859" t="n">
        <f aca="false">G765/0.437</f>
        <v>16.0183066361556</v>
      </c>
      <c r="E765" s="1859" t="n">
        <f aca="false">H765/0.83</f>
        <v>4.93975903614458</v>
      </c>
      <c r="G765" s="0" t="n">
        <v>7</v>
      </c>
      <c r="H765" s="0" t="n">
        <v>4.1</v>
      </c>
    </row>
    <row r="766" customFormat="false" ht="12.75" hidden="false" customHeight="true" outlineLevel="0" collapsed="false">
      <c r="A766" s="1329"/>
      <c r="B766" s="1863" t="s">
        <v>2686</v>
      </c>
      <c r="C766" s="1746" t="n">
        <v>24</v>
      </c>
      <c r="D766" s="1859" t="n">
        <f aca="false">G766/0.437</f>
        <v>16.0183066361556</v>
      </c>
      <c r="E766" s="1859" t="n">
        <f aca="false">H766/0.83</f>
        <v>4.93975903614458</v>
      </c>
      <c r="G766" s="0" t="n">
        <v>7</v>
      </c>
      <c r="H766" s="0" t="n">
        <v>4.1</v>
      </c>
    </row>
    <row r="767" customFormat="false" ht="12.75" hidden="false" customHeight="true" outlineLevel="0" collapsed="false">
      <c r="A767" s="1329"/>
      <c r="B767" s="1863" t="s">
        <v>2687</v>
      </c>
      <c r="C767" s="1746" t="n">
        <v>24</v>
      </c>
      <c r="D767" s="1859" t="n">
        <f aca="false">G767/0.437</f>
        <v>13.9588100686499</v>
      </c>
      <c r="E767" s="1859" t="n">
        <f aca="false">H767/0.83</f>
        <v>2.16867469879518</v>
      </c>
      <c r="G767" s="0" t="n">
        <v>6.1</v>
      </c>
      <c r="H767" s="0" t="n">
        <v>1.8</v>
      </c>
    </row>
    <row r="768" customFormat="false" ht="12.75" hidden="false" customHeight="true" outlineLevel="0" collapsed="false">
      <c r="A768" s="1329"/>
      <c r="B768" s="1863" t="s">
        <v>2565</v>
      </c>
      <c r="C768" s="1746" t="n">
        <v>24</v>
      </c>
      <c r="D768" s="1859" t="n">
        <v>8</v>
      </c>
      <c r="E768" s="1859" t="n">
        <f aca="false">H768/0.83</f>
        <v>4.93975903614458</v>
      </c>
      <c r="G768" s="0" t="n">
        <v>4.4</v>
      </c>
      <c r="H768" s="0" t="n">
        <v>4.1</v>
      </c>
    </row>
    <row r="769" customFormat="false" ht="15" hidden="false" customHeight="true" outlineLevel="0" collapsed="false">
      <c r="A769" s="1742"/>
      <c r="B769" s="1858" t="s">
        <v>2688</v>
      </c>
      <c r="C769" s="1746" t="n">
        <v>19.2</v>
      </c>
      <c r="D769" s="1859" t="n">
        <f aca="false">G769/0.437</f>
        <v>4.5766590389016</v>
      </c>
      <c r="E769" s="1859" t="n">
        <f aca="false">H769/0.83</f>
        <v>1.44578313253012</v>
      </c>
      <c r="G769" s="0" t="n">
        <v>2</v>
      </c>
      <c r="H769" s="0" t="n">
        <v>1.2</v>
      </c>
    </row>
    <row r="770" customFormat="false" ht="12.75" hidden="false" customHeight="true" outlineLevel="0" collapsed="false">
      <c r="A770" s="1329"/>
      <c r="B770" s="1863" t="s">
        <v>2689</v>
      </c>
      <c r="C770" s="1746" t="n">
        <v>22.4</v>
      </c>
      <c r="D770" s="1859" t="n">
        <f aca="false">G770/0.437</f>
        <v>8.0091533180778</v>
      </c>
      <c r="E770" s="1859" t="n">
        <f aca="false">H770/0.83</f>
        <v>2.40963855421687</v>
      </c>
      <c r="G770" s="0" t="n">
        <v>3.5</v>
      </c>
      <c r="H770" s="0" t="n">
        <v>2</v>
      </c>
    </row>
    <row r="771" customFormat="false" ht="12.75" hidden="false" customHeight="true" outlineLevel="0" collapsed="false">
      <c r="A771" s="1329"/>
      <c r="B771" s="1863" t="s">
        <v>2690</v>
      </c>
      <c r="C771" s="1746" t="n">
        <v>32</v>
      </c>
      <c r="D771" s="1859" t="n">
        <f aca="false">G771/0.437</f>
        <v>10.9839816933638</v>
      </c>
      <c r="E771" s="1859" t="n">
        <f aca="false">H771/0.83</f>
        <v>2.16867469879518</v>
      </c>
      <c r="G771" s="0" t="n">
        <v>4.8</v>
      </c>
      <c r="H771" s="0" t="n">
        <v>1.8</v>
      </c>
    </row>
    <row r="772" customFormat="false" ht="12.75" hidden="false" customHeight="true" outlineLevel="0" collapsed="false">
      <c r="A772" s="1329"/>
      <c r="B772" s="1863" t="s">
        <v>2691</v>
      </c>
      <c r="C772" s="1746" t="n">
        <v>20.76</v>
      </c>
      <c r="D772" s="1859" t="n">
        <f aca="false">G772/0.437</f>
        <v>8.0091533180778</v>
      </c>
      <c r="E772" s="1859" t="n">
        <f aca="false">H772/0.83</f>
        <v>2.40963855421687</v>
      </c>
      <c r="G772" s="0" t="n">
        <v>3.5</v>
      </c>
      <c r="H772" s="0" t="n">
        <v>2</v>
      </c>
    </row>
    <row r="773" customFormat="false" ht="12.75" hidden="false" customHeight="true" outlineLevel="0" collapsed="false">
      <c r="A773" s="1329"/>
      <c r="B773" s="1863" t="s">
        <v>2678</v>
      </c>
      <c r="C773" s="1746" t="n">
        <v>37.6</v>
      </c>
      <c r="D773" s="1859" t="n">
        <f aca="false">G773/0.437</f>
        <v>15.5606407322654</v>
      </c>
      <c r="E773" s="1859" t="n">
        <f aca="false">H773/0.83</f>
        <v>2.53012048192771</v>
      </c>
      <c r="G773" s="0" t="n">
        <v>6.8</v>
      </c>
      <c r="H773" s="0" t="n">
        <v>2.1</v>
      </c>
    </row>
    <row r="774" customFormat="false" ht="12.75" hidden="false" customHeight="true" outlineLevel="0" collapsed="false">
      <c r="A774" s="1329"/>
      <c r="B774" s="1863" t="s">
        <v>2692</v>
      </c>
      <c r="C774" s="1746" t="n">
        <v>18.9</v>
      </c>
      <c r="D774" s="1859" t="n">
        <f aca="false">G774/0.437</f>
        <v>6.8649885583524</v>
      </c>
      <c r="E774" s="1859" t="n">
        <f aca="false">H774/0.83</f>
        <v>2.04819277108434</v>
      </c>
      <c r="G774" s="0" t="n">
        <v>3</v>
      </c>
      <c r="H774" s="0" t="n">
        <v>1.7</v>
      </c>
    </row>
    <row r="775" customFormat="false" ht="12.75" hidden="false" customHeight="true" outlineLevel="0" collapsed="false">
      <c r="A775" s="1329"/>
      <c r="B775" s="1863" t="s">
        <v>2693</v>
      </c>
      <c r="C775" s="1746" t="n">
        <v>30.5</v>
      </c>
      <c r="D775" s="1859" t="n">
        <f aca="false">G775/0.437</f>
        <v>13.0434782608696</v>
      </c>
      <c r="E775" s="1859" t="n">
        <f aca="false">H775/0.83</f>
        <v>2.7710843373494</v>
      </c>
      <c r="G775" s="0" t="n">
        <v>5.7</v>
      </c>
      <c r="H775" s="0" t="n">
        <v>2.3</v>
      </c>
    </row>
    <row r="776" customFormat="false" ht="12.75" hidden="false" customHeight="true" outlineLevel="0" collapsed="false">
      <c r="A776" s="1329"/>
      <c r="B776" s="1912" t="s">
        <v>2694</v>
      </c>
      <c r="C776" s="1746" t="n">
        <v>20.03</v>
      </c>
      <c r="D776" s="1859" t="n">
        <f aca="false">G776/0.437</f>
        <v>7.32265446224256</v>
      </c>
      <c r="E776" s="1859" t="n">
        <f aca="false">H776/0.83</f>
        <v>2.40963855421687</v>
      </c>
      <c r="G776" s="0" t="n">
        <v>3.2</v>
      </c>
      <c r="H776" s="0" t="n">
        <v>2</v>
      </c>
    </row>
    <row r="777" customFormat="false" ht="12.75" hidden="false" customHeight="true" outlineLevel="0" collapsed="false">
      <c r="A777" s="1329"/>
      <c r="B777" s="1863" t="s">
        <v>2679</v>
      </c>
      <c r="C777" s="1746" t="n">
        <v>37.6</v>
      </c>
      <c r="D777" s="1859" t="n">
        <f aca="false">G777/0.437</f>
        <v>14.8741418764302</v>
      </c>
      <c r="E777" s="1859" t="n">
        <f aca="false">H777/0.83</f>
        <v>3.01204819277108</v>
      </c>
      <c r="G777" s="0" t="n">
        <v>6.5</v>
      </c>
      <c r="H777" s="0" t="n">
        <v>2.5</v>
      </c>
    </row>
    <row r="778" customFormat="false" ht="12.75" hidden="false" customHeight="true" outlineLevel="0" collapsed="false">
      <c r="A778" s="1329"/>
      <c r="B778" s="1863" t="s">
        <v>2682</v>
      </c>
      <c r="C778" s="1746" t="n">
        <v>35.6</v>
      </c>
      <c r="D778" s="1859" t="n">
        <f aca="false">G778/0.437</f>
        <v>14.41647597254</v>
      </c>
      <c r="E778" s="1859" t="n">
        <f aca="false">H778/0.83</f>
        <v>2.53012048192771</v>
      </c>
      <c r="G778" s="0" t="n">
        <v>6.3</v>
      </c>
      <c r="H778" s="0" t="n">
        <v>2.1</v>
      </c>
    </row>
    <row r="779" customFormat="false" ht="12.75" hidden="false" customHeight="true" outlineLevel="0" collapsed="false">
      <c r="A779" s="1329"/>
      <c r="B779" s="1863" t="s">
        <v>2683</v>
      </c>
      <c r="C779" s="1746" t="n">
        <v>32</v>
      </c>
      <c r="D779" s="1859" t="n">
        <f aca="false">G779/0.437</f>
        <v>5.03432494279176</v>
      </c>
      <c r="E779" s="1859" t="n">
        <f aca="false">H779/0.83</f>
        <v>4.33734939759036</v>
      </c>
      <c r="G779" s="0" t="n">
        <v>2.2</v>
      </c>
      <c r="H779" s="0" t="n">
        <v>3.6</v>
      </c>
    </row>
    <row r="781" customFormat="false" ht="18" hidden="false" customHeight="true" outlineLevel="0" collapsed="false">
      <c r="A781" s="1835" t="s">
        <v>2695</v>
      </c>
      <c r="D781" s="1735"/>
    </row>
    <row r="782" customFormat="false" ht="12.75" hidden="false" customHeight="true" outlineLevel="0" collapsed="false">
      <c r="A782" s="1329"/>
      <c r="D782" s="1735"/>
    </row>
    <row r="783" customFormat="false" ht="15" hidden="false" customHeight="true" outlineLevel="0" collapsed="false">
      <c r="A783" s="1742" t="s">
        <v>2696</v>
      </c>
      <c r="D783" s="1735"/>
    </row>
    <row r="784" customFormat="false" ht="15" hidden="false" customHeight="true" outlineLevel="0" collapsed="false">
      <c r="A784" s="1742"/>
      <c r="D784" s="1735"/>
    </row>
    <row r="785" customFormat="false" ht="15" hidden="false" customHeight="true" outlineLevel="0" collapsed="false">
      <c r="A785" s="1742"/>
      <c r="B785" s="0" t="s">
        <v>2697</v>
      </c>
      <c r="D785" s="1735"/>
    </row>
    <row r="786" customFormat="false" ht="15" hidden="false" customHeight="true" outlineLevel="0" collapsed="false">
      <c r="A786" s="1742"/>
      <c r="D786" s="1735"/>
    </row>
    <row r="787" customFormat="false" ht="15" hidden="false" customHeight="true" outlineLevel="0" collapsed="false">
      <c r="A787" s="1742"/>
      <c r="B787" s="1913"/>
      <c r="C787" s="1747" t="s">
        <v>2657</v>
      </c>
      <c r="D787" s="1747" t="s">
        <v>2658</v>
      </c>
      <c r="E787" s="1747" t="s">
        <v>2659</v>
      </c>
      <c r="F787" s="1747" t="s">
        <v>2660</v>
      </c>
    </row>
    <row r="788" customFormat="false" ht="15" hidden="false" customHeight="true" outlineLevel="0" collapsed="false">
      <c r="A788" s="1742"/>
      <c r="B788" s="1858" t="s">
        <v>2698</v>
      </c>
      <c r="C788" s="1746" t="s">
        <v>2662</v>
      </c>
      <c r="D788" s="1746" t="s">
        <v>2662</v>
      </c>
      <c r="E788" s="1746" t="s">
        <v>2662</v>
      </c>
      <c r="F788" s="1746" t="n">
        <v>0.66</v>
      </c>
    </row>
    <row r="789" customFormat="false" ht="15" hidden="false" customHeight="true" outlineLevel="0" collapsed="false">
      <c r="A789" s="1742"/>
      <c r="B789" s="1858" t="s">
        <v>2665</v>
      </c>
      <c r="C789" s="1746" t="n">
        <v>0.5</v>
      </c>
      <c r="D789" s="1746" t="n">
        <v>0.53</v>
      </c>
      <c r="E789" s="1746" t="n">
        <v>0.47</v>
      </c>
      <c r="F789" s="1746" t="n">
        <v>0.55</v>
      </c>
    </row>
    <row r="790" customFormat="false" ht="15" hidden="false" customHeight="true" outlineLevel="0" collapsed="false">
      <c r="A790" s="1742"/>
      <c r="B790" s="1911" t="s">
        <v>2699</v>
      </c>
      <c r="C790" s="1746" t="n">
        <v>0.52</v>
      </c>
      <c r="D790" s="1746" t="n">
        <v>0.55</v>
      </c>
      <c r="E790" s="1746" t="n">
        <v>0.48</v>
      </c>
      <c r="F790" s="1746" t="n">
        <v>0.57</v>
      </c>
    </row>
    <row r="791" customFormat="false" ht="15" hidden="false" customHeight="true" outlineLevel="0" collapsed="false">
      <c r="A791" s="1742"/>
      <c r="B791" s="1911" t="s">
        <v>2700</v>
      </c>
      <c r="C791" s="1746" t="n">
        <v>0.55</v>
      </c>
      <c r="D791" s="1746" t="n">
        <v>0.6</v>
      </c>
      <c r="E791" s="1746" t="n">
        <v>0.52</v>
      </c>
      <c r="F791" s="1746" t="n">
        <v>0.61</v>
      </c>
    </row>
    <row r="792" customFormat="false" ht="15" hidden="false" customHeight="true" outlineLevel="0" collapsed="false">
      <c r="A792" s="1742"/>
      <c r="B792" s="1858" t="s">
        <v>2667</v>
      </c>
      <c r="C792" s="1746" t="n">
        <v>0.53</v>
      </c>
      <c r="D792" s="1746" t="n">
        <v>0.57</v>
      </c>
      <c r="E792" s="1746" t="n">
        <v>0.49</v>
      </c>
      <c r="F792" s="1746" t="n">
        <v>0.59</v>
      </c>
    </row>
    <row r="793" customFormat="false" ht="15" hidden="false" customHeight="true" outlineLevel="0" collapsed="false">
      <c r="A793" s="1742"/>
      <c r="D793" s="1735"/>
    </row>
    <row r="794" customFormat="false" ht="15" hidden="false" customHeight="true" outlineLevel="0" collapsed="false">
      <c r="A794" s="1742"/>
      <c r="D794" s="1735"/>
    </row>
    <row r="795" customFormat="false" ht="15" hidden="false" customHeight="true" outlineLevel="0" collapsed="false">
      <c r="A795" s="1742" t="s">
        <v>2701</v>
      </c>
      <c r="D795" s="1735"/>
    </row>
    <row r="796" customFormat="false" ht="15" hidden="false" customHeight="true" outlineLevel="0" collapsed="false">
      <c r="A796" s="1742"/>
      <c r="D796" s="1735"/>
    </row>
    <row r="797" customFormat="false" ht="15" hidden="false" customHeight="true" outlineLevel="0" collapsed="false">
      <c r="A797" s="1742"/>
      <c r="B797" s="1858" t="s">
        <v>2702</v>
      </c>
      <c r="C797" s="1747" t="s">
        <v>2703</v>
      </c>
      <c r="D797" s="1747" t="s">
        <v>406</v>
      </c>
      <c r="E797" s="1747" t="s">
        <v>407</v>
      </c>
      <c r="F797" s="1747" t="s">
        <v>408</v>
      </c>
    </row>
    <row r="798" customFormat="false" ht="15" hidden="false" customHeight="true" outlineLevel="0" collapsed="false">
      <c r="A798" s="1742"/>
      <c r="B798" s="1858" t="s">
        <v>2704</v>
      </c>
      <c r="C798" s="1914"/>
      <c r="D798" s="1915" t="n">
        <f aca="false">(C798*1.033)/6.06</f>
        <v>0</v>
      </c>
      <c r="E798" s="1859" t="n">
        <f aca="false">H798/0.437</f>
        <v>2.17391304347826</v>
      </c>
      <c r="F798" s="1859" t="n">
        <f aca="false">I798/0.83</f>
        <v>1.86746987951807</v>
      </c>
      <c r="H798" s="0" t="n">
        <v>0.95</v>
      </c>
      <c r="I798" s="0" t="n">
        <v>1.55</v>
      </c>
    </row>
    <row r="799" customFormat="false" ht="15" hidden="false" customHeight="true" outlineLevel="0" collapsed="false">
      <c r="A799" s="1742"/>
      <c r="B799" s="1858" t="s">
        <v>2705</v>
      </c>
      <c r="C799" s="1914"/>
      <c r="D799" s="1915" t="n">
        <f aca="false">(C799*1.033)/6.06</f>
        <v>0</v>
      </c>
      <c r="E799" s="1859" t="n">
        <f aca="false">H799/0.437</f>
        <v>3.54691075514874</v>
      </c>
      <c r="F799" s="1859" t="n">
        <f aca="false">I799/0.83</f>
        <v>1.74698795180723</v>
      </c>
      <c r="H799" s="0" t="n">
        <v>1.55</v>
      </c>
      <c r="I799" s="0" t="n">
        <v>1.45</v>
      </c>
    </row>
    <row r="800" customFormat="false" ht="15" hidden="false" customHeight="true" outlineLevel="0" collapsed="false">
      <c r="A800" s="1742"/>
      <c r="B800" s="1858" t="s">
        <v>2706</v>
      </c>
      <c r="C800" s="1914"/>
      <c r="D800" s="1915" t="n">
        <f aca="false">(C800*1.033)/5.74</f>
        <v>0</v>
      </c>
      <c r="E800" s="1859" t="n">
        <f aca="false">H800/0.437</f>
        <v>2.2883295194508</v>
      </c>
      <c r="F800" s="1859" t="n">
        <f aca="false">I800/0.83</f>
        <v>2.36144578313253</v>
      </c>
      <c r="H800" s="0" t="n">
        <v>1</v>
      </c>
      <c r="I800" s="0" t="n">
        <v>1.96</v>
      </c>
    </row>
    <row r="801" customFormat="false" ht="15" hidden="false" customHeight="true" outlineLevel="0" collapsed="false">
      <c r="A801" s="1742"/>
      <c r="D801" s="1735"/>
    </row>
    <row r="802" customFormat="false" ht="15" hidden="false" customHeight="true" outlineLevel="0" collapsed="false">
      <c r="A802" s="1742"/>
      <c r="D802" s="1735"/>
    </row>
    <row r="803" customFormat="false" ht="15" hidden="false" customHeight="true" outlineLevel="0" collapsed="false">
      <c r="A803" s="1742" t="s">
        <v>2707</v>
      </c>
      <c r="D803" s="1735"/>
    </row>
    <row r="804" customFormat="false" ht="15" hidden="false" customHeight="true" outlineLevel="0" collapsed="false">
      <c r="A804" s="1742"/>
      <c r="D804" s="1735"/>
    </row>
    <row r="805" customFormat="false" ht="12.75" hidden="false" customHeight="true" outlineLevel="0" collapsed="false">
      <c r="A805" s="1569" t="s">
        <v>1815</v>
      </c>
      <c r="B805" s="1568" t="s">
        <v>1909</v>
      </c>
      <c r="C805" s="1568"/>
      <c r="D805" s="1568" t="s">
        <v>1536</v>
      </c>
      <c r="E805" s="1568" t="s">
        <v>2436</v>
      </c>
      <c r="F805" s="1568"/>
      <c r="G805" s="1568"/>
      <c r="I805" s="0" t="s">
        <v>1826</v>
      </c>
    </row>
    <row r="806" customFormat="false" ht="15.75" hidden="false" customHeight="true" outlineLevel="0" collapsed="false">
      <c r="A806" s="1569"/>
      <c r="B806" s="1568"/>
      <c r="C806" s="1568"/>
      <c r="D806" s="1568"/>
      <c r="E806" s="1747" t="s">
        <v>406</v>
      </c>
      <c r="F806" s="1747" t="s">
        <v>2388</v>
      </c>
      <c r="G806" s="1747" t="s">
        <v>2389</v>
      </c>
    </row>
    <row r="807" customFormat="false" ht="12.75" hidden="false" customHeight="true" outlineLevel="0" collapsed="false">
      <c r="A807" s="1746" t="n">
        <v>1</v>
      </c>
      <c r="B807" s="1899" t="s">
        <v>2708</v>
      </c>
      <c r="C807" s="1916"/>
      <c r="D807" s="1763" t="s">
        <v>1423</v>
      </c>
      <c r="E807" s="1859" t="n">
        <v>1.3</v>
      </c>
      <c r="F807" s="1859" t="n">
        <v>0.5</v>
      </c>
      <c r="G807" s="1859" t="n">
        <v>3.6</v>
      </c>
    </row>
    <row r="808" customFormat="false" ht="12.75" hidden="false" customHeight="true" outlineLevel="0" collapsed="false">
      <c r="A808" s="1839" t="n">
        <v>2</v>
      </c>
      <c r="B808" s="1836" t="s">
        <v>2709</v>
      </c>
      <c r="C808" s="1917"/>
      <c r="D808" s="1746" t="s">
        <v>2391</v>
      </c>
      <c r="E808" s="1859" t="n">
        <v>1.3</v>
      </c>
      <c r="F808" s="1859" t="n">
        <v>2.8</v>
      </c>
      <c r="G808" s="1859" t="n">
        <v>5.4</v>
      </c>
    </row>
    <row r="809" customFormat="false" ht="12.75" hidden="false" customHeight="true" outlineLevel="0" collapsed="false">
      <c r="A809" s="1746" t="n">
        <v>3</v>
      </c>
      <c r="B809" s="1899" t="s">
        <v>2710</v>
      </c>
      <c r="C809" s="1916"/>
      <c r="D809" s="1810" t="s">
        <v>1430</v>
      </c>
      <c r="E809" s="1918" t="n">
        <v>0.8</v>
      </c>
      <c r="F809" s="1918" t="n">
        <v>0.3</v>
      </c>
      <c r="G809" s="1918" t="n">
        <v>2.7</v>
      </c>
    </row>
    <row r="810" customFormat="false" ht="12.75" hidden="false" customHeight="true" outlineLevel="0" collapsed="false">
      <c r="A810" s="1839" t="n">
        <v>4</v>
      </c>
      <c r="B810" s="1919" t="s">
        <v>2711</v>
      </c>
      <c r="C810" s="1920"/>
      <c r="D810" s="1763" t="s">
        <v>1430</v>
      </c>
      <c r="E810" s="1859" t="n">
        <v>3.2</v>
      </c>
      <c r="F810" s="1859" t="n">
        <v>1.3</v>
      </c>
      <c r="G810" s="1859" t="n">
        <v>6.2</v>
      </c>
    </row>
    <row r="811" customFormat="false" ht="12.75" hidden="false" customHeight="true" outlineLevel="0" collapsed="false">
      <c r="A811" s="1746" t="n">
        <v>5</v>
      </c>
      <c r="B811" s="1919" t="s">
        <v>2712</v>
      </c>
      <c r="C811" s="1920"/>
      <c r="D811" s="1763" t="s">
        <v>1430</v>
      </c>
      <c r="E811" s="1859" t="n">
        <v>5.5</v>
      </c>
      <c r="F811" s="1859" t="n">
        <v>2</v>
      </c>
      <c r="G811" s="1859" t="n">
        <v>10</v>
      </c>
    </row>
    <row r="812" customFormat="false" ht="12.75" hidden="false" customHeight="true" outlineLevel="0" collapsed="false">
      <c r="A812" s="1839" t="n">
        <v>6</v>
      </c>
      <c r="B812" s="1919" t="s">
        <v>2713</v>
      </c>
      <c r="C812" s="1920"/>
      <c r="D812" s="1763" t="s">
        <v>1430</v>
      </c>
      <c r="E812" s="1859" t="n">
        <v>8</v>
      </c>
      <c r="F812" s="1859" t="n">
        <v>2.5</v>
      </c>
      <c r="G812" s="1859" t="n">
        <v>16.5</v>
      </c>
    </row>
    <row r="813" customFormat="false" ht="12.75" hidden="false" customHeight="true" outlineLevel="0" collapsed="false">
      <c r="A813" s="1746" t="n">
        <v>7</v>
      </c>
      <c r="B813" s="1919" t="s">
        <v>2714</v>
      </c>
      <c r="C813" s="1920"/>
      <c r="D813" s="1763" t="s">
        <v>1430</v>
      </c>
      <c r="E813" s="1859" t="n">
        <v>3.8</v>
      </c>
      <c r="F813" s="1859" t="n">
        <v>1.2</v>
      </c>
      <c r="G813" s="1859" t="n">
        <v>6</v>
      </c>
    </row>
    <row r="814" customFormat="false" ht="12.75" hidden="false" customHeight="true" outlineLevel="0" collapsed="false">
      <c r="A814" s="1839" t="n">
        <v>8</v>
      </c>
      <c r="B814" s="1919" t="s">
        <v>2715</v>
      </c>
      <c r="C814" s="1920"/>
      <c r="D814" s="1763" t="s">
        <v>1430</v>
      </c>
      <c r="E814" s="1859" t="n">
        <v>4.6</v>
      </c>
      <c r="F814" s="1859" t="n">
        <v>1.6</v>
      </c>
      <c r="G814" s="1859" t="n">
        <v>8.5</v>
      </c>
    </row>
    <row r="815" customFormat="false" ht="12.75" hidden="false" customHeight="true" outlineLevel="0" collapsed="false">
      <c r="A815" s="1746" t="n">
        <v>9</v>
      </c>
      <c r="B815" s="1919" t="s">
        <v>2716</v>
      </c>
      <c r="C815" s="1920"/>
      <c r="D815" s="1763" t="s">
        <v>1430</v>
      </c>
      <c r="E815" s="1859" t="n">
        <v>6.5</v>
      </c>
      <c r="F815" s="1859" t="n">
        <v>2.1</v>
      </c>
      <c r="G815" s="1859" t="n">
        <v>13.3</v>
      </c>
    </row>
    <row r="816" customFormat="false" ht="12.75" hidden="false" customHeight="true" outlineLevel="0" collapsed="false">
      <c r="A816" s="1839" t="n">
        <v>10</v>
      </c>
      <c r="B816" s="1919" t="s">
        <v>2717</v>
      </c>
      <c r="C816" s="1920"/>
      <c r="D816" s="1763" t="s">
        <v>1430</v>
      </c>
      <c r="E816" s="1859" t="n">
        <v>4.5</v>
      </c>
      <c r="F816" s="1859" t="n">
        <v>1.2</v>
      </c>
      <c r="G816" s="1859" t="n">
        <v>5.5</v>
      </c>
    </row>
    <row r="817" customFormat="false" ht="12.75" hidden="false" customHeight="true" outlineLevel="0" collapsed="false">
      <c r="A817" s="1746" t="n">
        <v>11</v>
      </c>
      <c r="B817" s="1919" t="s">
        <v>2718</v>
      </c>
      <c r="C817" s="1920"/>
      <c r="D817" s="1763" t="s">
        <v>1430</v>
      </c>
      <c r="E817" s="1859" t="n">
        <v>6.5</v>
      </c>
      <c r="F817" s="1859" t="n">
        <v>2</v>
      </c>
      <c r="G817" s="1859" t="n">
        <v>10.8</v>
      </c>
    </row>
    <row r="818" customFormat="false" ht="12.75" hidden="false" customHeight="true" outlineLevel="0" collapsed="false">
      <c r="A818" s="1839" t="n">
        <v>12</v>
      </c>
      <c r="B818" s="1921" t="s">
        <v>2719</v>
      </c>
      <c r="C818" s="1920"/>
      <c r="D818" s="1763" t="s">
        <v>1430</v>
      </c>
      <c r="E818" s="1859" t="n">
        <v>9.5</v>
      </c>
      <c r="F818" s="1859" t="n">
        <v>2.8</v>
      </c>
      <c r="G818" s="1859" t="n">
        <v>21.5</v>
      </c>
    </row>
    <row r="819" customFormat="false" ht="12.75" hidden="false" customHeight="true" outlineLevel="0" collapsed="false">
      <c r="A819" s="1746" t="n">
        <v>13</v>
      </c>
      <c r="B819" s="1836" t="s">
        <v>2720</v>
      </c>
      <c r="C819" s="1917"/>
      <c r="D819" s="1746" t="s">
        <v>1430</v>
      </c>
      <c r="E819" s="1859" t="n">
        <v>3</v>
      </c>
      <c r="F819" s="1859" t="n">
        <v>1</v>
      </c>
      <c r="G819" s="1859" t="n">
        <v>3</v>
      </c>
    </row>
    <row r="820" customFormat="false" ht="12.75" hidden="false" customHeight="true" outlineLevel="0" collapsed="false">
      <c r="A820" s="1839" t="n">
        <v>14</v>
      </c>
      <c r="B820" s="1899" t="s">
        <v>2721</v>
      </c>
      <c r="C820" s="1916"/>
      <c r="D820" s="1810" t="s">
        <v>1430</v>
      </c>
      <c r="E820" s="1918" t="n">
        <v>1.1</v>
      </c>
      <c r="F820" s="1918" t="n">
        <v>0.4</v>
      </c>
      <c r="G820" s="1918" t="n">
        <v>2.4</v>
      </c>
    </row>
    <row r="821" customFormat="false" ht="12.75" hidden="false" customHeight="true" outlineLevel="0" collapsed="false">
      <c r="A821" s="1746" t="n">
        <v>15</v>
      </c>
      <c r="B821" s="1899" t="s">
        <v>2722</v>
      </c>
      <c r="C821" s="1916"/>
      <c r="D821" s="1810" t="s">
        <v>1430</v>
      </c>
      <c r="E821" s="1918" t="n">
        <v>2.8</v>
      </c>
      <c r="F821" s="1918" t="n">
        <v>0.8</v>
      </c>
      <c r="G821" s="1918" t="n">
        <v>5.5</v>
      </c>
    </row>
    <row r="822" customFormat="false" ht="12.75" hidden="false" customHeight="true" outlineLevel="0" collapsed="false">
      <c r="A822" s="1839" t="n">
        <v>16</v>
      </c>
      <c r="B822" s="1764" t="s">
        <v>2723</v>
      </c>
      <c r="C822" s="1920" t="s">
        <v>2724</v>
      </c>
      <c r="D822" s="1746" t="s">
        <v>2391</v>
      </c>
      <c r="E822" s="1859" t="n">
        <v>1.9</v>
      </c>
      <c r="F822" s="1859" t="n">
        <v>0.8</v>
      </c>
      <c r="G822" s="1859" t="n">
        <v>0.7</v>
      </c>
    </row>
    <row r="823" customFormat="false" ht="12.75" hidden="false" customHeight="true" outlineLevel="0" collapsed="false">
      <c r="A823" s="1746" t="n">
        <v>17</v>
      </c>
      <c r="B823" s="1764" t="s">
        <v>2723</v>
      </c>
      <c r="C823" s="1920" t="s">
        <v>2725</v>
      </c>
      <c r="D823" s="1746" t="s">
        <v>2391</v>
      </c>
      <c r="E823" s="1859" t="n">
        <v>2.5</v>
      </c>
      <c r="F823" s="1859" t="n">
        <v>1.1</v>
      </c>
      <c r="G823" s="1859" t="n">
        <v>1.9</v>
      </c>
    </row>
    <row r="824" customFormat="false" ht="12.75" hidden="false" customHeight="true" outlineLevel="0" collapsed="false">
      <c r="A824" s="1839" t="n">
        <v>18</v>
      </c>
      <c r="B824" s="1899" t="s">
        <v>2726</v>
      </c>
      <c r="C824" s="1916"/>
      <c r="D824" s="1810" t="s">
        <v>1430</v>
      </c>
      <c r="E824" s="1918" t="n">
        <v>1.7</v>
      </c>
      <c r="F824" s="1918" t="n">
        <v>0.5</v>
      </c>
      <c r="G824" s="1918" t="n">
        <v>6</v>
      </c>
    </row>
    <row r="825" customFormat="false" ht="12.75" hidden="false" customHeight="true" outlineLevel="0" collapsed="false">
      <c r="A825" s="1746" t="n">
        <v>19</v>
      </c>
      <c r="B825" s="1836" t="s">
        <v>2727</v>
      </c>
      <c r="C825" s="1917"/>
      <c r="D825" s="1746" t="s">
        <v>1427</v>
      </c>
      <c r="E825" s="1859" t="n">
        <v>1.5</v>
      </c>
      <c r="F825" s="1859" t="n">
        <v>0.5</v>
      </c>
      <c r="G825" s="1859" t="n">
        <v>2</v>
      </c>
    </row>
    <row r="826" customFormat="false" ht="12.75" hidden="false" customHeight="true" outlineLevel="0" collapsed="false">
      <c r="A826" s="1839" t="n">
        <v>20</v>
      </c>
      <c r="B826" s="1836" t="s">
        <v>2728</v>
      </c>
      <c r="C826" s="1917"/>
      <c r="D826" s="1746" t="s">
        <v>1427</v>
      </c>
      <c r="E826" s="1859" t="n">
        <v>3</v>
      </c>
      <c r="F826" s="1859" t="n">
        <v>1</v>
      </c>
      <c r="G826" s="1859" t="n">
        <v>4</v>
      </c>
    </row>
    <row r="827" customFormat="false" ht="12.75" hidden="false" customHeight="true" outlineLevel="0" collapsed="false">
      <c r="A827" s="1746" t="n">
        <v>21</v>
      </c>
      <c r="B827" s="1836" t="s">
        <v>206</v>
      </c>
      <c r="C827" s="1917"/>
      <c r="D827" s="1746" t="s">
        <v>1427</v>
      </c>
      <c r="E827" s="1859" t="n">
        <v>16</v>
      </c>
      <c r="F827" s="1859" t="n">
        <v>3.4</v>
      </c>
      <c r="G827" s="1859" t="n">
        <v>34.9</v>
      </c>
    </row>
    <row r="828" customFormat="false" ht="12.75" hidden="false" customHeight="true" outlineLevel="0" collapsed="false">
      <c r="A828" s="1839" t="n">
        <v>22</v>
      </c>
      <c r="B828" s="1836" t="s">
        <v>2729</v>
      </c>
      <c r="C828" s="1917"/>
      <c r="D828" s="1746" t="s">
        <v>1430</v>
      </c>
      <c r="E828" s="1859" t="n">
        <v>2.7</v>
      </c>
      <c r="F828" s="1859" t="n">
        <v>1.3</v>
      </c>
      <c r="G828" s="1859" t="n">
        <v>5.2</v>
      </c>
    </row>
    <row r="829" customFormat="false" ht="12.75" hidden="false" customHeight="true" outlineLevel="0" collapsed="false">
      <c r="A829" s="1746" t="n">
        <v>23</v>
      </c>
      <c r="B829" s="1836" t="s">
        <v>2730</v>
      </c>
      <c r="C829" s="1917"/>
      <c r="D829" s="1746" t="s">
        <v>1430</v>
      </c>
      <c r="E829" s="1859" t="n">
        <v>2</v>
      </c>
      <c r="F829" s="1859" t="n">
        <v>1</v>
      </c>
      <c r="G829" s="1859" t="n">
        <v>3</v>
      </c>
    </row>
    <row r="830" customFormat="false" ht="12.75" hidden="false" customHeight="true" outlineLevel="0" collapsed="false">
      <c r="A830" s="1839" t="n">
        <v>24</v>
      </c>
      <c r="B830" s="1764" t="s">
        <v>344</v>
      </c>
      <c r="C830" s="1920" t="s">
        <v>2724</v>
      </c>
      <c r="D830" s="1746" t="s">
        <v>2391</v>
      </c>
      <c r="E830" s="1859" t="n">
        <v>2.1</v>
      </c>
      <c r="F830" s="1859" t="n">
        <v>1.2</v>
      </c>
      <c r="G830" s="1859" t="n">
        <v>0.6</v>
      </c>
    </row>
    <row r="831" customFormat="false" ht="12.75" hidden="false" customHeight="true" outlineLevel="0" collapsed="false">
      <c r="A831" s="1746" t="n">
        <v>25</v>
      </c>
      <c r="B831" s="1848" t="s">
        <v>343</v>
      </c>
      <c r="C831" s="1920" t="s">
        <v>2724</v>
      </c>
      <c r="D831" s="1746" t="s">
        <v>2391</v>
      </c>
      <c r="E831" s="1861" t="n">
        <f aca="false">1.9</f>
        <v>1.9</v>
      </c>
      <c r="F831" s="1861" t="n">
        <f aca="false">0.9</f>
        <v>0.9</v>
      </c>
      <c r="G831" s="1861" t="n">
        <v>0.6</v>
      </c>
    </row>
    <row r="832" customFormat="false" ht="12.75" hidden="false" customHeight="true" outlineLevel="0" collapsed="false">
      <c r="A832" s="1839" t="n">
        <v>26</v>
      </c>
      <c r="B832" s="1764" t="s">
        <v>343</v>
      </c>
      <c r="C832" s="1920" t="s">
        <v>2725</v>
      </c>
      <c r="D832" s="1746" t="s">
        <v>2391</v>
      </c>
      <c r="E832" s="1859" t="n">
        <v>2.5</v>
      </c>
      <c r="F832" s="1859" t="n">
        <v>1.1</v>
      </c>
      <c r="G832" s="1859" t="n">
        <v>1.7</v>
      </c>
    </row>
    <row r="833" customFormat="false" ht="12.75" hidden="false" customHeight="true" outlineLevel="0" collapsed="false">
      <c r="A833" s="1746" t="n">
        <v>27</v>
      </c>
      <c r="B833" s="1764" t="s">
        <v>2731</v>
      </c>
      <c r="C833" s="1920"/>
      <c r="D833" s="1746" t="s">
        <v>1430</v>
      </c>
      <c r="E833" s="1859" t="n">
        <v>3</v>
      </c>
      <c r="F833" s="1859" t="n">
        <v>2</v>
      </c>
      <c r="G833" s="1859" t="n">
        <v>6</v>
      </c>
    </row>
    <row r="834" customFormat="false" ht="12.75" hidden="false" customHeight="true" outlineLevel="0" collapsed="false">
      <c r="A834" s="1839" t="n">
        <v>28</v>
      </c>
      <c r="B834" s="1836" t="s">
        <v>1927</v>
      </c>
      <c r="C834" s="1917"/>
      <c r="D834" s="1746" t="s">
        <v>1430</v>
      </c>
      <c r="E834" s="1859" t="n">
        <v>2</v>
      </c>
      <c r="F834" s="1859" t="n">
        <v>2</v>
      </c>
      <c r="G834" s="1859" t="n">
        <v>6</v>
      </c>
    </row>
    <row r="835" customFormat="false" ht="12.75" hidden="false" customHeight="true" outlineLevel="0" collapsed="false">
      <c r="A835" s="1746" t="n">
        <v>29</v>
      </c>
      <c r="B835" s="1836" t="s">
        <v>1928</v>
      </c>
      <c r="C835" s="1917"/>
      <c r="D835" s="1746" t="s">
        <v>1430</v>
      </c>
      <c r="E835" s="1859" t="n">
        <v>2</v>
      </c>
      <c r="F835" s="1859" t="n">
        <v>2</v>
      </c>
      <c r="G835" s="1859" t="n">
        <v>4.4</v>
      </c>
    </row>
    <row r="836" customFormat="false" ht="12.75" hidden="false" customHeight="true" outlineLevel="0" collapsed="false">
      <c r="A836" s="1839" t="n">
        <v>30</v>
      </c>
      <c r="B836" s="1899" t="s">
        <v>2732</v>
      </c>
      <c r="C836" s="1916"/>
      <c r="D836" s="1763" t="s">
        <v>1423</v>
      </c>
      <c r="E836" s="1859" t="n">
        <v>2</v>
      </c>
      <c r="F836" s="1859" t="n">
        <v>0.5</v>
      </c>
      <c r="G836" s="1859" t="n">
        <v>3</v>
      </c>
    </row>
    <row r="837" customFormat="false" ht="12.75" hidden="false" customHeight="true" outlineLevel="0" collapsed="false">
      <c r="A837" s="1746" t="n">
        <v>31</v>
      </c>
      <c r="B837" s="1764" t="s">
        <v>2733</v>
      </c>
      <c r="C837" s="1920"/>
      <c r="D837" s="1746" t="s">
        <v>2734</v>
      </c>
      <c r="E837" s="1859" t="n">
        <v>25</v>
      </c>
      <c r="F837" s="1859" t="n">
        <v>8</v>
      </c>
      <c r="G837" s="1859" t="n">
        <v>24</v>
      </c>
    </row>
    <row r="838" customFormat="false" ht="12.75" hidden="false" customHeight="true" outlineLevel="0" collapsed="false">
      <c r="A838" s="1839" t="n">
        <v>32</v>
      </c>
      <c r="B838" s="1764" t="s">
        <v>2735</v>
      </c>
      <c r="C838" s="1920"/>
      <c r="D838" s="1746" t="s">
        <v>2734</v>
      </c>
      <c r="E838" s="1859" t="n">
        <v>12</v>
      </c>
      <c r="F838" s="1859" t="n">
        <v>4</v>
      </c>
      <c r="G838" s="1859" t="n">
        <v>11</v>
      </c>
    </row>
    <row r="839" customFormat="false" ht="12.75" hidden="false" customHeight="true" outlineLevel="0" collapsed="false">
      <c r="A839" s="1746" t="n">
        <v>33</v>
      </c>
      <c r="B839" s="1764" t="s">
        <v>2736</v>
      </c>
      <c r="C839" s="1920"/>
      <c r="D839" s="1746" t="s">
        <v>2734</v>
      </c>
      <c r="E839" s="1859" t="n">
        <v>10</v>
      </c>
      <c r="F839" s="1859" t="n">
        <v>3</v>
      </c>
      <c r="G839" s="1859" t="n">
        <v>10</v>
      </c>
    </row>
    <row r="840" customFormat="false" ht="12.75" hidden="false" customHeight="true" outlineLevel="0" collapsed="false">
      <c r="A840" s="1839" t="n">
        <v>34</v>
      </c>
      <c r="B840" s="1764" t="s">
        <v>2737</v>
      </c>
      <c r="C840" s="1920"/>
      <c r="D840" s="1746" t="s">
        <v>2734</v>
      </c>
      <c r="E840" s="1859" t="n">
        <v>20</v>
      </c>
      <c r="F840" s="1859" t="n">
        <v>5</v>
      </c>
      <c r="G840" s="1859" t="n">
        <v>20</v>
      </c>
    </row>
    <row r="841" customFormat="false" ht="12.75" hidden="false" customHeight="true" outlineLevel="0" collapsed="false">
      <c r="A841" s="1746" t="n">
        <v>35</v>
      </c>
      <c r="B841" s="1764" t="s">
        <v>2738</v>
      </c>
      <c r="C841" s="1920"/>
      <c r="D841" s="1746" t="s">
        <v>2734</v>
      </c>
      <c r="E841" s="1859" t="n">
        <v>11</v>
      </c>
      <c r="F841" s="1859" t="n">
        <v>4</v>
      </c>
      <c r="G841" s="1859" t="n">
        <v>11</v>
      </c>
    </row>
    <row r="842" customFormat="false" ht="12.75" hidden="false" customHeight="true" outlineLevel="0" collapsed="false">
      <c r="A842" s="1839" t="n">
        <v>36</v>
      </c>
      <c r="B842" s="1764" t="s">
        <v>2739</v>
      </c>
      <c r="C842" s="1920"/>
      <c r="D842" s="1746" t="s">
        <v>2734</v>
      </c>
      <c r="E842" s="1859" t="n">
        <v>22</v>
      </c>
      <c r="F842" s="1859" t="n">
        <v>8</v>
      </c>
      <c r="G842" s="1859" t="n">
        <v>21</v>
      </c>
    </row>
    <row r="843" customFormat="false" ht="12.75" hidden="false" customHeight="true" outlineLevel="0" collapsed="false">
      <c r="A843" s="1746" t="n">
        <v>37</v>
      </c>
      <c r="B843" s="1836" t="s">
        <v>2740</v>
      </c>
      <c r="C843" s="1917"/>
      <c r="D843" s="1746" t="s">
        <v>1427</v>
      </c>
      <c r="E843" s="1859" t="n">
        <v>35</v>
      </c>
      <c r="F843" s="1859" t="n">
        <v>10</v>
      </c>
      <c r="G843" s="1859" t="n">
        <v>45</v>
      </c>
    </row>
    <row r="844" customFormat="false" ht="12.75" hidden="false" customHeight="true" outlineLevel="0" collapsed="false">
      <c r="A844" s="1839" t="n">
        <v>38</v>
      </c>
      <c r="B844" s="1836" t="s">
        <v>2741</v>
      </c>
      <c r="C844" s="1917"/>
      <c r="D844" s="1746" t="s">
        <v>1427</v>
      </c>
      <c r="E844" s="1859" t="n">
        <v>25</v>
      </c>
      <c r="F844" s="1859" t="n">
        <v>8</v>
      </c>
      <c r="G844" s="1859" t="n">
        <v>33</v>
      </c>
    </row>
    <row r="845" customFormat="false" ht="12.75" hidden="false" customHeight="true" outlineLevel="0" collapsed="false">
      <c r="A845" s="1746" t="n">
        <v>39</v>
      </c>
      <c r="B845" s="1899" t="s">
        <v>2742</v>
      </c>
      <c r="C845" s="1916"/>
      <c r="D845" s="1810" t="s">
        <v>1430</v>
      </c>
      <c r="E845" s="1918" t="n">
        <v>1.6</v>
      </c>
      <c r="F845" s="1918" t="n">
        <v>0.4</v>
      </c>
      <c r="G845" s="1918" t="n">
        <v>2.1</v>
      </c>
    </row>
    <row r="846" customFormat="false" ht="12.75" hidden="false" customHeight="true" outlineLevel="0" collapsed="false">
      <c r="A846" s="1839" t="n">
        <v>40</v>
      </c>
      <c r="B846" s="1899" t="s">
        <v>2743</v>
      </c>
      <c r="C846" s="1916"/>
      <c r="D846" s="1810" t="s">
        <v>2391</v>
      </c>
      <c r="E846" s="1918" t="n">
        <v>3.8</v>
      </c>
      <c r="F846" s="1918" t="n">
        <v>1.8</v>
      </c>
      <c r="G846" s="1918" t="n">
        <v>0.9</v>
      </c>
    </row>
    <row r="847" customFormat="false" ht="12.75" hidden="false" customHeight="true" outlineLevel="0" collapsed="false">
      <c r="A847" s="1746" t="n">
        <v>41</v>
      </c>
      <c r="B847" s="1836" t="s">
        <v>204</v>
      </c>
      <c r="C847" s="1917"/>
      <c r="D847" s="1746" t="s">
        <v>1427</v>
      </c>
      <c r="E847" s="1859" t="n">
        <v>53</v>
      </c>
      <c r="F847" s="1859" t="n">
        <v>16</v>
      </c>
      <c r="G847" s="1859" t="n">
        <v>16</v>
      </c>
    </row>
    <row r="848" customFormat="false" ht="12.75" hidden="false" customHeight="true" outlineLevel="0" collapsed="false">
      <c r="A848" s="1839" t="n">
        <v>42</v>
      </c>
      <c r="B848" s="1848" t="s">
        <v>2744</v>
      </c>
      <c r="C848" s="1920" t="s">
        <v>2724</v>
      </c>
      <c r="D848" s="1746" t="s">
        <v>2391</v>
      </c>
      <c r="E848" s="1861" t="n">
        <v>3.5</v>
      </c>
      <c r="F848" s="1861" t="n">
        <v>1.5</v>
      </c>
      <c r="G848" s="1861" t="n">
        <v>1</v>
      </c>
    </row>
    <row r="849" customFormat="false" ht="12.75" hidden="false" customHeight="true" outlineLevel="0" collapsed="false">
      <c r="A849" s="1746" t="n">
        <v>43</v>
      </c>
      <c r="B849" s="1764" t="s">
        <v>2744</v>
      </c>
      <c r="C849" s="1920" t="s">
        <v>2725</v>
      </c>
      <c r="D849" s="1746" t="s">
        <v>2391</v>
      </c>
      <c r="E849" s="1859" t="n">
        <v>7</v>
      </c>
      <c r="F849" s="1859" t="n">
        <v>2.5</v>
      </c>
      <c r="G849" s="1859" t="n">
        <v>10</v>
      </c>
    </row>
    <row r="850" customFormat="false" ht="12.75" hidden="false" customHeight="true" outlineLevel="0" collapsed="false">
      <c r="A850" s="1839" t="n">
        <v>44</v>
      </c>
      <c r="B850" s="1836" t="s">
        <v>2745</v>
      </c>
      <c r="C850" s="1917"/>
      <c r="D850" s="1746" t="s">
        <v>1430</v>
      </c>
      <c r="E850" s="1859" t="n">
        <v>2.4</v>
      </c>
      <c r="F850" s="1859" t="n">
        <v>0.9</v>
      </c>
      <c r="G850" s="1859" t="n">
        <v>3.7</v>
      </c>
    </row>
    <row r="851" customFormat="false" ht="12.75" hidden="false" customHeight="true" outlineLevel="0" collapsed="false">
      <c r="A851" s="1746" t="n">
        <v>45</v>
      </c>
      <c r="B851" s="1764" t="s">
        <v>2746</v>
      </c>
      <c r="C851" s="1920"/>
      <c r="D851" s="1746" t="s">
        <v>1430</v>
      </c>
      <c r="E851" s="1859" t="n">
        <v>2</v>
      </c>
      <c r="F851" s="1859" t="n">
        <v>1.5</v>
      </c>
      <c r="G851" s="1859" t="n">
        <v>5.5</v>
      </c>
    </row>
    <row r="852" customFormat="false" ht="12.75" hidden="false" customHeight="true" outlineLevel="0" collapsed="false">
      <c r="A852" s="1839" t="n">
        <v>46</v>
      </c>
      <c r="B852" s="1848" t="s">
        <v>2747</v>
      </c>
      <c r="C852" s="1920"/>
      <c r="D852" s="1746" t="s">
        <v>1430</v>
      </c>
      <c r="E852" s="1861" t="n">
        <v>2.5</v>
      </c>
      <c r="F852" s="1861" t="n">
        <v>1.5</v>
      </c>
      <c r="G852" s="1861" t="n">
        <v>5</v>
      </c>
    </row>
    <row r="853" customFormat="false" ht="12.75" hidden="false" customHeight="true" outlineLevel="0" collapsed="false">
      <c r="A853" s="1746" t="n">
        <v>47</v>
      </c>
      <c r="B853" s="1836" t="s">
        <v>2748</v>
      </c>
      <c r="C853" s="1917"/>
      <c r="D853" s="1746" t="s">
        <v>1427</v>
      </c>
      <c r="E853" s="1859" t="n">
        <v>20</v>
      </c>
      <c r="F853" s="1859" t="n">
        <v>6</v>
      </c>
      <c r="G853" s="1859" t="n">
        <v>25</v>
      </c>
    </row>
    <row r="854" customFormat="false" ht="12.75" hidden="false" customHeight="true" outlineLevel="0" collapsed="false">
      <c r="A854" s="1569" t="s">
        <v>1815</v>
      </c>
      <c r="B854" s="1568" t="s">
        <v>1909</v>
      </c>
      <c r="C854" s="1568"/>
      <c r="D854" s="1568" t="s">
        <v>1536</v>
      </c>
      <c r="E854" s="1568" t="s">
        <v>2436</v>
      </c>
      <c r="F854" s="1568"/>
      <c r="G854" s="1568"/>
    </row>
    <row r="855" customFormat="false" ht="15.75" hidden="false" customHeight="true" outlineLevel="0" collapsed="false">
      <c r="A855" s="1569"/>
      <c r="B855" s="1568"/>
      <c r="C855" s="1568"/>
      <c r="D855" s="1568"/>
      <c r="E855" s="1747" t="s">
        <v>406</v>
      </c>
      <c r="F855" s="1747" t="s">
        <v>2388</v>
      </c>
      <c r="G855" s="1747" t="s">
        <v>2389</v>
      </c>
    </row>
    <row r="856" customFormat="false" ht="12.75" hidden="false" customHeight="true" outlineLevel="0" collapsed="false">
      <c r="A856" s="1839" t="n">
        <v>48</v>
      </c>
      <c r="B856" s="1764" t="s">
        <v>2749</v>
      </c>
      <c r="C856" s="1920"/>
      <c r="D856" s="1746" t="s">
        <v>1430</v>
      </c>
      <c r="E856" s="1859" t="n">
        <v>5</v>
      </c>
      <c r="F856" s="1859" t="n">
        <v>1.5</v>
      </c>
      <c r="G856" s="1859" t="n">
        <v>3</v>
      </c>
    </row>
    <row r="857" customFormat="false" ht="12.75" hidden="false" customHeight="true" outlineLevel="0" collapsed="false">
      <c r="A857" s="1746" t="n">
        <v>49</v>
      </c>
      <c r="B857" s="1764" t="s">
        <v>2750</v>
      </c>
      <c r="C857" s="1920" t="s">
        <v>2724</v>
      </c>
      <c r="D857" s="1746" t="s">
        <v>2391</v>
      </c>
      <c r="E857" s="1859" t="n">
        <v>3.3</v>
      </c>
      <c r="F857" s="1859" t="n">
        <v>1.2</v>
      </c>
      <c r="G857" s="1859" t="n">
        <v>1.4</v>
      </c>
    </row>
    <row r="858" customFormat="false" ht="12.75" hidden="false" customHeight="true" outlineLevel="0" collapsed="false">
      <c r="A858" s="1839" t="n">
        <v>50</v>
      </c>
      <c r="B858" s="1764" t="s">
        <v>2750</v>
      </c>
      <c r="C858" s="1920" t="s">
        <v>2751</v>
      </c>
      <c r="D858" s="1746" t="s">
        <v>2391</v>
      </c>
      <c r="E858" s="1859" t="n">
        <v>4.9</v>
      </c>
      <c r="F858" s="1859" t="n">
        <v>1.3</v>
      </c>
      <c r="G858" s="1859" t="n">
        <v>3.1</v>
      </c>
    </row>
    <row r="859" customFormat="false" ht="12.75" hidden="false" customHeight="true" outlineLevel="0" collapsed="false">
      <c r="A859" s="1746" t="n">
        <v>51</v>
      </c>
      <c r="B859" s="1764" t="s">
        <v>2752</v>
      </c>
      <c r="C859" s="1920" t="s">
        <v>2724</v>
      </c>
      <c r="D859" s="1746" t="s">
        <v>2391</v>
      </c>
      <c r="E859" s="1859" t="n">
        <v>3.6</v>
      </c>
      <c r="F859" s="1859" t="n">
        <v>1.2</v>
      </c>
      <c r="G859" s="1859" t="n">
        <v>1.4</v>
      </c>
    </row>
    <row r="860" customFormat="false" ht="12.75" hidden="false" customHeight="true" outlineLevel="0" collapsed="false">
      <c r="A860" s="1839" t="n">
        <v>52</v>
      </c>
      <c r="B860" s="1764" t="s">
        <v>2752</v>
      </c>
      <c r="C860" s="1920" t="s">
        <v>2751</v>
      </c>
      <c r="D860" s="1746" t="s">
        <v>2391</v>
      </c>
      <c r="E860" s="1859" t="n">
        <v>5.1</v>
      </c>
      <c r="F860" s="1859" t="n">
        <v>1.3</v>
      </c>
      <c r="G860" s="1859" t="n">
        <v>3.6</v>
      </c>
    </row>
    <row r="861" customFormat="false" ht="12.75" hidden="false" customHeight="true" outlineLevel="0" collapsed="false">
      <c r="A861" s="1746" t="n">
        <v>53</v>
      </c>
      <c r="B861" s="1836" t="s">
        <v>2753</v>
      </c>
      <c r="C861" s="1917"/>
      <c r="D861" s="1746" t="s">
        <v>1427</v>
      </c>
      <c r="E861" s="1859" t="n">
        <v>13</v>
      </c>
      <c r="F861" s="1859" t="n">
        <v>5</v>
      </c>
      <c r="G861" s="1859" t="n">
        <v>20</v>
      </c>
    </row>
    <row r="862" customFormat="false" ht="12.75" hidden="false" customHeight="true" outlineLevel="0" collapsed="false">
      <c r="A862" s="1839" t="n">
        <v>54</v>
      </c>
      <c r="B862" s="1836" t="s">
        <v>2754</v>
      </c>
      <c r="C862" s="1917"/>
      <c r="D862" s="1746" t="s">
        <v>1427</v>
      </c>
      <c r="E862" s="1859" t="n">
        <v>15</v>
      </c>
      <c r="F862" s="1859" t="n">
        <v>6</v>
      </c>
      <c r="G862" s="1859" t="n">
        <v>22</v>
      </c>
    </row>
    <row r="863" customFormat="false" ht="12.75" hidden="false" customHeight="true" outlineLevel="0" collapsed="false">
      <c r="A863" s="1746" t="n">
        <v>55</v>
      </c>
      <c r="B863" s="1899" t="s">
        <v>2755</v>
      </c>
      <c r="C863" s="1916"/>
      <c r="D863" s="1763" t="s">
        <v>1423</v>
      </c>
      <c r="E863" s="1859" t="n">
        <v>1</v>
      </c>
      <c r="F863" s="1859" t="n">
        <v>1</v>
      </c>
      <c r="G863" s="1859" t="n">
        <v>2</v>
      </c>
    </row>
    <row r="864" customFormat="false" ht="12.75" hidden="false" customHeight="true" outlineLevel="0" collapsed="false">
      <c r="A864" s="1839" t="n">
        <v>56</v>
      </c>
      <c r="B864" s="1764" t="s">
        <v>2756</v>
      </c>
      <c r="C864" s="1920"/>
      <c r="D864" s="1746" t="s">
        <v>1430</v>
      </c>
      <c r="E864" s="1859" t="n">
        <v>3.6</v>
      </c>
      <c r="F864" s="1859" t="n">
        <v>1</v>
      </c>
      <c r="G864" s="1859" t="n">
        <v>1.4</v>
      </c>
    </row>
    <row r="865" customFormat="false" ht="12.75" hidden="false" customHeight="true" outlineLevel="0" collapsed="false">
      <c r="A865" s="1746" t="n">
        <v>57</v>
      </c>
      <c r="B865" s="1764" t="s">
        <v>2757</v>
      </c>
      <c r="C865" s="1920"/>
      <c r="D865" s="1746" t="s">
        <v>1430</v>
      </c>
      <c r="E865" s="1859" t="n">
        <v>3.4</v>
      </c>
      <c r="F865" s="1859" t="n">
        <v>1</v>
      </c>
      <c r="G865" s="1859" t="n">
        <v>3.2</v>
      </c>
    </row>
    <row r="866" customFormat="false" ht="12.75" hidden="false" customHeight="true" outlineLevel="0" collapsed="false">
      <c r="A866" s="1839" t="n">
        <v>58</v>
      </c>
      <c r="B866" s="1836" t="s">
        <v>2758</v>
      </c>
      <c r="C866" s="1917"/>
      <c r="D866" s="1746" t="s">
        <v>1430</v>
      </c>
      <c r="E866" s="1859" t="n">
        <v>1.9</v>
      </c>
      <c r="F866" s="1859" t="n">
        <v>1</v>
      </c>
      <c r="G866" s="1859" t="n">
        <v>4</v>
      </c>
    </row>
    <row r="867" customFormat="false" ht="12.75" hidden="false" customHeight="true" outlineLevel="0" collapsed="false">
      <c r="A867" s="1746" t="n">
        <v>59</v>
      </c>
      <c r="B867" s="1836" t="s">
        <v>2759</v>
      </c>
      <c r="C867" s="1917"/>
      <c r="D867" s="1746" t="s">
        <v>1430</v>
      </c>
      <c r="E867" s="1859" t="n">
        <v>2.4</v>
      </c>
      <c r="F867" s="1859" t="n">
        <v>0.9</v>
      </c>
      <c r="G867" s="1859" t="n">
        <v>5.1</v>
      </c>
    </row>
    <row r="868" customFormat="false" ht="12.75" hidden="false" customHeight="true" outlineLevel="0" collapsed="false">
      <c r="A868" s="1839" t="n">
        <v>60</v>
      </c>
      <c r="B868" s="1764" t="s">
        <v>2760</v>
      </c>
      <c r="C868" s="1920"/>
      <c r="D868" s="1746" t="s">
        <v>2761</v>
      </c>
      <c r="E868" s="1859" t="n">
        <v>1.2</v>
      </c>
      <c r="F868" s="1859" t="n">
        <v>1</v>
      </c>
      <c r="G868" s="1859" t="n">
        <v>5</v>
      </c>
    </row>
    <row r="869" customFormat="false" ht="12.75" hidden="false" customHeight="true" outlineLevel="0" collapsed="false">
      <c r="A869" s="1746" t="n">
        <v>61</v>
      </c>
      <c r="B869" s="1836" t="s">
        <v>2762</v>
      </c>
      <c r="C869" s="1917"/>
      <c r="D869" s="1746" t="s">
        <v>1430</v>
      </c>
      <c r="E869" s="1859" t="n">
        <v>1.6</v>
      </c>
      <c r="F869" s="1859" t="n">
        <v>0.7</v>
      </c>
      <c r="G869" s="1859" t="n">
        <v>3.8</v>
      </c>
    </row>
    <row r="870" customFormat="false" ht="12.75" hidden="false" customHeight="true" outlineLevel="0" collapsed="false">
      <c r="A870" s="1839" t="n">
        <v>62</v>
      </c>
      <c r="B870" s="1836" t="s">
        <v>2763</v>
      </c>
      <c r="C870" s="1917"/>
      <c r="D870" s="1746" t="s">
        <v>1430</v>
      </c>
      <c r="E870" s="1859" t="n">
        <v>2.6</v>
      </c>
      <c r="F870" s="1859" t="n">
        <v>3.1</v>
      </c>
      <c r="G870" s="1859" t="n">
        <v>5.3</v>
      </c>
    </row>
    <row r="871" customFormat="false" ht="12.75" hidden="false" customHeight="true" outlineLevel="0" collapsed="false">
      <c r="A871" s="1746" t="n">
        <v>63</v>
      </c>
      <c r="B871" s="1836" t="s">
        <v>2764</v>
      </c>
      <c r="C871" s="1917"/>
      <c r="D871" s="1746" t="s">
        <v>1427</v>
      </c>
      <c r="E871" s="1859" t="n">
        <v>32</v>
      </c>
      <c r="F871" s="1859" t="n">
        <v>10</v>
      </c>
      <c r="G871" s="1859" t="n">
        <v>25</v>
      </c>
    </row>
    <row r="872" customFormat="false" ht="12.75" hidden="false" customHeight="true" outlineLevel="0" collapsed="false">
      <c r="A872" s="1839" t="n">
        <v>64</v>
      </c>
      <c r="B872" s="1836" t="s">
        <v>2765</v>
      </c>
      <c r="C872" s="1917"/>
      <c r="D872" s="1746" t="s">
        <v>1427</v>
      </c>
      <c r="E872" s="1859" t="n">
        <v>46</v>
      </c>
      <c r="F872" s="1859" t="n">
        <v>12</v>
      </c>
      <c r="G872" s="1859" t="n">
        <v>35</v>
      </c>
    </row>
    <row r="873" customFormat="false" ht="12.75" hidden="false" customHeight="true" outlineLevel="0" collapsed="false">
      <c r="A873" s="1746" t="n">
        <v>65</v>
      </c>
      <c r="B873" s="1899" t="s">
        <v>2766</v>
      </c>
      <c r="C873" s="1916"/>
      <c r="D873" s="1810" t="s">
        <v>2391</v>
      </c>
      <c r="E873" s="1918" t="n">
        <v>0.9</v>
      </c>
      <c r="F873" s="1918" t="n">
        <v>0.2</v>
      </c>
      <c r="G873" s="1918" t="n">
        <v>1.3</v>
      </c>
    </row>
    <row r="874" customFormat="false" ht="12.75" hidden="false" customHeight="true" outlineLevel="0" collapsed="false">
      <c r="A874" s="1839" t="n">
        <v>66</v>
      </c>
      <c r="B874" s="1764" t="s">
        <v>2767</v>
      </c>
      <c r="C874" s="1920" t="s">
        <v>2724</v>
      </c>
      <c r="D874" s="1746" t="s">
        <v>2391</v>
      </c>
      <c r="E874" s="1859" t="n">
        <v>3.5</v>
      </c>
      <c r="F874" s="1859" t="n">
        <v>1.8</v>
      </c>
      <c r="G874" s="1859" t="n">
        <v>1.2</v>
      </c>
    </row>
    <row r="875" customFormat="false" ht="12.75" hidden="false" customHeight="true" outlineLevel="0" collapsed="false">
      <c r="A875" s="1746" t="n">
        <v>67</v>
      </c>
      <c r="B875" s="1764" t="s">
        <v>2768</v>
      </c>
      <c r="C875" s="1920" t="s">
        <v>2724</v>
      </c>
      <c r="D875" s="1746" t="s">
        <v>2391</v>
      </c>
      <c r="E875" s="1859" t="n">
        <v>5.6</v>
      </c>
      <c r="F875" s="1859" t="n">
        <v>0.9</v>
      </c>
      <c r="G875" s="1859" t="n">
        <v>1.7</v>
      </c>
    </row>
    <row r="876" customFormat="false" ht="12.75" hidden="false" customHeight="true" outlineLevel="0" collapsed="false">
      <c r="A876" s="1839" t="n">
        <v>68</v>
      </c>
      <c r="B876" s="1764" t="s">
        <v>2768</v>
      </c>
      <c r="C876" s="1920" t="s">
        <v>2751</v>
      </c>
      <c r="D876" s="1746" t="s">
        <v>2391</v>
      </c>
      <c r="E876" s="1859" t="n">
        <v>6.1</v>
      </c>
      <c r="F876" s="1859" t="n">
        <v>1.1</v>
      </c>
      <c r="G876" s="1859" t="n">
        <v>2.5</v>
      </c>
    </row>
    <row r="877" customFormat="false" ht="12.75" hidden="false" customHeight="true" outlineLevel="0" collapsed="false">
      <c r="A877" s="1746" t="n">
        <v>69</v>
      </c>
      <c r="B877" s="1764" t="s">
        <v>2769</v>
      </c>
      <c r="C877" s="1920" t="s">
        <v>2724</v>
      </c>
      <c r="D877" s="1746" t="s">
        <v>2391</v>
      </c>
      <c r="E877" s="1859" t="n">
        <v>5.6</v>
      </c>
      <c r="F877" s="1859" t="n">
        <v>0.9</v>
      </c>
      <c r="G877" s="1859" t="n">
        <v>1.7</v>
      </c>
    </row>
    <row r="878" customFormat="false" ht="12.75" hidden="false" customHeight="true" outlineLevel="0" collapsed="false">
      <c r="A878" s="1839" t="n">
        <v>70</v>
      </c>
      <c r="B878" s="1764" t="s">
        <v>2769</v>
      </c>
      <c r="C878" s="1920" t="s">
        <v>2751</v>
      </c>
      <c r="D878" s="1746" t="s">
        <v>2391</v>
      </c>
      <c r="E878" s="1859" t="n">
        <v>6.2</v>
      </c>
      <c r="F878" s="1859" t="n">
        <v>1</v>
      </c>
      <c r="G878" s="1859" t="n">
        <v>3.9</v>
      </c>
    </row>
    <row r="879" customFormat="false" ht="12.75" hidden="false" customHeight="true" outlineLevel="0" collapsed="false">
      <c r="A879" s="1746" t="n">
        <v>71</v>
      </c>
      <c r="B879" s="1836" t="s">
        <v>2770</v>
      </c>
      <c r="C879" s="1917"/>
      <c r="D879" s="1746" t="s">
        <v>1427</v>
      </c>
      <c r="E879" s="1859" t="n">
        <v>12.5</v>
      </c>
      <c r="F879" s="1859" t="n">
        <v>5.5</v>
      </c>
      <c r="G879" s="1859" t="n">
        <v>12.5</v>
      </c>
    </row>
    <row r="880" customFormat="false" ht="12.75" hidden="false" customHeight="true" outlineLevel="0" collapsed="false">
      <c r="A880" s="1839" t="n">
        <v>72</v>
      </c>
      <c r="B880" s="1848" t="s">
        <v>346</v>
      </c>
      <c r="C880" s="1920" t="s">
        <v>2724</v>
      </c>
      <c r="D880" s="1746" t="s">
        <v>2391</v>
      </c>
      <c r="E880" s="1861" t="n">
        <v>1.4</v>
      </c>
      <c r="F880" s="1861" t="n">
        <v>0.7</v>
      </c>
      <c r="G880" s="1861" t="n">
        <v>0.5</v>
      </c>
    </row>
    <row r="881" customFormat="false" ht="12.75" hidden="false" customHeight="true" outlineLevel="0" collapsed="false">
      <c r="A881" s="1746" t="n">
        <v>73</v>
      </c>
      <c r="B881" s="1764" t="s">
        <v>346</v>
      </c>
      <c r="C881" s="1920" t="s">
        <v>2725</v>
      </c>
      <c r="D881" s="1746" t="s">
        <v>2391</v>
      </c>
      <c r="E881" s="1859" t="n">
        <v>2.2</v>
      </c>
      <c r="F881" s="1859" t="n">
        <v>0.9</v>
      </c>
      <c r="G881" s="1859" t="n">
        <v>2.3</v>
      </c>
    </row>
    <row r="882" customFormat="false" ht="12.75" hidden="false" customHeight="true" outlineLevel="0" collapsed="false">
      <c r="A882" s="1839" t="n">
        <v>74</v>
      </c>
      <c r="B882" s="1764" t="s">
        <v>2771</v>
      </c>
      <c r="C882" s="1920" t="s">
        <v>2724</v>
      </c>
      <c r="D882" s="1746" t="s">
        <v>2391</v>
      </c>
      <c r="E882" s="1859" t="n">
        <v>1.5</v>
      </c>
      <c r="F882" s="1859" t="n">
        <v>0.7</v>
      </c>
      <c r="G882" s="1859" t="n">
        <v>0.5</v>
      </c>
    </row>
    <row r="883" customFormat="false" ht="12.75" hidden="false" customHeight="true" outlineLevel="0" collapsed="false">
      <c r="A883" s="1746" t="n">
        <v>75</v>
      </c>
      <c r="B883" s="1899" t="s">
        <v>2772</v>
      </c>
      <c r="C883" s="1916"/>
      <c r="D883" s="1810" t="s">
        <v>1430</v>
      </c>
      <c r="E883" s="1918" t="n">
        <v>1.5</v>
      </c>
      <c r="F883" s="1918" t="n">
        <v>0.4</v>
      </c>
      <c r="G883" s="1918" t="n">
        <v>2.5</v>
      </c>
    </row>
    <row r="884" customFormat="false" ht="12.75" hidden="false" customHeight="true" outlineLevel="0" collapsed="false">
      <c r="A884" s="1839" t="n">
        <v>76</v>
      </c>
      <c r="B884" s="1836" t="s">
        <v>2773</v>
      </c>
      <c r="C884" s="1917"/>
      <c r="D884" s="1746" t="s">
        <v>1430</v>
      </c>
      <c r="E884" s="1859" t="n">
        <v>2.2</v>
      </c>
      <c r="F884" s="1859" t="n">
        <v>0.8</v>
      </c>
      <c r="G884" s="1859" t="n">
        <v>0.4</v>
      </c>
    </row>
    <row r="885" customFormat="false" ht="12.75" hidden="false" customHeight="true" outlineLevel="0" collapsed="false">
      <c r="A885" s="1746" t="n">
        <v>77</v>
      </c>
      <c r="B885" s="1836" t="s">
        <v>2774</v>
      </c>
      <c r="C885" s="1917"/>
      <c r="D885" s="1746" t="s">
        <v>1427</v>
      </c>
      <c r="E885" s="1859" t="n">
        <v>1.8</v>
      </c>
      <c r="F885" s="1859" t="n">
        <v>0.3</v>
      </c>
      <c r="G885" s="1859" t="n">
        <v>4</v>
      </c>
    </row>
    <row r="886" customFormat="false" ht="12.75" hidden="false" customHeight="true" outlineLevel="0" collapsed="false">
      <c r="A886" s="1839" t="n">
        <v>78</v>
      </c>
      <c r="B886" s="1899" t="s">
        <v>2775</v>
      </c>
      <c r="C886" s="1917"/>
      <c r="D886" s="1746" t="s">
        <v>1430</v>
      </c>
      <c r="E886" s="1861" t="n">
        <v>1.6</v>
      </c>
      <c r="F886" s="1861" t="n">
        <v>0.9</v>
      </c>
      <c r="G886" s="1861" t="n">
        <v>4.2</v>
      </c>
    </row>
    <row r="887" customFormat="false" ht="12.75" hidden="false" customHeight="true" outlineLevel="0" collapsed="false">
      <c r="A887" s="1746" t="n">
        <v>79</v>
      </c>
      <c r="B887" s="1899" t="s">
        <v>2776</v>
      </c>
      <c r="C887" s="1916"/>
      <c r="D887" s="1810" t="s">
        <v>1430</v>
      </c>
      <c r="E887" s="1918" t="n">
        <v>15.8</v>
      </c>
      <c r="F887" s="1918" t="n">
        <v>7.5</v>
      </c>
      <c r="G887" s="1918" t="n">
        <v>10</v>
      </c>
    </row>
    <row r="888" customFormat="false" ht="12.75" hidden="false" customHeight="true" outlineLevel="0" collapsed="false">
      <c r="A888" s="1839" t="n">
        <v>80</v>
      </c>
      <c r="B888" s="1899" t="s">
        <v>2777</v>
      </c>
      <c r="C888" s="1916"/>
      <c r="D888" s="1810" t="s">
        <v>1430</v>
      </c>
      <c r="E888" s="1918" t="n">
        <v>31.4</v>
      </c>
      <c r="F888" s="1918" t="n">
        <v>9.9</v>
      </c>
      <c r="G888" s="1918" t="n">
        <v>6.7</v>
      </c>
    </row>
    <row r="889" customFormat="false" ht="12.75" hidden="false" customHeight="true" outlineLevel="0" collapsed="false">
      <c r="A889" s="1746" t="n">
        <v>81</v>
      </c>
      <c r="B889" s="1848" t="s">
        <v>2778</v>
      </c>
      <c r="C889" s="1920"/>
      <c r="D889" s="1746" t="s">
        <v>1430</v>
      </c>
      <c r="E889" s="1861" t="n">
        <v>2</v>
      </c>
      <c r="F889" s="1861" t="n">
        <v>1.5</v>
      </c>
      <c r="G889" s="1861" t="n">
        <v>4.6</v>
      </c>
    </row>
    <row r="890" customFormat="false" ht="12.75" hidden="false" customHeight="true" outlineLevel="0" collapsed="false">
      <c r="A890" s="1839" t="n">
        <v>82</v>
      </c>
      <c r="B890" s="1899" t="s">
        <v>2779</v>
      </c>
      <c r="C890" s="1916"/>
      <c r="D890" s="1810" t="s">
        <v>1430</v>
      </c>
      <c r="E890" s="1918" t="n">
        <v>1.8</v>
      </c>
      <c r="F890" s="1918" t="n">
        <v>0.5</v>
      </c>
      <c r="G890" s="1918" t="n">
        <v>3.2</v>
      </c>
    </row>
    <row r="891" customFormat="false" ht="12.75" hidden="false" customHeight="true" outlineLevel="0" collapsed="false">
      <c r="A891" s="1746" t="n">
        <v>83</v>
      </c>
      <c r="B891" s="1922" t="s">
        <v>2642</v>
      </c>
      <c r="C891" s="1920" t="s">
        <v>2724</v>
      </c>
      <c r="D891" s="1746" t="s">
        <v>2391</v>
      </c>
      <c r="E891" s="1923" t="n">
        <v>1.5</v>
      </c>
      <c r="F891" s="1923" t="n">
        <v>0.8</v>
      </c>
      <c r="G891" s="1923" t="n">
        <v>0.7</v>
      </c>
    </row>
    <row r="892" customFormat="false" ht="12.75" hidden="false" customHeight="true" outlineLevel="0" collapsed="false">
      <c r="A892" s="1839" t="n">
        <v>84</v>
      </c>
      <c r="B892" s="1764" t="s">
        <v>2642</v>
      </c>
      <c r="C892" s="1920" t="s">
        <v>2725</v>
      </c>
      <c r="D892" s="1746" t="s">
        <v>2391</v>
      </c>
      <c r="E892" s="1859" t="n">
        <v>2.1</v>
      </c>
      <c r="F892" s="1859" t="n">
        <v>1</v>
      </c>
      <c r="G892" s="1859" t="n">
        <v>1.9</v>
      </c>
    </row>
    <row r="893" customFormat="false" ht="12.75" hidden="false" customHeight="true" outlineLevel="0" collapsed="false">
      <c r="A893" s="1746" t="n">
        <v>85</v>
      </c>
      <c r="B893" s="1899" t="s">
        <v>2780</v>
      </c>
      <c r="C893" s="1924"/>
      <c r="D893" s="1746" t="s">
        <v>1427</v>
      </c>
      <c r="E893" s="1859" t="n">
        <v>6</v>
      </c>
      <c r="F893" s="1859" t="n">
        <v>3</v>
      </c>
      <c r="G893" s="1859" t="n">
        <v>12</v>
      </c>
    </row>
    <row r="894" customFormat="false" ht="12.75" hidden="false" customHeight="true" outlineLevel="0" collapsed="false">
      <c r="A894" s="1839" t="n">
        <v>86</v>
      </c>
      <c r="B894" s="1899" t="s">
        <v>2781</v>
      </c>
      <c r="C894" s="1924"/>
      <c r="D894" s="1746" t="s">
        <v>1427</v>
      </c>
      <c r="E894" s="1859" t="n">
        <v>6</v>
      </c>
      <c r="F894" s="1859" t="n">
        <v>2</v>
      </c>
      <c r="G894" s="1859" t="n">
        <v>10</v>
      </c>
    </row>
    <row r="895" customFormat="false" ht="12.75" hidden="false" customHeight="true" outlineLevel="0" collapsed="false">
      <c r="A895" s="1746" t="n">
        <v>87</v>
      </c>
      <c r="B895" s="1899" t="s">
        <v>2782</v>
      </c>
      <c r="C895" s="1924"/>
      <c r="D895" s="1746" t="s">
        <v>1427</v>
      </c>
      <c r="E895" s="1859" t="n">
        <v>6</v>
      </c>
      <c r="F895" s="1859" t="n">
        <v>2</v>
      </c>
      <c r="G895" s="1859" t="n">
        <v>12</v>
      </c>
    </row>
    <row r="896" customFormat="false" ht="12.75" hidden="false" customHeight="true" outlineLevel="0" collapsed="false">
      <c r="A896" s="1839" t="n">
        <v>88</v>
      </c>
      <c r="B896" s="1899" t="s">
        <v>2783</v>
      </c>
      <c r="C896" s="1916"/>
      <c r="D896" s="1810" t="s">
        <v>1430</v>
      </c>
      <c r="E896" s="1918" t="n">
        <v>1.1</v>
      </c>
      <c r="F896" s="1918" t="n">
        <v>0.3</v>
      </c>
      <c r="G896" s="1918" t="n">
        <v>2.4</v>
      </c>
    </row>
    <row r="897" customFormat="false" ht="12.75" hidden="false" customHeight="true" outlineLevel="0" collapsed="false">
      <c r="A897" s="1746" t="n">
        <v>89</v>
      </c>
      <c r="B897" s="1836" t="s">
        <v>2784</v>
      </c>
      <c r="C897" s="1917"/>
      <c r="D897" s="1746" t="s">
        <v>1427</v>
      </c>
      <c r="E897" s="1859" t="n">
        <v>50</v>
      </c>
      <c r="F897" s="1859" t="n">
        <v>10</v>
      </c>
      <c r="G897" s="1859" t="n">
        <v>55</v>
      </c>
    </row>
    <row r="898" customFormat="false" ht="12.75" hidden="false" customHeight="true" outlineLevel="0" collapsed="false">
      <c r="A898" s="1839" t="n">
        <v>90</v>
      </c>
      <c r="B898" s="1836" t="s">
        <v>2785</v>
      </c>
      <c r="C898" s="1917"/>
      <c r="D898" s="1746" t="s">
        <v>1427</v>
      </c>
      <c r="E898" s="1859" t="n">
        <v>35</v>
      </c>
      <c r="F898" s="1859" t="n">
        <v>8</v>
      </c>
      <c r="G898" s="1859" t="n">
        <v>45</v>
      </c>
    </row>
    <row r="899" customFormat="false" ht="12.75" hidden="false" customHeight="true" outlineLevel="0" collapsed="false">
      <c r="A899" s="1746" t="n">
        <v>91</v>
      </c>
      <c r="B899" s="1836" t="s">
        <v>2786</v>
      </c>
      <c r="C899" s="1917"/>
      <c r="D899" s="1746" t="s">
        <v>1427</v>
      </c>
      <c r="E899" s="1859" t="n">
        <v>25</v>
      </c>
      <c r="F899" s="1859" t="n">
        <v>7</v>
      </c>
      <c r="G899" s="1859" t="n">
        <v>33</v>
      </c>
    </row>
    <row r="900" customFormat="false" ht="12.75" hidden="false" customHeight="true" outlineLevel="0" collapsed="false">
      <c r="A900" s="1839" t="n">
        <v>92</v>
      </c>
      <c r="B900" s="1764" t="s">
        <v>2787</v>
      </c>
      <c r="C900" s="1920"/>
      <c r="D900" s="1763" t="s">
        <v>1423</v>
      </c>
      <c r="E900" s="1859" t="n">
        <v>4.8</v>
      </c>
      <c r="F900" s="1859" t="n">
        <v>1</v>
      </c>
      <c r="G900" s="1859" t="n">
        <v>3.7</v>
      </c>
    </row>
    <row r="901" customFormat="false" ht="12.75" hidden="false" customHeight="true" outlineLevel="0" collapsed="false">
      <c r="A901" s="1746" t="n">
        <v>93</v>
      </c>
      <c r="B901" s="1899" t="s">
        <v>1947</v>
      </c>
      <c r="C901" s="1917"/>
      <c r="D901" s="1746" t="s">
        <v>1430</v>
      </c>
      <c r="E901" s="1861" t="n">
        <v>2.8</v>
      </c>
      <c r="F901" s="1861" t="n">
        <v>1</v>
      </c>
      <c r="G901" s="1861" t="n">
        <v>4</v>
      </c>
    </row>
    <row r="902" customFormat="false" ht="12.75" hidden="false" customHeight="true" outlineLevel="0" collapsed="false">
      <c r="A902" s="1839" t="n">
        <v>94</v>
      </c>
      <c r="B902" s="1764" t="s">
        <v>2788</v>
      </c>
      <c r="C902" s="1920"/>
      <c r="D902" s="1763" t="s">
        <v>1423</v>
      </c>
      <c r="E902" s="1859" t="n">
        <v>1.2</v>
      </c>
      <c r="F902" s="1859" t="n">
        <v>0.3</v>
      </c>
      <c r="G902" s="1859" t="n">
        <v>1.9</v>
      </c>
    </row>
    <row r="903" customFormat="false" ht="12.75" hidden="false" customHeight="true" outlineLevel="0" collapsed="false">
      <c r="A903" s="1746" t="n">
        <v>95</v>
      </c>
      <c r="B903" s="1764" t="s">
        <v>2789</v>
      </c>
      <c r="C903" s="1920" t="s">
        <v>2724</v>
      </c>
      <c r="D903" s="1746" t="s">
        <v>2391</v>
      </c>
      <c r="E903" s="1859" t="n">
        <v>3.3</v>
      </c>
      <c r="F903" s="1859" t="n">
        <v>0.8</v>
      </c>
      <c r="G903" s="1859" t="n">
        <v>1.1</v>
      </c>
    </row>
    <row r="904" customFormat="false" ht="12.75" hidden="false" customHeight="true" outlineLevel="0" collapsed="false">
      <c r="A904" s="1839" t="n">
        <v>96</v>
      </c>
      <c r="B904" s="1764" t="s">
        <v>2789</v>
      </c>
      <c r="C904" s="1920" t="s">
        <v>2751</v>
      </c>
      <c r="D904" s="1746" t="s">
        <v>2391</v>
      </c>
      <c r="E904" s="1859" t="n">
        <v>5</v>
      </c>
      <c r="F904" s="1859" t="n">
        <v>1.4</v>
      </c>
      <c r="G904" s="1859" t="n">
        <v>4.2</v>
      </c>
    </row>
    <row r="905" customFormat="false" ht="12.75" hidden="false" customHeight="true" outlineLevel="0" collapsed="false">
      <c r="A905" s="1569" t="s">
        <v>1815</v>
      </c>
      <c r="B905" s="1568" t="s">
        <v>1909</v>
      </c>
      <c r="C905" s="1568"/>
      <c r="D905" s="1568" t="s">
        <v>1536</v>
      </c>
      <c r="E905" s="1568" t="s">
        <v>2436</v>
      </c>
      <c r="F905" s="1568"/>
      <c r="G905" s="1568"/>
    </row>
    <row r="906" customFormat="false" ht="15.75" hidden="false" customHeight="true" outlineLevel="0" collapsed="false">
      <c r="A906" s="1569"/>
      <c r="B906" s="1568"/>
      <c r="C906" s="1568"/>
      <c r="D906" s="1568"/>
      <c r="E906" s="1747" t="s">
        <v>406</v>
      </c>
      <c r="F906" s="1747" t="s">
        <v>2388</v>
      </c>
      <c r="G906" s="1747" t="s">
        <v>2389</v>
      </c>
    </row>
    <row r="907" customFormat="false" ht="12.75" hidden="false" customHeight="true" outlineLevel="0" collapsed="false">
      <c r="A907" s="1746" t="n">
        <v>97</v>
      </c>
      <c r="B907" s="1764" t="s">
        <v>2790</v>
      </c>
      <c r="C907" s="1920" t="s">
        <v>2724</v>
      </c>
      <c r="D907" s="1746" t="s">
        <v>2391</v>
      </c>
      <c r="E907" s="1859" t="n">
        <v>3.3</v>
      </c>
      <c r="F907" s="1859" t="n">
        <v>0.8</v>
      </c>
      <c r="G907" s="1859" t="n">
        <v>1.1</v>
      </c>
    </row>
    <row r="908" customFormat="false" ht="12.75" hidden="false" customHeight="true" outlineLevel="0" collapsed="false">
      <c r="A908" s="1839" t="n">
        <v>98</v>
      </c>
      <c r="B908" s="1764" t="s">
        <v>2790</v>
      </c>
      <c r="C908" s="1920" t="s">
        <v>2751</v>
      </c>
      <c r="D908" s="1746" t="s">
        <v>2391</v>
      </c>
      <c r="E908" s="1859" t="n">
        <v>5</v>
      </c>
      <c r="F908" s="1859" t="n">
        <v>1.1</v>
      </c>
      <c r="G908" s="1859" t="n">
        <v>3.9</v>
      </c>
    </row>
    <row r="909" customFormat="false" ht="12.75" hidden="false" customHeight="true" outlineLevel="0" collapsed="false">
      <c r="A909" s="1746" t="n">
        <v>99</v>
      </c>
      <c r="B909" s="1764" t="s">
        <v>2791</v>
      </c>
      <c r="C909" s="1920"/>
      <c r="D909" s="1746" t="s">
        <v>1430</v>
      </c>
      <c r="E909" s="1859" t="n">
        <v>3.6</v>
      </c>
      <c r="F909" s="1859" t="n">
        <v>1.7</v>
      </c>
      <c r="G909" s="1859" t="n">
        <v>6.5</v>
      </c>
    </row>
    <row r="910" customFormat="false" ht="12.75" hidden="false" customHeight="true" outlineLevel="0" collapsed="false">
      <c r="A910" s="1839" t="n">
        <v>100</v>
      </c>
      <c r="B910" s="1764" t="s">
        <v>2792</v>
      </c>
      <c r="C910" s="1920"/>
      <c r="D910" s="1763" t="s">
        <v>1423</v>
      </c>
      <c r="E910" s="1859" t="n">
        <v>1.5</v>
      </c>
      <c r="F910" s="1859" t="n">
        <v>0.5</v>
      </c>
      <c r="G910" s="1859" t="n">
        <v>1.9</v>
      </c>
    </row>
    <row r="911" customFormat="false" ht="12.75" hidden="false" customHeight="true" outlineLevel="0" collapsed="false">
      <c r="A911" s="1746" t="n">
        <v>101</v>
      </c>
      <c r="B911" s="1764" t="s">
        <v>2793</v>
      </c>
      <c r="C911" s="1920"/>
      <c r="D911" s="1763" t="s">
        <v>1423</v>
      </c>
      <c r="E911" s="1859" t="n">
        <v>1.3</v>
      </c>
      <c r="F911" s="1859" t="n">
        <v>0.4</v>
      </c>
      <c r="G911" s="1859" t="n">
        <v>3</v>
      </c>
    </row>
    <row r="912" customFormat="false" ht="12.75" hidden="false" customHeight="true" outlineLevel="0" collapsed="false">
      <c r="A912" s="1839" t="n">
        <v>102</v>
      </c>
      <c r="B912" s="1836" t="s">
        <v>368</v>
      </c>
      <c r="C912" s="1917"/>
      <c r="D912" s="1763" t="s">
        <v>1423</v>
      </c>
      <c r="E912" s="1925" t="n">
        <v>1.6</v>
      </c>
      <c r="F912" s="1925" t="n">
        <v>0.5</v>
      </c>
      <c r="G912" s="1925" t="n">
        <v>2.4</v>
      </c>
    </row>
    <row r="913" customFormat="false" ht="12.75" hidden="false" customHeight="true" outlineLevel="0" collapsed="false">
      <c r="A913" s="1746" t="n">
        <v>103</v>
      </c>
      <c r="B913" s="1764" t="s">
        <v>2794</v>
      </c>
      <c r="C913" s="1920" t="s">
        <v>2724</v>
      </c>
      <c r="D913" s="1746" t="s">
        <v>2391</v>
      </c>
      <c r="E913" s="1859" t="n">
        <v>1.4</v>
      </c>
      <c r="F913" s="1859" t="n">
        <v>0.3</v>
      </c>
      <c r="G913" s="1859" t="n">
        <v>0.3</v>
      </c>
    </row>
    <row r="914" customFormat="false" ht="12.75" hidden="false" customHeight="true" outlineLevel="0" collapsed="false">
      <c r="A914" s="1839" t="n">
        <v>104</v>
      </c>
      <c r="B914" s="1764" t="s">
        <v>2795</v>
      </c>
      <c r="C914" s="1920" t="s">
        <v>2724</v>
      </c>
      <c r="D914" s="1746" t="s">
        <v>2391</v>
      </c>
      <c r="E914" s="1859" t="n">
        <v>1.4</v>
      </c>
      <c r="F914" s="1859" t="n">
        <v>1</v>
      </c>
      <c r="G914" s="1859" t="n">
        <v>0.6</v>
      </c>
    </row>
    <row r="915" customFormat="false" ht="12.75" hidden="false" customHeight="true" outlineLevel="0" collapsed="false">
      <c r="A915" s="1746" t="n">
        <v>105</v>
      </c>
      <c r="B915" s="1764" t="s">
        <v>2795</v>
      </c>
      <c r="C915" s="1920" t="s">
        <v>2725</v>
      </c>
      <c r="D915" s="1746" t="s">
        <v>2391</v>
      </c>
      <c r="E915" s="1859" t="n">
        <v>2</v>
      </c>
      <c r="F915" s="1859" t="n">
        <v>1.3</v>
      </c>
      <c r="G915" s="1859" t="n">
        <v>1.8</v>
      </c>
    </row>
    <row r="916" customFormat="false" ht="12.75" hidden="false" customHeight="true" outlineLevel="0" collapsed="false">
      <c r="A916" s="1839" t="n">
        <v>106</v>
      </c>
      <c r="B916" s="1764" t="s">
        <v>1877</v>
      </c>
      <c r="C916" s="1920" t="s">
        <v>2724</v>
      </c>
      <c r="D916" s="1746" t="s">
        <v>2391</v>
      </c>
      <c r="E916" s="1859" t="n">
        <v>5.7</v>
      </c>
      <c r="F916" s="1859" t="n">
        <v>1.4</v>
      </c>
      <c r="G916" s="1859" t="n">
        <v>1.7</v>
      </c>
    </row>
    <row r="917" customFormat="false" ht="12.75" hidden="false" customHeight="true" outlineLevel="0" collapsed="false">
      <c r="A917" s="1746" t="n">
        <v>107</v>
      </c>
      <c r="B917" s="1764" t="s">
        <v>1877</v>
      </c>
      <c r="C917" s="1920" t="s">
        <v>2751</v>
      </c>
      <c r="D917" s="1746" t="s">
        <v>2391</v>
      </c>
      <c r="E917" s="1859" t="n">
        <v>7.1</v>
      </c>
      <c r="F917" s="1859" t="n">
        <v>2.2</v>
      </c>
      <c r="G917" s="1859" t="n">
        <v>5.5</v>
      </c>
    </row>
    <row r="918" customFormat="false" ht="12.75" hidden="false" customHeight="true" outlineLevel="0" collapsed="false">
      <c r="A918" s="1839" t="n">
        <v>108</v>
      </c>
      <c r="B918" s="1764" t="s">
        <v>2796</v>
      </c>
      <c r="C918" s="1920" t="s">
        <v>2724</v>
      </c>
      <c r="D918" s="1746" t="s">
        <v>2391</v>
      </c>
      <c r="E918" s="1859" t="n">
        <v>2</v>
      </c>
      <c r="F918" s="1859" t="n">
        <v>0.8</v>
      </c>
      <c r="G918" s="1859" t="n">
        <v>0.5</v>
      </c>
    </row>
    <row r="919" customFormat="false" ht="12.75" hidden="false" customHeight="true" outlineLevel="0" collapsed="false">
      <c r="A919" s="1746" t="n">
        <v>109</v>
      </c>
      <c r="B919" s="1836" t="s">
        <v>2797</v>
      </c>
      <c r="C919" s="1917"/>
      <c r="D919" s="1746" t="s">
        <v>1427</v>
      </c>
      <c r="E919" s="1859" t="n">
        <v>15</v>
      </c>
      <c r="F919" s="1859" t="n">
        <v>5.9</v>
      </c>
      <c r="G919" s="1859" t="n">
        <v>20</v>
      </c>
    </row>
    <row r="920" customFormat="false" ht="12.75" hidden="false" customHeight="true" outlineLevel="0" collapsed="false">
      <c r="A920" s="1839" t="n">
        <v>110</v>
      </c>
      <c r="B920" s="1899" t="s">
        <v>2798</v>
      </c>
      <c r="C920" s="1916"/>
      <c r="D920" s="1810" t="s">
        <v>1427</v>
      </c>
      <c r="E920" s="1859" t="n">
        <v>4</v>
      </c>
      <c r="F920" s="1859" t="n">
        <v>0.5</v>
      </c>
      <c r="G920" s="1859" t="n">
        <v>3</v>
      </c>
    </row>
    <row r="921" customFormat="false" ht="12.75" hidden="false" customHeight="true" outlineLevel="0" collapsed="false">
      <c r="A921" s="1746" t="n">
        <v>111</v>
      </c>
      <c r="B921" s="1899" t="s">
        <v>2799</v>
      </c>
      <c r="C921" s="1916"/>
      <c r="D921" s="1810" t="s">
        <v>1427</v>
      </c>
      <c r="E921" s="1861" t="n">
        <v>7.5</v>
      </c>
      <c r="F921" s="1861" t="n">
        <v>0.6</v>
      </c>
      <c r="G921" s="1861" t="n">
        <v>6</v>
      </c>
    </row>
    <row r="922" customFormat="false" ht="12.75" hidden="false" customHeight="true" outlineLevel="0" collapsed="false">
      <c r="A922" s="1839" t="n">
        <v>112</v>
      </c>
      <c r="B922" s="1836" t="s">
        <v>2800</v>
      </c>
      <c r="C922" s="1917"/>
      <c r="D922" s="1746" t="s">
        <v>1430</v>
      </c>
      <c r="E922" s="1859" t="n">
        <v>1.6</v>
      </c>
      <c r="F922" s="1859" t="n">
        <v>0.6</v>
      </c>
      <c r="G922" s="1859" t="n">
        <v>3.4</v>
      </c>
    </row>
    <row r="923" customFormat="false" ht="12.75" hidden="false" customHeight="true" outlineLevel="0" collapsed="false">
      <c r="A923" s="1746" t="n">
        <v>113</v>
      </c>
      <c r="B923" s="1848" t="s">
        <v>2801</v>
      </c>
      <c r="C923" s="1920" t="s">
        <v>2724</v>
      </c>
      <c r="D923" s="1746" t="s">
        <v>2391</v>
      </c>
      <c r="E923" s="1861" t="n">
        <v>1.9</v>
      </c>
      <c r="F923" s="1861" t="n">
        <v>1.3</v>
      </c>
      <c r="G923" s="1861" t="n">
        <v>0.8</v>
      </c>
    </row>
    <row r="924" customFormat="false" ht="12.75" hidden="false" customHeight="true" outlineLevel="0" collapsed="false">
      <c r="A924" s="1839" t="n">
        <v>114</v>
      </c>
      <c r="B924" s="1764" t="s">
        <v>2801</v>
      </c>
      <c r="C924" s="1920" t="s">
        <v>2725</v>
      </c>
      <c r="D924" s="1746" t="s">
        <v>2391</v>
      </c>
      <c r="E924" s="1859" t="n">
        <v>3.7</v>
      </c>
      <c r="F924" s="1859" t="n">
        <v>2.5</v>
      </c>
      <c r="G924" s="1859" t="n">
        <v>10</v>
      </c>
    </row>
    <row r="925" customFormat="false" ht="12.75" hidden="false" customHeight="true" outlineLevel="0" collapsed="false">
      <c r="A925" s="1746" t="n">
        <v>115</v>
      </c>
      <c r="B925" s="1764" t="s">
        <v>351</v>
      </c>
      <c r="C925" s="1920" t="s">
        <v>2724</v>
      </c>
      <c r="D925" s="1746" t="s">
        <v>2391</v>
      </c>
      <c r="E925" s="1859" t="n">
        <v>1.9</v>
      </c>
      <c r="F925" s="1859" t="n">
        <v>0.9</v>
      </c>
      <c r="G925" s="1859" t="n">
        <v>0.6</v>
      </c>
    </row>
    <row r="926" customFormat="false" ht="12.75" hidden="false" customHeight="true" outlineLevel="0" collapsed="false">
      <c r="A926" s="1839" t="n">
        <v>116</v>
      </c>
      <c r="B926" s="1764" t="s">
        <v>351</v>
      </c>
      <c r="C926" s="1920" t="s">
        <v>2725</v>
      </c>
      <c r="D926" s="1746" t="s">
        <v>2391</v>
      </c>
      <c r="E926" s="1859" t="n">
        <v>2.5</v>
      </c>
      <c r="F926" s="1859" t="n">
        <v>1.1</v>
      </c>
      <c r="G926" s="1859" t="n">
        <v>1.6</v>
      </c>
    </row>
    <row r="927" customFormat="false" ht="12.75" hidden="false" customHeight="true" outlineLevel="0" collapsed="false">
      <c r="A927" s="1746" t="n">
        <v>117</v>
      </c>
      <c r="B927" s="1899" t="s">
        <v>2802</v>
      </c>
      <c r="C927" s="1916"/>
      <c r="D927" s="1810" t="s">
        <v>2463</v>
      </c>
      <c r="E927" s="1926" t="n">
        <v>0.032</v>
      </c>
      <c r="F927" s="1926" t="n">
        <v>0.03</v>
      </c>
      <c r="G927" s="1926" t="n">
        <v>0.12</v>
      </c>
    </row>
    <row r="928" customFormat="false" ht="12.75" hidden="false" customHeight="true" outlineLevel="0" collapsed="false">
      <c r="A928" s="1735"/>
      <c r="D928" s="1735"/>
    </row>
    <row r="929" customFormat="false" ht="15" hidden="false" customHeight="true" outlineLevel="0" collapsed="false">
      <c r="A929" s="1023"/>
    </row>
    <row r="930" customFormat="false" ht="15" hidden="false" customHeight="true" outlineLevel="0" collapsed="false">
      <c r="A930" s="1023"/>
    </row>
    <row r="931" customFormat="false" ht="15" hidden="false" customHeight="true" outlineLevel="0" collapsed="false">
      <c r="A931" s="1023"/>
    </row>
    <row r="932" customFormat="false" ht="15" hidden="false" customHeight="true" outlineLevel="0" collapsed="false">
      <c r="A932" s="1023"/>
    </row>
    <row r="934" customFormat="false" ht="15" hidden="false" customHeight="true" outlineLevel="0" collapsed="false">
      <c r="A934" s="1023" t="s">
        <v>2803</v>
      </c>
    </row>
    <row r="935" customFormat="false" ht="13.5" hidden="false" customHeight="true" outlineLevel="0" collapsed="false"/>
    <row r="936" customFormat="false" ht="27" hidden="false" customHeight="true" outlineLevel="0" collapsed="false">
      <c r="A936" s="1927"/>
      <c r="B936" s="1928" t="s">
        <v>1534</v>
      </c>
      <c r="C936" s="1928" t="s">
        <v>1535</v>
      </c>
      <c r="D936" s="1929" t="s">
        <v>1536</v>
      </c>
      <c r="E936" s="1930" t="s">
        <v>2804</v>
      </c>
      <c r="F936" s="1930"/>
      <c r="G936" s="1930"/>
      <c r="H936" s="1930"/>
      <c r="I936" s="1931" t="s">
        <v>1538</v>
      </c>
    </row>
    <row r="937" customFormat="false" ht="25.5" hidden="false" customHeight="true" outlineLevel="0" collapsed="false">
      <c r="A937" s="1932" t="s">
        <v>2805</v>
      </c>
      <c r="B937" s="1933" t="s">
        <v>1540</v>
      </c>
      <c r="C937" s="1934" t="n">
        <f aca="false">D800+D801+D802</f>
        <v>0</v>
      </c>
      <c r="D937" s="1935" t="s">
        <v>1043</v>
      </c>
      <c r="E937" s="1936" t="s">
        <v>2806</v>
      </c>
      <c r="F937" s="1937" t="n">
        <v>3</v>
      </c>
      <c r="G937" s="1937"/>
      <c r="H937" s="1937"/>
      <c r="I937" s="1938" t="n">
        <f aca="false">C937*F937</f>
        <v>0</v>
      </c>
    </row>
    <row r="938" customFormat="false" ht="12.75" hidden="false" customHeight="true" outlineLevel="0" collapsed="false">
      <c r="A938" s="1932"/>
      <c r="B938" s="1939" t="s">
        <v>1541</v>
      </c>
      <c r="C938" s="1940" t="n">
        <f aca="false">D799</f>
        <v>0</v>
      </c>
      <c r="D938" s="1941" t="s">
        <v>1542</v>
      </c>
      <c r="E938" s="1942" t="s">
        <v>2806</v>
      </c>
      <c r="F938" s="1943" t="n">
        <v>0.8</v>
      </c>
      <c r="G938" s="1943"/>
      <c r="H938" s="1943"/>
      <c r="I938" s="1944" t="n">
        <f aca="false">C938*F938</f>
        <v>0</v>
      </c>
    </row>
    <row r="939" customFormat="false" ht="12.75" hidden="false" customHeight="true" outlineLevel="0" collapsed="false">
      <c r="A939" s="1932"/>
      <c r="B939" s="1939" t="s">
        <v>1543</v>
      </c>
      <c r="C939" s="1940" t="e">
        <f aca="false">D804+D805</f>
        <v>#VALUE!</v>
      </c>
      <c r="D939" s="1940" t="s">
        <v>1544</v>
      </c>
      <c r="E939" s="1942" t="s">
        <v>2806</v>
      </c>
      <c r="F939" s="1945" t="n">
        <v>3.4</v>
      </c>
      <c r="G939" s="1945"/>
      <c r="H939" s="1945"/>
      <c r="I939" s="1944" t="e">
        <f aca="false">C939*F939</f>
        <v>#VALUE!</v>
      </c>
    </row>
    <row r="940" customFormat="false" ht="25.5" hidden="false" customHeight="true" outlineLevel="0" collapsed="false">
      <c r="A940" s="1932"/>
      <c r="B940" s="1946" t="s">
        <v>1545</v>
      </c>
      <c r="C940" s="1940" t="s">
        <v>2807</v>
      </c>
      <c r="D940" s="1940" t="s">
        <v>1546</v>
      </c>
      <c r="E940" s="1942" t="s">
        <v>2806</v>
      </c>
      <c r="F940" s="1945" t="n">
        <v>6.2</v>
      </c>
      <c r="G940" s="1945"/>
      <c r="H940" s="1945"/>
      <c r="I940" s="1944" t="s">
        <v>2808</v>
      </c>
    </row>
    <row r="941" customFormat="false" ht="26.25" hidden="false" customHeight="true" outlineLevel="0" collapsed="false">
      <c r="A941" s="1932"/>
      <c r="B941" s="1947" t="s">
        <v>1547</v>
      </c>
      <c r="C941" s="1948" t="s">
        <v>2807</v>
      </c>
      <c r="D941" s="1948" t="s">
        <v>551</v>
      </c>
      <c r="E941" s="1949" t="s">
        <v>2806</v>
      </c>
      <c r="F941" s="1950" t="n">
        <v>1.2</v>
      </c>
      <c r="G941" s="1950"/>
      <c r="H941" s="1950"/>
      <c r="I941" s="1951" t="s">
        <v>2808</v>
      </c>
    </row>
    <row r="942" customFormat="false" ht="12.75" hidden="false" customHeight="true" outlineLevel="0" collapsed="false">
      <c r="A942" s="1952" t="s">
        <v>2809</v>
      </c>
      <c r="B942" s="1953" t="s">
        <v>1549</v>
      </c>
      <c r="C942" s="1954" t="n">
        <f aca="false">J506</f>
        <v>0</v>
      </c>
      <c r="D942" s="1955" t="s">
        <v>1552</v>
      </c>
      <c r="E942" s="1936" t="s">
        <v>2806</v>
      </c>
      <c r="F942" s="1937" t="n">
        <v>2500</v>
      </c>
      <c r="G942" s="1937"/>
      <c r="H942" s="1937"/>
      <c r="I942" s="1944" t="n">
        <f aca="false">C942*F942</f>
        <v>0</v>
      </c>
    </row>
    <row r="943" customFormat="false" ht="25.5" hidden="false" customHeight="true" outlineLevel="0" collapsed="false">
      <c r="A943" s="1952"/>
      <c r="B943" s="1956" t="s">
        <v>1551</v>
      </c>
      <c r="C943" s="1954"/>
      <c r="D943" s="1955"/>
      <c r="E943" s="1942" t="s">
        <v>2810</v>
      </c>
      <c r="F943" s="1957"/>
      <c r="G943" s="1958" t="s">
        <v>2811</v>
      </c>
      <c r="H943" s="1945" t="n">
        <v>81</v>
      </c>
      <c r="I943" s="1944" t="n">
        <f aca="false">C942*F943*H943</f>
        <v>0</v>
      </c>
    </row>
    <row r="944" customFormat="false" ht="13.5" hidden="false" customHeight="true" outlineLevel="0" collapsed="false">
      <c r="A944" s="1952"/>
      <c r="B944" s="1959" t="s">
        <v>1554</v>
      </c>
      <c r="C944" s="1954"/>
      <c r="D944" s="1955"/>
      <c r="E944" s="1960" t="s">
        <v>2810</v>
      </c>
      <c r="F944" s="1961"/>
      <c r="G944" s="1958"/>
      <c r="H944" s="1962" t="n">
        <v>0.6</v>
      </c>
      <c r="I944" s="1944" t="n">
        <f aca="false">C942*F944*H944</f>
        <v>0</v>
      </c>
    </row>
    <row r="945" customFormat="false" ht="25.5" hidden="false" customHeight="true" outlineLevel="0" collapsed="false">
      <c r="A945" s="1963" t="s">
        <v>2812</v>
      </c>
      <c r="B945" s="1964" t="s">
        <v>1557</v>
      </c>
      <c r="C945" s="1965" t="n">
        <f aca="false">J506</f>
        <v>0</v>
      </c>
      <c r="D945" s="1966" t="s">
        <v>1552</v>
      </c>
      <c r="E945" s="1967" t="s">
        <v>2810</v>
      </c>
      <c r="F945" s="1968"/>
      <c r="G945" s="1969" t="s">
        <v>2811</v>
      </c>
      <c r="H945" s="1970" t="n">
        <v>47</v>
      </c>
      <c r="I945" s="1938" t="n">
        <f aca="false">C945*F945*H945</f>
        <v>0</v>
      </c>
    </row>
    <row r="946" customFormat="false" ht="12.75" hidden="false" customHeight="true" outlineLevel="0" collapsed="false">
      <c r="A946" s="1963"/>
      <c r="B946" s="1971" t="s">
        <v>1554</v>
      </c>
      <c r="C946" s="1965"/>
      <c r="D946" s="1966"/>
      <c r="E946" s="1942" t="s">
        <v>2813</v>
      </c>
      <c r="F946" s="1957"/>
      <c r="G946" s="1969"/>
      <c r="H946" s="1945" t="n">
        <v>53</v>
      </c>
      <c r="I946" s="1944" t="n">
        <f aca="false">C945*F946*H946</f>
        <v>0</v>
      </c>
    </row>
    <row r="947" customFormat="false" ht="26.25" hidden="false" customHeight="true" outlineLevel="0" collapsed="false">
      <c r="A947" s="1963"/>
      <c r="B947" s="1972" t="s">
        <v>1545</v>
      </c>
      <c r="C947" s="1973" t="s">
        <v>2807</v>
      </c>
      <c r="D947" s="1974" t="s">
        <v>1558</v>
      </c>
      <c r="E947" s="1936" t="s">
        <v>2806</v>
      </c>
      <c r="F947" s="1937" t="n">
        <v>5</v>
      </c>
      <c r="G947" s="1937"/>
      <c r="H947" s="1937"/>
      <c r="I947" s="1951" t="s">
        <v>2808</v>
      </c>
    </row>
    <row r="948" customFormat="false" ht="13.5" hidden="false" customHeight="true" outlineLevel="0" collapsed="false">
      <c r="A948" s="1975" t="s">
        <v>2814</v>
      </c>
      <c r="B948" s="1975"/>
      <c r="C948" s="1975"/>
      <c r="D948" s="1975"/>
      <c r="E948" s="1975"/>
      <c r="F948" s="1975"/>
      <c r="G948" s="1975"/>
      <c r="H948" s="1975"/>
      <c r="I948" s="1976" t="e">
        <f aca="false">SUM(I937:I947)</f>
        <v>#VALUE!</v>
      </c>
    </row>
    <row r="949" customFormat="false" ht="39" hidden="false" customHeight="true" outlineLevel="0" collapsed="false">
      <c r="A949" s="1977" t="s">
        <v>1560</v>
      </c>
      <c r="B949" s="1978" t="s">
        <v>1561</v>
      </c>
      <c r="C949" s="1979" t="n">
        <f aca="false">F449</f>
        <v>0.68649885583524</v>
      </c>
      <c r="D949" s="1978" t="s">
        <v>94</v>
      </c>
      <c r="E949" s="1980" t="s">
        <v>2806</v>
      </c>
      <c r="F949" s="1981" t="n">
        <v>1835</v>
      </c>
      <c r="G949" s="1981"/>
      <c r="H949" s="1981"/>
      <c r="I949" s="1938" t="n">
        <f aca="false">C949*F949</f>
        <v>1259.72540045767</v>
      </c>
    </row>
    <row r="950" customFormat="false" ht="26.25" hidden="false" customHeight="true" outlineLevel="0" collapsed="false">
      <c r="A950" s="1977"/>
      <c r="B950" s="1978" t="s">
        <v>1562</v>
      </c>
      <c r="C950" s="1979" t="str">
        <f aca="false">D850</f>
        <v>T</v>
      </c>
      <c r="D950" s="1978" t="s">
        <v>1563</v>
      </c>
      <c r="E950" s="1980" t="s">
        <v>2806</v>
      </c>
      <c r="F950" s="1982" t="n">
        <v>4.6</v>
      </c>
      <c r="G950" s="1982"/>
      <c r="H950" s="1982"/>
      <c r="I950" s="1944" t="e">
        <f aca="false">C950*F950</f>
        <v>#VALUE!</v>
      </c>
    </row>
    <row r="951" customFormat="false" ht="12.75" hidden="false" customHeight="true" outlineLevel="0" collapsed="false">
      <c r="A951" s="1977"/>
      <c r="B951" s="1983" t="s">
        <v>1564</v>
      </c>
      <c r="C951" s="1984"/>
      <c r="D951" s="1983" t="s">
        <v>1565</v>
      </c>
      <c r="E951" s="1985" t="s">
        <v>2815</v>
      </c>
      <c r="F951" s="1982" t="n">
        <v>500</v>
      </c>
      <c r="G951" s="1982"/>
      <c r="H951" s="1982"/>
      <c r="I951" s="1944" t="n">
        <f aca="false">C951*F951</f>
        <v>0</v>
      </c>
    </row>
    <row r="952" customFormat="false" ht="13.5" hidden="false" customHeight="true" outlineLevel="0" collapsed="false">
      <c r="A952" s="1977"/>
      <c r="B952" s="1983"/>
      <c r="C952" s="1984"/>
      <c r="D952" s="1983"/>
      <c r="E952" s="1985"/>
      <c r="F952" s="1982"/>
      <c r="G952" s="1982"/>
      <c r="H952" s="1982"/>
      <c r="I952" s="1944"/>
    </row>
    <row r="953" customFormat="false" ht="13.5" hidden="false" customHeight="true" outlineLevel="0" collapsed="false">
      <c r="A953" s="1930" t="s">
        <v>2816</v>
      </c>
      <c r="B953" s="1930"/>
      <c r="C953" s="1930"/>
      <c r="D953" s="1930"/>
      <c r="E953" s="1930"/>
      <c r="F953" s="1930"/>
      <c r="G953" s="1930"/>
      <c r="H953" s="1930"/>
      <c r="I953" s="1986" t="e">
        <f aca="false">SUM(I949:I952)</f>
        <v>#VALUE!</v>
      </c>
    </row>
    <row r="955" customFormat="false" ht="12.75" hidden="false" customHeight="true" outlineLevel="0" collapsed="false">
      <c r="A955" s="0" t="s">
        <v>2817</v>
      </c>
    </row>
  </sheetData>
  <mergeCells count="173">
    <mergeCell ref="S155:Y155"/>
    <mergeCell ref="T157:T158"/>
    <mergeCell ref="U157:X157"/>
    <mergeCell ref="S163:Y163"/>
    <mergeCell ref="T165:T166"/>
    <mergeCell ref="U165:Y165"/>
    <mergeCell ref="S174:Y174"/>
    <mergeCell ref="B176:H176"/>
    <mergeCell ref="B177:H177"/>
    <mergeCell ref="B178:H178"/>
    <mergeCell ref="A183:A184"/>
    <mergeCell ref="B183:B184"/>
    <mergeCell ref="C183:C184"/>
    <mergeCell ref="D183:E184"/>
    <mergeCell ref="F183:F184"/>
    <mergeCell ref="G183:G184"/>
    <mergeCell ref="D187:D189"/>
    <mergeCell ref="E187:E189"/>
    <mergeCell ref="F187:F189"/>
    <mergeCell ref="D191:D192"/>
    <mergeCell ref="E191:E192"/>
    <mergeCell ref="F191:F192"/>
    <mergeCell ref="B226:B227"/>
    <mergeCell ref="C226:C227"/>
    <mergeCell ref="D226:D227"/>
    <mergeCell ref="B233:B234"/>
    <mergeCell ref="C233:C234"/>
    <mergeCell ref="D233:D234"/>
    <mergeCell ref="G309:G312"/>
    <mergeCell ref="G314:G316"/>
    <mergeCell ref="G318:G319"/>
    <mergeCell ref="G320:G321"/>
    <mergeCell ref="G322:G332"/>
    <mergeCell ref="A392:A393"/>
    <mergeCell ref="B392:C393"/>
    <mergeCell ref="D392:D393"/>
    <mergeCell ref="E392:G392"/>
    <mergeCell ref="A437:A438"/>
    <mergeCell ref="B437:C438"/>
    <mergeCell ref="D437:D438"/>
    <mergeCell ref="E437:G437"/>
    <mergeCell ref="A488:A489"/>
    <mergeCell ref="B488:C489"/>
    <mergeCell ref="D488:D489"/>
    <mergeCell ref="E488:G488"/>
    <mergeCell ref="B517:C517"/>
    <mergeCell ref="A533:A539"/>
    <mergeCell ref="B533:C534"/>
    <mergeCell ref="D533:F533"/>
    <mergeCell ref="B539:C539"/>
    <mergeCell ref="A541:A567"/>
    <mergeCell ref="B541:B542"/>
    <mergeCell ref="C541:C542"/>
    <mergeCell ref="D541:F541"/>
    <mergeCell ref="B545:C545"/>
    <mergeCell ref="B548:B549"/>
    <mergeCell ref="C548:C549"/>
    <mergeCell ref="D548:F548"/>
    <mergeCell ref="B552:C552"/>
    <mergeCell ref="B555:B556"/>
    <mergeCell ref="C555:C556"/>
    <mergeCell ref="D555:F555"/>
    <mergeCell ref="B559:C559"/>
    <mergeCell ref="B562:B563"/>
    <mergeCell ref="C562:C563"/>
    <mergeCell ref="D562:F562"/>
    <mergeCell ref="B566:C566"/>
    <mergeCell ref="H568:H576"/>
    <mergeCell ref="A569:A574"/>
    <mergeCell ref="B569:B570"/>
    <mergeCell ref="C569:C570"/>
    <mergeCell ref="D569:F569"/>
    <mergeCell ref="B573:C573"/>
    <mergeCell ref="A576:A588"/>
    <mergeCell ref="B576:B577"/>
    <mergeCell ref="C576:C577"/>
    <mergeCell ref="D576:F576"/>
    <mergeCell ref="H577:H580"/>
    <mergeCell ref="B580:C580"/>
    <mergeCell ref="H581:H584"/>
    <mergeCell ref="B582:B583"/>
    <mergeCell ref="C582:C583"/>
    <mergeCell ref="D582:F582"/>
    <mergeCell ref="B586:B587"/>
    <mergeCell ref="C586:C587"/>
    <mergeCell ref="D586:F586"/>
    <mergeCell ref="A590:A595"/>
    <mergeCell ref="B590:B591"/>
    <mergeCell ref="C590:C591"/>
    <mergeCell ref="D590:F590"/>
    <mergeCell ref="B592:C592"/>
    <mergeCell ref="B593:C593"/>
    <mergeCell ref="B594:C594"/>
    <mergeCell ref="B595:C595"/>
    <mergeCell ref="A597:A605"/>
    <mergeCell ref="B597:B598"/>
    <mergeCell ref="C597:C598"/>
    <mergeCell ref="D597:F597"/>
    <mergeCell ref="B602:B603"/>
    <mergeCell ref="C602:C603"/>
    <mergeCell ref="D602:F602"/>
    <mergeCell ref="B604:C604"/>
    <mergeCell ref="A607:A618"/>
    <mergeCell ref="B607:B608"/>
    <mergeCell ref="C607:C608"/>
    <mergeCell ref="D607:F607"/>
    <mergeCell ref="B613:C613"/>
    <mergeCell ref="B616:B617"/>
    <mergeCell ref="C616:C617"/>
    <mergeCell ref="D616:F616"/>
    <mergeCell ref="A620:A627"/>
    <mergeCell ref="B620:B621"/>
    <mergeCell ref="C620:C621"/>
    <mergeCell ref="D620:F620"/>
    <mergeCell ref="B626:C626"/>
    <mergeCell ref="A629:A645"/>
    <mergeCell ref="B629:B630"/>
    <mergeCell ref="C629:C630"/>
    <mergeCell ref="D629:F629"/>
    <mergeCell ref="B636:C636"/>
    <mergeCell ref="B638:B639"/>
    <mergeCell ref="C638:C639"/>
    <mergeCell ref="D638:F638"/>
    <mergeCell ref="B643:B644"/>
    <mergeCell ref="C643:C644"/>
    <mergeCell ref="D643:F643"/>
    <mergeCell ref="A647:A653"/>
    <mergeCell ref="B647:B648"/>
    <mergeCell ref="C647:C648"/>
    <mergeCell ref="D647:F647"/>
    <mergeCell ref="B705:B718"/>
    <mergeCell ref="B721:B734"/>
    <mergeCell ref="B748:D748"/>
    <mergeCell ref="A805:A806"/>
    <mergeCell ref="B805:C806"/>
    <mergeCell ref="D805:D806"/>
    <mergeCell ref="E805:G805"/>
    <mergeCell ref="A854:A855"/>
    <mergeCell ref="B854:C855"/>
    <mergeCell ref="D854:D855"/>
    <mergeCell ref="E854:G854"/>
    <mergeCell ref="A905:A906"/>
    <mergeCell ref="B905:C906"/>
    <mergeCell ref="D905:D906"/>
    <mergeCell ref="E905:G905"/>
    <mergeCell ref="E936:H936"/>
    <mergeCell ref="A937:A941"/>
    <mergeCell ref="F937:H937"/>
    <mergeCell ref="F938:H938"/>
    <mergeCell ref="F939:H939"/>
    <mergeCell ref="F940:H940"/>
    <mergeCell ref="F941:H941"/>
    <mergeCell ref="A942:A944"/>
    <mergeCell ref="C942:C944"/>
    <mergeCell ref="D942:D944"/>
    <mergeCell ref="F942:H942"/>
    <mergeCell ref="G943:G944"/>
    <mergeCell ref="A945:A947"/>
    <mergeCell ref="C945:C946"/>
    <mergeCell ref="D945:D946"/>
    <mergeCell ref="G945:G946"/>
    <mergeCell ref="F947:H947"/>
    <mergeCell ref="A948:H948"/>
    <mergeCell ref="A949:A952"/>
    <mergeCell ref="F949:H949"/>
    <mergeCell ref="F950:H950"/>
    <mergeCell ref="B951:B952"/>
    <mergeCell ref="C951:C952"/>
    <mergeCell ref="D951:D952"/>
    <mergeCell ref="E951:E952"/>
    <mergeCell ref="F951:H952"/>
    <mergeCell ref="I951:I952"/>
    <mergeCell ref="A953:H95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8.xml><?xml version="1.0" encoding="utf-8"?>
<worksheet xmlns="http://schemas.openxmlformats.org/spreadsheetml/2006/main" xmlns:r="http://schemas.openxmlformats.org/officeDocument/2006/relationships">
  <sheetPr filterMode="false">
    <tabColor rgb="FF99CC00"/>
    <pageSetUpPr fitToPage="false"/>
  </sheetPr>
  <dimension ref="A1:X27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265" activeCellId="0" sqref="F265"/>
    </sheetView>
  </sheetViews>
  <sheetFormatPr defaultRowHeight="12.75" zeroHeight="false" outlineLevelRow="0" outlineLevelCol="0"/>
  <cols>
    <col collapsed="false" customWidth="true" hidden="false" outlineLevel="0" max="1" min="1" style="1987" width="10.69"/>
    <col collapsed="false" customWidth="true" hidden="false" outlineLevel="0" max="6" min="2" style="0" width="10.69"/>
    <col collapsed="false" customWidth="true" hidden="false" outlineLevel="0" max="7" min="7" style="0" width="11.69"/>
    <col collapsed="false" customWidth="true" hidden="false" outlineLevel="0" max="10" min="8" style="0" width="10.69"/>
    <col collapsed="false" customWidth="true" hidden="false" outlineLevel="0" max="11" min="11" style="0" width="14.12"/>
    <col collapsed="false" customWidth="true" hidden="false" outlineLevel="0" max="12" min="12" style="0" width="3.84"/>
    <col collapsed="false" customWidth="true" hidden="false" outlineLevel="0" max="13" min="13" style="0" width="3.57"/>
    <col collapsed="false" customWidth="true" hidden="false" outlineLevel="0" max="14" min="14" style="0" width="21.82"/>
    <col collapsed="false" customWidth="true" hidden="false" outlineLevel="0" max="15" min="15" style="0" width="12.98"/>
    <col collapsed="false" customWidth="true" hidden="false" outlineLevel="0" max="16" min="16" style="0" width="11.98"/>
    <col collapsed="false" customWidth="true" hidden="false" outlineLevel="0" max="17" min="17" style="0" width="11.4"/>
    <col collapsed="false" customWidth="true" hidden="false" outlineLevel="0" max="1025" min="18" style="0" width="10.69"/>
  </cols>
  <sheetData>
    <row r="1" customFormat="false" ht="60" hidden="false" customHeight="true" outlineLevel="0" collapsed="false">
      <c r="A1" s="1988" t="s">
        <v>2818</v>
      </c>
      <c r="B1" s="1988"/>
      <c r="C1" s="1988"/>
      <c r="D1" s="1988"/>
      <c r="E1" s="1988"/>
      <c r="F1" s="1988"/>
      <c r="G1" s="1988"/>
      <c r="H1" s="1988"/>
      <c r="I1" s="1988"/>
      <c r="J1" s="1988"/>
      <c r="K1" s="1988"/>
    </row>
    <row r="2" customFormat="false" ht="15.75" hidden="false" customHeight="true" outlineLevel="0" collapsed="false">
      <c r="A2" s="1989"/>
      <c r="B2" s="1990"/>
      <c r="C2" s="1990"/>
    </row>
    <row r="3" customFormat="false" ht="15.75" hidden="false" customHeight="true" outlineLevel="0" collapsed="false">
      <c r="A3" s="1991" t="s">
        <v>2819</v>
      </c>
      <c r="B3" s="1992" t="s">
        <v>471</v>
      </c>
      <c r="C3" s="1993" t="s">
        <v>2820</v>
      </c>
      <c r="D3" s="1993"/>
      <c r="E3" s="1993"/>
      <c r="F3" s="1993"/>
      <c r="G3" s="1993"/>
      <c r="H3" s="1993"/>
      <c r="I3" s="1994" t="s">
        <v>2821</v>
      </c>
      <c r="J3" s="1995"/>
      <c r="K3" s="1996" t="n">
        <f aca="false">MIN(20,SUM(I6,I69,I45,I22,I85))</f>
        <v>8</v>
      </c>
    </row>
    <row r="4" customFormat="false" ht="15.75" hidden="false" customHeight="true" outlineLevel="0" collapsed="false">
      <c r="A4" s="1991"/>
      <c r="B4" s="1997"/>
      <c r="C4" s="931"/>
      <c r="D4" s="931"/>
      <c r="E4" s="931"/>
      <c r="F4" s="931"/>
      <c r="G4" s="931"/>
      <c r="H4" s="931"/>
      <c r="I4" s="931"/>
      <c r="J4" s="1998"/>
      <c r="K4" s="1996"/>
      <c r="S4" s="1259"/>
      <c r="T4" s="1259"/>
      <c r="U4" s="1999"/>
    </row>
    <row r="5" customFormat="false" ht="25.5" hidden="false" customHeight="true" outlineLevel="0" collapsed="false">
      <c r="A5" s="1991"/>
      <c r="B5" s="1997"/>
      <c r="C5" s="2000" t="s">
        <v>2822</v>
      </c>
      <c r="D5" s="2000"/>
      <c r="E5" s="2000"/>
      <c r="F5" s="2000"/>
      <c r="G5" s="2000"/>
      <c r="H5" s="2001" t="s">
        <v>2823</v>
      </c>
      <c r="I5" s="1810" t="s">
        <v>2824</v>
      </c>
      <c r="J5" s="1998"/>
      <c r="K5" s="1996"/>
      <c r="N5" s="1763" t="s">
        <v>2825</v>
      </c>
      <c r="O5" s="2002" t="s">
        <v>2826</v>
      </c>
      <c r="P5" s="2002" t="s">
        <v>1259</v>
      </c>
      <c r="Q5" s="2003" t="s">
        <v>2827</v>
      </c>
      <c r="R5" s="2004" t="s">
        <v>2828</v>
      </c>
      <c r="S5" s="935"/>
      <c r="T5" s="935"/>
      <c r="U5" s="1999"/>
    </row>
    <row r="6" customFormat="false" ht="15.75" hidden="false" customHeight="true" outlineLevel="0" collapsed="false">
      <c r="A6" s="1991"/>
      <c r="B6" s="1997"/>
      <c r="C6" s="2005" t="s">
        <v>2829</v>
      </c>
      <c r="D6" s="2005"/>
      <c r="E6" s="2005"/>
      <c r="F6" s="2005"/>
      <c r="G6" s="2006" t="n">
        <f aca="false">ROUND(F8*F9+F11*F14,0)</f>
        <v>3</v>
      </c>
      <c r="H6" s="2007" t="n">
        <f aca="false">IF(G15=4,4,G6+G15)</f>
        <v>3</v>
      </c>
      <c r="I6" s="2008" t="n">
        <f aca="false">MIN(5,H6)</f>
        <v>3</v>
      </c>
      <c r="J6" s="1998"/>
      <c r="K6" s="1996"/>
      <c r="N6" s="1810" t="s">
        <v>2830</v>
      </c>
      <c r="O6" s="1763" t="n">
        <v>0</v>
      </c>
      <c r="P6" s="1763" t="n">
        <v>1</v>
      </c>
      <c r="Q6" s="2009" t="n">
        <v>2</v>
      </c>
      <c r="R6" s="2010" t="n">
        <v>3</v>
      </c>
      <c r="S6" s="935"/>
      <c r="T6" s="935"/>
      <c r="U6" s="1999"/>
    </row>
    <row r="7" customFormat="false" ht="15.75" hidden="false" customHeight="true" outlineLevel="0" collapsed="false">
      <c r="A7" s="1991"/>
      <c r="B7" s="1997"/>
      <c r="C7" s="2011"/>
      <c r="D7" s="2012" t="s">
        <v>2831</v>
      </c>
      <c r="E7" s="2012"/>
      <c r="F7" s="2012"/>
      <c r="G7" s="2006"/>
      <c r="H7" s="2007"/>
      <c r="I7" s="2008"/>
      <c r="J7" s="1998"/>
      <c r="K7" s="1996"/>
      <c r="S7" s="935"/>
      <c r="T7" s="935"/>
      <c r="U7" s="1999"/>
    </row>
    <row r="8" customFormat="false" ht="15.75" hidden="false" customHeight="true" outlineLevel="0" collapsed="false">
      <c r="A8" s="1991"/>
      <c r="B8" s="1997"/>
      <c r="C8" s="2013"/>
      <c r="D8" s="2014"/>
      <c r="E8" s="650" t="s">
        <v>2832</v>
      </c>
      <c r="F8" s="2015" t="n">
        <f aca="false">'Saisie et Calculateur'!J391</f>
        <v>3</v>
      </c>
      <c r="G8" s="2006"/>
      <c r="H8" s="2007"/>
      <c r="I8" s="2008"/>
      <c r="J8" s="1998"/>
      <c r="K8" s="1996"/>
      <c r="N8" s="1538"/>
      <c r="O8" s="1999"/>
      <c r="P8" s="1999"/>
      <c r="Q8" s="1999"/>
      <c r="S8" s="935"/>
      <c r="T8" s="935"/>
      <c r="U8" s="1999"/>
    </row>
    <row r="9" customFormat="false" ht="15.75" hidden="false" customHeight="true" outlineLevel="0" collapsed="false">
      <c r="A9" s="1991"/>
      <c r="B9" s="1997"/>
      <c r="C9" s="2013"/>
      <c r="D9" s="650" t="s">
        <v>2833</v>
      </c>
      <c r="E9" s="650"/>
      <c r="F9" s="2016" t="n">
        <f aca="false">O12</f>
        <v>1</v>
      </c>
      <c r="G9" s="2006"/>
      <c r="H9" s="2007"/>
      <c r="I9" s="2008"/>
      <c r="J9" s="1998"/>
      <c r="K9" s="1996"/>
      <c r="N9" s="1538"/>
      <c r="O9" s="2017" t="s">
        <v>2831</v>
      </c>
      <c r="P9" s="2017"/>
      <c r="Q9" s="2017" t="s">
        <v>2834</v>
      </c>
      <c r="S9" s="935"/>
      <c r="T9" s="935"/>
      <c r="U9" s="1999"/>
    </row>
    <row r="10" customFormat="false" ht="15.75" hidden="false" customHeight="true" outlineLevel="0" collapsed="false">
      <c r="A10" s="1991"/>
      <c r="B10" s="1997"/>
      <c r="C10" s="2011"/>
      <c r="D10" s="2018" t="s">
        <v>100</v>
      </c>
      <c r="E10" s="2018"/>
      <c r="F10" s="2018"/>
      <c r="G10" s="2006"/>
      <c r="H10" s="2007"/>
      <c r="I10" s="2008"/>
      <c r="J10" s="1998"/>
      <c r="K10" s="1996"/>
      <c r="N10" s="1538"/>
      <c r="O10" s="2017"/>
      <c r="P10" s="2017"/>
      <c r="Q10" s="2017"/>
      <c r="S10" s="935"/>
      <c r="T10" s="935"/>
      <c r="U10" s="1999"/>
    </row>
    <row r="11" customFormat="false" ht="15.75" hidden="false" customHeight="true" outlineLevel="0" collapsed="false">
      <c r="A11" s="1991"/>
      <c r="B11" s="1997"/>
      <c r="C11" s="2019"/>
      <c r="D11" s="650" t="str">
        <f aca="false">'Saisie et Calculateur'!H394</f>
        <v>2 ou 3 familles</v>
      </c>
      <c r="E11" s="650" t="n">
        <f aca="false">IF(D11=O5,O6,IF(D11=P5,P6,IF(D11=Q5,Q6,IF(D11=R5,R6,"Erreur"))))</f>
        <v>1</v>
      </c>
      <c r="F11" s="2020" t="n">
        <f aca="false">MIN(5,SUM(E11:E13))</f>
        <v>1</v>
      </c>
      <c r="G11" s="2006"/>
      <c r="H11" s="2007"/>
      <c r="I11" s="2008"/>
      <c r="J11" s="1998"/>
      <c r="K11" s="1996"/>
      <c r="N11" s="2017" t="s">
        <v>459</v>
      </c>
      <c r="O11" s="2021" t="n">
        <f aca="false">SUM('Saisie et Calculateur'!B25:B26,'Saisie et Calculateur'!B28:B29)</f>
        <v>76</v>
      </c>
      <c r="P11" s="2021"/>
      <c r="Q11" s="2022" t="n">
        <f aca="false">'Saisie et Calculateur'!B30</f>
        <v>0</v>
      </c>
      <c r="S11" s="935"/>
      <c r="T11" s="935"/>
      <c r="U11" s="1999"/>
    </row>
    <row r="12" customFormat="false" ht="15.75" hidden="false" customHeight="true" outlineLevel="0" collapsed="false">
      <c r="A12" s="1991"/>
      <c r="B12" s="1997"/>
      <c r="C12" s="2019" t="s">
        <v>2835</v>
      </c>
      <c r="D12" s="2019"/>
      <c r="E12" s="650" t="n">
        <f aca="false">IF('Saisie et Calculateur'!H396="oui",2,0)</f>
        <v>0</v>
      </c>
      <c r="F12" s="2020"/>
      <c r="G12" s="2006"/>
      <c r="H12" s="2007"/>
      <c r="I12" s="2008"/>
      <c r="J12" s="1998"/>
      <c r="K12" s="1996"/>
      <c r="N12" s="2010" t="s">
        <v>2836</v>
      </c>
      <c r="O12" s="2023" t="n">
        <f aca="false">O11/('Saisie et Calculateur'!B24-'Saisie et Calculateur'!B27-'Saisie et Calculateur'!B32)</f>
        <v>1</v>
      </c>
      <c r="P12" s="2023"/>
      <c r="Q12" s="2024" t="n">
        <f aca="false">Q11/('Saisie et Calculateur'!B24-'Saisie et Calculateur'!B27-'Saisie et Calculateur'!B32)</f>
        <v>0</v>
      </c>
      <c r="S12" s="935"/>
      <c r="T12" s="935"/>
      <c r="U12" s="1999"/>
    </row>
    <row r="13" customFormat="false" ht="15.75" hidden="false" customHeight="true" outlineLevel="0" collapsed="false">
      <c r="A13" s="1991"/>
      <c r="B13" s="1997"/>
      <c r="C13" s="2025"/>
      <c r="D13" s="650" t="s">
        <v>2837</v>
      </c>
      <c r="E13" s="650" t="n">
        <f aca="false">IF('Saisie et Calculateur'!H398="oui",1,0)</f>
        <v>0</v>
      </c>
      <c r="F13" s="2020"/>
      <c r="G13" s="2006"/>
      <c r="H13" s="2007"/>
      <c r="I13" s="2008"/>
      <c r="J13" s="1998"/>
      <c r="K13" s="1996"/>
      <c r="R13" s="1999"/>
      <c r="S13" s="935"/>
      <c r="T13" s="935"/>
      <c r="U13" s="1999"/>
    </row>
    <row r="14" customFormat="false" ht="15.75" hidden="false" customHeight="true" outlineLevel="0" collapsed="false">
      <c r="A14" s="1991"/>
      <c r="B14" s="1997"/>
      <c r="C14" s="2013"/>
      <c r="D14" s="650" t="s">
        <v>2833</v>
      </c>
      <c r="E14" s="650"/>
      <c r="F14" s="2016" t="n">
        <f aca="false">Q12</f>
        <v>0</v>
      </c>
      <c r="G14" s="2006"/>
      <c r="H14" s="2007"/>
      <c r="I14" s="2008"/>
      <c r="J14" s="1998"/>
      <c r="K14" s="1996"/>
      <c r="N14" s="1763" t="s">
        <v>2838</v>
      </c>
      <c r="O14" s="2026" t="n">
        <v>0.2</v>
      </c>
      <c r="P14" s="2026" t="n">
        <v>0.5</v>
      </c>
      <c r="Q14" s="2026" t="n">
        <v>0.9</v>
      </c>
      <c r="R14" s="1999"/>
      <c r="S14" s="935"/>
      <c r="T14" s="935"/>
      <c r="U14" s="1999"/>
    </row>
    <row r="15" customFormat="false" ht="15" hidden="false" customHeight="true" outlineLevel="0" collapsed="false">
      <c r="A15" s="1991"/>
      <c r="B15" s="1997"/>
      <c r="C15" s="2027" t="s">
        <v>2839</v>
      </c>
      <c r="D15" s="2027"/>
      <c r="E15" s="2027"/>
      <c r="F15" s="2027"/>
      <c r="G15" s="2028" t="n">
        <f aca="false">IF(E16&gt;Q14,Q15,IF(E16&gt;P14,P15,IF(E16&gt;O14,O15,0)))</f>
        <v>0</v>
      </c>
      <c r="H15" s="2007"/>
      <c r="I15" s="2008"/>
      <c r="J15" s="1998"/>
      <c r="K15" s="1996"/>
      <c r="M15" s="1999"/>
      <c r="N15" s="1810" t="s">
        <v>2840</v>
      </c>
      <c r="O15" s="1763" t="n">
        <v>1</v>
      </c>
      <c r="P15" s="1763" t="n">
        <v>2</v>
      </c>
      <c r="Q15" s="1763" t="n">
        <v>4</v>
      </c>
      <c r="R15" s="1999"/>
      <c r="S15" s="1999"/>
      <c r="T15" s="1999"/>
      <c r="U15" s="1999"/>
    </row>
    <row r="16" customFormat="false" ht="15.75" hidden="false" customHeight="true" outlineLevel="0" collapsed="false">
      <c r="A16" s="1991"/>
      <c r="B16" s="1997"/>
      <c r="C16" s="2029"/>
      <c r="D16" s="2030" t="s">
        <v>1130</v>
      </c>
      <c r="E16" s="2031" t="n">
        <f aca="false">'Saisie et Calculateur'!D402</f>
        <v>0.012987012987013</v>
      </c>
      <c r="F16" s="2032"/>
      <c r="G16" s="2028"/>
      <c r="H16" s="2007"/>
      <c r="I16" s="2008"/>
      <c r="J16" s="1998"/>
      <c r="K16" s="1996"/>
      <c r="M16" s="1999"/>
      <c r="P16" s="1999"/>
      <c r="Q16" s="1999"/>
      <c r="R16" s="1999"/>
      <c r="S16" s="1999"/>
      <c r="T16" s="1999"/>
      <c r="U16" s="1999"/>
    </row>
    <row r="17" customFormat="false" ht="12.75" hidden="false" customHeight="true" outlineLevel="0" collapsed="false">
      <c r="A17" s="1991"/>
      <c r="B17" s="1997"/>
      <c r="C17" s="931"/>
      <c r="D17" s="931"/>
      <c r="E17" s="931"/>
      <c r="F17" s="931"/>
      <c r="G17" s="931"/>
      <c r="H17" s="931"/>
      <c r="I17" s="931"/>
      <c r="J17" s="1998"/>
      <c r="K17" s="1996"/>
      <c r="M17" s="1999"/>
      <c r="P17" s="1999"/>
      <c r="Q17" s="1999"/>
      <c r="R17" s="1999"/>
      <c r="U17" s="1999"/>
    </row>
    <row r="18" customFormat="false" ht="14.1" hidden="false" customHeight="true" outlineLevel="0" collapsed="false">
      <c r="A18" s="1991"/>
      <c r="B18" s="1997"/>
      <c r="C18" s="931"/>
      <c r="D18" s="931"/>
      <c r="E18" s="931"/>
      <c r="F18" s="931"/>
      <c r="G18" s="931"/>
      <c r="H18" s="931"/>
      <c r="I18" s="931"/>
      <c r="J18" s="1998"/>
      <c r="K18" s="1996"/>
      <c r="M18" s="1999"/>
      <c r="N18" s="1999"/>
      <c r="O18" s="1999"/>
      <c r="P18" s="1999"/>
      <c r="Q18" s="1999"/>
      <c r="R18" s="1999"/>
      <c r="U18" s="1999"/>
    </row>
    <row r="19" customFormat="false" ht="14.1" hidden="false" customHeight="true" outlineLevel="0" collapsed="false">
      <c r="A19" s="1991"/>
      <c r="B19" s="2033" t="s">
        <v>251</v>
      </c>
      <c r="C19" s="2034" t="s">
        <v>2841</v>
      </c>
      <c r="D19" s="2034"/>
      <c r="E19" s="2034"/>
      <c r="F19" s="2034"/>
      <c r="G19" s="2034"/>
      <c r="H19" s="2034"/>
      <c r="I19" s="2035" t="s">
        <v>2821</v>
      </c>
      <c r="K19" s="1996"/>
      <c r="M19" s="1999"/>
      <c r="N19" s="1999"/>
      <c r="O19" s="1999"/>
      <c r="P19" s="1999"/>
      <c r="Q19" s="1999"/>
      <c r="R19" s="1999"/>
      <c r="U19" s="1999"/>
    </row>
    <row r="20" customFormat="false" ht="14.1" hidden="false" customHeight="true" outlineLevel="0" collapsed="false">
      <c r="A20" s="1991"/>
      <c r="B20" s="1997"/>
      <c r="C20" s="931"/>
      <c r="D20" s="931"/>
      <c r="E20" s="931"/>
      <c r="F20" s="931"/>
      <c r="G20" s="931"/>
      <c r="H20" s="931"/>
      <c r="I20" s="931"/>
      <c r="J20" s="1998"/>
      <c r="K20" s="1996"/>
      <c r="M20" s="1999"/>
      <c r="N20" s="1999"/>
      <c r="O20" s="1999"/>
      <c r="P20" s="1999"/>
      <c r="Q20" s="1999"/>
      <c r="R20" s="1999"/>
      <c r="S20" s="1999"/>
      <c r="T20" s="1999"/>
      <c r="U20" s="1999"/>
    </row>
    <row r="21" customFormat="false" ht="25.5" hidden="false" customHeight="true" outlineLevel="0" collapsed="false">
      <c r="A21" s="1991"/>
      <c r="B21" s="1997"/>
      <c r="C21" s="2000" t="s">
        <v>2822</v>
      </c>
      <c r="D21" s="2000"/>
      <c r="E21" s="2000"/>
      <c r="F21" s="2000"/>
      <c r="G21" s="2000"/>
      <c r="H21" s="2001" t="s">
        <v>2823</v>
      </c>
      <c r="I21" s="1810" t="s">
        <v>2824</v>
      </c>
      <c r="J21" s="1998"/>
      <c r="K21" s="1996"/>
    </row>
    <row r="22" customFormat="false" ht="12.75" hidden="false" customHeight="true" outlineLevel="0" collapsed="false">
      <c r="A22" s="1991"/>
      <c r="B22" s="1997"/>
      <c r="C22" s="2036" t="s">
        <v>2842</v>
      </c>
      <c r="D22" s="2036"/>
      <c r="E22" s="2036"/>
      <c r="F22" s="2036"/>
      <c r="G22" s="2006" t="n">
        <f aca="false">IF(E23="oui",1,0)</f>
        <v>0</v>
      </c>
      <c r="H22" s="2037" t="n">
        <f aca="false">SUM(G22,G35,G24)</f>
        <v>2</v>
      </c>
      <c r="I22" s="2008" t="n">
        <f aca="false">MIN(5,H22)</f>
        <v>2</v>
      </c>
      <c r="J22" s="1998"/>
      <c r="K22" s="1996"/>
    </row>
    <row r="23" customFormat="false" ht="14.1" hidden="false" customHeight="true" outlineLevel="0" collapsed="false">
      <c r="A23" s="1991"/>
      <c r="B23" s="1997"/>
      <c r="C23" s="2027"/>
      <c r="D23" s="2014" t="s">
        <v>2843</v>
      </c>
      <c r="E23" s="2014" t="str">
        <f aca="false">'Saisie et Calculateur'!J407</f>
        <v>non</v>
      </c>
      <c r="F23" s="2014"/>
      <c r="G23" s="2006"/>
      <c r="H23" s="2037"/>
      <c r="I23" s="2008"/>
      <c r="J23" s="1998"/>
      <c r="K23" s="1996"/>
    </row>
    <row r="24" customFormat="false" ht="15" hidden="false" customHeight="true" outlineLevel="0" collapsed="false">
      <c r="A24" s="1991"/>
      <c r="B24" s="1997"/>
      <c r="C24" s="2027" t="s">
        <v>2844</v>
      </c>
      <c r="D24" s="2027"/>
      <c r="E24" s="2027"/>
      <c r="F24" s="2027"/>
      <c r="G24" s="2038" t="n">
        <f aca="false">ROUND(MIN(4,F26+F28+F30+F32+F34),0)</f>
        <v>2</v>
      </c>
      <c r="H24" s="2037"/>
      <c r="I24" s="2008"/>
      <c r="J24" s="1998"/>
      <c r="K24" s="1996"/>
      <c r="N24" s="2039" t="s">
        <v>2845</v>
      </c>
      <c r="O24" s="2039" t="s">
        <v>2846</v>
      </c>
      <c r="P24" s="2039"/>
      <c r="Q24" s="2039" t="s">
        <v>97</v>
      </c>
      <c r="R24" s="2039" t="s">
        <v>98</v>
      </c>
      <c r="S24" s="2039" t="s">
        <v>100</v>
      </c>
    </row>
    <row r="25" customFormat="false" ht="14.1" hidden="false" customHeight="true" outlineLevel="0" collapsed="false">
      <c r="A25" s="1991"/>
      <c r="B25" s="1997"/>
      <c r="C25" s="2040"/>
      <c r="D25" s="1435" t="s">
        <v>2847</v>
      </c>
      <c r="E25" s="1435"/>
      <c r="F25" s="1435"/>
      <c r="G25" s="2038"/>
      <c r="H25" s="2037"/>
      <c r="I25" s="2008"/>
      <c r="J25" s="1998"/>
      <c r="K25" s="1996"/>
      <c r="N25" s="2039" t="s">
        <v>2832</v>
      </c>
      <c r="O25" s="2039" t="n">
        <f aca="false">'Saisie et Calculateur'!I437</f>
        <v>1</v>
      </c>
      <c r="P25" s="2039"/>
      <c r="Q25" s="2039" t="n">
        <f aca="false">'Saisie et Calculateur'!I452</f>
        <v>0</v>
      </c>
      <c r="R25" s="2039" t="n">
        <f aca="false">'Saisie et Calculateur'!I461</f>
        <v>0</v>
      </c>
      <c r="S25" s="2039" t="n">
        <f aca="false">'Saisie et Calculateur'!I468</f>
        <v>0</v>
      </c>
    </row>
    <row r="26" customFormat="false" ht="14.1" hidden="false" customHeight="true" outlineLevel="0" collapsed="false">
      <c r="A26" s="1991"/>
      <c r="B26" s="1997"/>
      <c r="C26" s="2013"/>
      <c r="D26" s="1435" t="s">
        <v>2843</v>
      </c>
      <c r="E26" s="2041" t="str">
        <f aca="false">'Saisie et Calculateur'!F412</f>
        <v>oui</v>
      </c>
      <c r="F26" s="2042" t="n">
        <f aca="false">IF(E26="oui",1,0)</f>
        <v>1</v>
      </c>
      <c r="G26" s="2038"/>
      <c r="H26" s="2037"/>
      <c r="I26" s="2008"/>
      <c r="J26" s="1998"/>
      <c r="K26" s="1996"/>
      <c r="N26" s="2010" t="s">
        <v>2848</v>
      </c>
      <c r="O26" s="2039" t="n">
        <f aca="false">SUM('Saisie et Calculateur'!B25:B26)</f>
        <v>76</v>
      </c>
      <c r="P26" s="2039"/>
      <c r="Q26" s="2039" t="n">
        <f aca="false">'Saisie et Calculateur'!B28</f>
        <v>0</v>
      </c>
      <c r="R26" s="2039" t="n">
        <f aca="false">'Saisie et Calculateur'!B29</f>
        <v>0</v>
      </c>
      <c r="S26" s="2039" t="n">
        <f aca="false">'Saisie et Calculateur'!B30</f>
        <v>0</v>
      </c>
    </row>
    <row r="27" customFormat="false" ht="14.1" hidden="false" customHeight="true" outlineLevel="0" collapsed="false">
      <c r="A27" s="1991"/>
      <c r="B27" s="1997"/>
      <c r="C27" s="2027"/>
      <c r="D27" s="931" t="s">
        <v>2849</v>
      </c>
      <c r="E27" s="931"/>
      <c r="F27" s="931"/>
      <c r="G27" s="2038"/>
      <c r="H27" s="2037"/>
      <c r="I27" s="2008"/>
      <c r="J27" s="1998"/>
      <c r="K27" s="1996"/>
      <c r="N27" s="2039" t="s">
        <v>2850</v>
      </c>
      <c r="O27" s="2043" t="n">
        <f aca="false">O26/('Saisie et Calculateur'!B24-'Saisie et Calculateur'!B27-'Saisie et Calculateur'!B32)</f>
        <v>1</v>
      </c>
      <c r="P27" s="2043"/>
      <c r="Q27" s="2044" t="n">
        <f aca="false">Q26/('Saisie et Calculateur'!B24-'Saisie et Calculateur'!B27-'Saisie et Calculateur'!B32)</f>
        <v>0</v>
      </c>
      <c r="R27" s="2044" t="n">
        <f aca="false">R26/('Saisie et Calculateur'!B24-'Saisie et Calculateur'!B27-'Saisie et Calculateur'!B32)</f>
        <v>0</v>
      </c>
      <c r="S27" s="2043" t="n">
        <f aca="false">S26/('Saisie et Calculateur'!B24-'Saisie et Calculateur'!B27-'Saisie et Calculateur'!B32)</f>
        <v>0</v>
      </c>
    </row>
    <row r="28" customFormat="false" ht="14.1" hidden="false" customHeight="true" outlineLevel="0" collapsed="false">
      <c r="A28" s="1991"/>
      <c r="B28" s="2033"/>
      <c r="C28" s="2027"/>
      <c r="D28" s="1435" t="s">
        <v>2851</v>
      </c>
      <c r="E28" s="1435"/>
      <c r="F28" s="2045" t="n">
        <f aca="false">O25*O27</f>
        <v>1</v>
      </c>
      <c r="G28" s="2038"/>
      <c r="H28" s="2037"/>
      <c r="I28" s="2008"/>
      <c r="J28" s="1998"/>
      <c r="K28" s="1996"/>
    </row>
    <row r="29" customFormat="false" ht="14.1" hidden="false" customHeight="true" outlineLevel="0" collapsed="false">
      <c r="A29" s="1991"/>
      <c r="B29" s="2033"/>
      <c r="C29" s="2011"/>
      <c r="D29" s="1999" t="s">
        <v>97</v>
      </c>
      <c r="E29" s="931"/>
      <c r="F29" s="2046"/>
      <c r="G29" s="2038"/>
      <c r="H29" s="2037"/>
      <c r="I29" s="2008"/>
      <c r="J29" s="1998"/>
      <c r="K29" s="1996"/>
    </row>
    <row r="30" customFormat="false" ht="14.1" hidden="false" customHeight="true" outlineLevel="0" collapsed="false">
      <c r="A30" s="1991"/>
      <c r="B30" s="2033"/>
      <c r="C30" s="2011"/>
      <c r="D30" s="1435" t="s">
        <v>2851</v>
      </c>
      <c r="E30" s="931"/>
      <c r="F30" s="2046" t="n">
        <f aca="false">Q25*Q27</f>
        <v>0</v>
      </c>
      <c r="G30" s="2038"/>
      <c r="H30" s="2037"/>
      <c r="I30" s="2008"/>
      <c r="J30" s="1998"/>
      <c r="K30" s="1996"/>
    </row>
    <row r="31" customFormat="false" ht="14.1" hidden="false" customHeight="true" outlineLevel="0" collapsed="false">
      <c r="A31" s="1991"/>
      <c r="B31" s="2033"/>
      <c r="C31" s="2011"/>
      <c r="D31" s="1999" t="s">
        <v>98</v>
      </c>
      <c r="E31" s="931"/>
      <c r="F31" s="2046"/>
      <c r="G31" s="2038"/>
      <c r="H31" s="2037"/>
      <c r="I31" s="2008"/>
      <c r="J31" s="1998"/>
      <c r="K31" s="1996"/>
    </row>
    <row r="32" customFormat="false" ht="14.1" hidden="false" customHeight="true" outlineLevel="0" collapsed="false">
      <c r="A32" s="1991"/>
      <c r="B32" s="2033"/>
      <c r="C32" s="2011"/>
      <c r="D32" s="1435" t="s">
        <v>2851</v>
      </c>
      <c r="E32" s="931"/>
      <c r="F32" s="2046" t="n">
        <f aca="false">R25*R27</f>
        <v>0</v>
      </c>
      <c r="G32" s="2038"/>
      <c r="H32" s="2037"/>
      <c r="I32" s="2008"/>
      <c r="J32" s="1998"/>
      <c r="K32" s="1996"/>
    </row>
    <row r="33" customFormat="false" ht="14.1" hidden="false" customHeight="true" outlineLevel="0" collapsed="false">
      <c r="A33" s="1991"/>
      <c r="B33" s="2033"/>
      <c r="C33" s="2011"/>
      <c r="D33" s="1999" t="s">
        <v>100</v>
      </c>
      <c r="E33" s="931"/>
      <c r="F33" s="2046"/>
      <c r="G33" s="2038"/>
      <c r="H33" s="2037"/>
      <c r="I33" s="2008"/>
      <c r="J33" s="1998"/>
      <c r="K33" s="1996"/>
    </row>
    <row r="34" customFormat="false" ht="14.1" hidden="false" customHeight="true" outlineLevel="0" collapsed="false">
      <c r="A34" s="1991"/>
      <c r="B34" s="2033"/>
      <c r="C34" s="2027"/>
      <c r="D34" s="1435" t="s">
        <v>2851</v>
      </c>
      <c r="E34" s="2041"/>
      <c r="F34" s="2047" t="n">
        <f aca="false">S25*S27</f>
        <v>0</v>
      </c>
      <c r="G34" s="2038"/>
      <c r="H34" s="2037"/>
      <c r="I34" s="2008"/>
      <c r="J34" s="1998"/>
      <c r="K34" s="1996"/>
    </row>
    <row r="35" customFormat="false" ht="14.1" hidden="false" customHeight="true" outlineLevel="0" collapsed="false">
      <c r="A35" s="1991"/>
      <c r="B35" s="2033"/>
      <c r="C35" s="2027" t="s">
        <v>2852</v>
      </c>
      <c r="D35" s="2027"/>
      <c r="E35" s="2027"/>
      <c r="F35" s="2027"/>
      <c r="G35" s="2048" t="n">
        <f aca="false">IF('Saisie et Calculateur'!F472="oui",MIN(2,F37+F39),0)</f>
        <v>0</v>
      </c>
      <c r="H35" s="2037"/>
      <c r="I35" s="2008"/>
      <c r="J35" s="1998"/>
      <c r="K35" s="1996"/>
      <c r="N35" s="1763" t="s">
        <v>2853</v>
      </c>
      <c r="O35" s="2026" t="n">
        <v>0</v>
      </c>
      <c r="P35" s="2026" t="n">
        <v>0.3</v>
      </c>
      <c r="Q35" s="2026"/>
    </row>
    <row r="36" customFormat="false" ht="14.1" hidden="false" customHeight="true" outlineLevel="0" collapsed="false">
      <c r="A36" s="1991"/>
      <c r="B36" s="2033"/>
      <c r="C36" s="2049"/>
      <c r="D36" s="931" t="s">
        <v>2854</v>
      </c>
      <c r="E36" s="2014"/>
      <c r="F36" s="2014"/>
      <c r="G36" s="2048"/>
      <c r="H36" s="2037"/>
      <c r="I36" s="2008"/>
      <c r="J36" s="1998"/>
      <c r="K36" s="1996"/>
      <c r="N36" s="1763" t="s">
        <v>2855</v>
      </c>
      <c r="O36" s="1763" t="n">
        <v>0</v>
      </c>
      <c r="P36" s="1763" t="n">
        <v>1</v>
      </c>
      <c r="Q36" s="1763" t="n">
        <v>2</v>
      </c>
    </row>
    <row r="37" customFormat="false" ht="14.1" hidden="false" customHeight="true" outlineLevel="0" collapsed="false">
      <c r="A37" s="1991"/>
      <c r="B37" s="2033"/>
      <c r="C37" s="2013"/>
      <c r="D37" s="2014" t="s">
        <v>1130</v>
      </c>
      <c r="E37" s="2050" t="n">
        <f aca="false">'Saisie et Calculateur'!J474</f>
        <v>0</v>
      </c>
      <c r="F37" s="2042" t="n">
        <f aca="false">IF(E37=O35,O36,IF(E37&lt;P35,P36,Q36))</f>
        <v>0</v>
      </c>
      <c r="G37" s="2048"/>
      <c r="H37" s="2037"/>
      <c r="I37" s="2008"/>
      <c r="J37" s="1998"/>
      <c r="K37" s="1996"/>
      <c r="P37" s="2051"/>
    </row>
    <row r="38" customFormat="false" ht="14.1" hidden="false" customHeight="true" outlineLevel="0" collapsed="false">
      <c r="A38" s="1991"/>
      <c r="B38" s="2033"/>
      <c r="C38" s="2027"/>
      <c r="D38" s="1435" t="s">
        <v>2856</v>
      </c>
      <c r="E38" s="2014"/>
      <c r="F38" s="2014"/>
      <c r="G38" s="2048"/>
      <c r="H38" s="2037"/>
      <c r="I38" s="2008"/>
      <c r="J38" s="1998"/>
      <c r="K38" s="1996"/>
      <c r="N38" s="2009" t="s">
        <v>2857</v>
      </c>
      <c r="O38" s="2039" t="s">
        <v>1310</v>
      </c>
      <c r="P38" s="2039"/>
      <c r="Q38" s="2039"/>
      <c r="R38" s="2039" t="s">
        <v>2858</v>
      </c>
      <c r="S38" s="2039"/>
    </row>
    <row r="39" customFormat="false" ht="14.1" hidden="false" customHeight="true" outlineLevel="0" collapsed="false">
      <c r="A39" s="1991"/>
      <c r="B39" s="1997"/>
      <c r="C39" s="2029"/>
      <c r="D39" s="2052" t="str">
        <f aca="false">'Saisie et Calculateur'!J476</f>
        <v>non, critère secondaire ou absent</v>
      </c>
      <c r="E39" s="2052"/>
      <c r="F39" s="2052" t="n">
        <f aca="false">IF(D39=R38,R39,O39)</f>
        <v>0</v>
      </c>
      <c r="G39" s="2048"/>
      <c r="H39" s="2037"/>
      <c r="I39" s="2008"/>
      <c r="J39" s="1998"/>
      <c r="K39" s="1996"/>
      <c r="N39" s="2053" t="s">
        <v>2855</v>
      </c>
      <c r="O39" s="2039" t="n">
        <v>0</v>
      </c>
      <c r="P39" s="2039"/>
      <c r="Q39" s="2039"/>
      <c r="R39" s="2039" t="n">
        <v>1</v>
      </c>
      <c r="S39" s="2039"/>
    </row>
    <row r="40" customFormat="false" ht="14.1" hidden="false" customHeight="true" outlineLevel="0" collapsed="false">
      <c r="A40" s="1991"/>
      <c r="B40" s="1997"/>
      <c r="H40" s="931"/>
      <c r="I40" s="931"/>
      <c r="J40" s="1998"/>
      <c r="K40" s="1996"/>
      <c r="N40" s="1753"/>
      <c r="O40" s="1753"/>
      <c r="P40" s="931"/>
    </row>
    <row r="41" customFormat="false" ht="14.1" hidden="false" customHeight="true" outlineLevel="0" collapsed="false">
      <c r="A41" s="1991"/>
      <c r="B41" s="1997"/>
      <c r="H41" s="931"/>
      <c r="I41" s="931"/>
      <c r="J41" s="1998"/>
      <c r="K41" s="1996"/>
    </row>
    <row r="42" customFormat="false" ht="14.1" hidden="false" customHeight="true" outlineLevel="0" collapsed="false">
      <c r="A42" s="1991"/>
      <c r="B42" s="2033" t="s">
        <v>461</v>
      </c>
      <c r="C42" s="2034" t="s">
        <v>2859</v>
      </c>
      <c r="D42" s="2034"/>
      <c r="E42" s="2034"/>
      <c r="F42" s="2034"/>
      <c r="G42" s="2034"/>
      <c r="H42" s="2034"/>
      <c r="I42" s="2035" t="s">
        <v>2821</v>
      </c>
      <c r="J42" s="1998"/>
      <c r="K42" s="1996"/>
    </row>
    <row r="43" customFormat="false" ht="13.5" hidden="false" customHeight="true" outlineLevel="0" collapsed="false">
      <c r="A43" s="1991"/>
      <c r="B43" s="1997"/>
      <c r="C43" s="931"/>
      <c r="D43" s="931"/>
      <c r="E43" s="931"/>
      <c r="F43" s="931"/>
      <c r="G43" s="931"/>
      <c r="H43" s="931"/>
      <c r="I43" s="931"/>
      <c r="J43" s="1998"/>
      <c r="K43" s="1996"/>
      <c r="S43" s="931"/>
      <c r="T43" s="931"/>
      <c r="U43" s="931"/>
      <c r="V43" s="931"/>
    </row>
    <row r="44" customFormat="false" ht="25.5" hidden="false" customHeight="true" outlineLevel="0" collapsed="false">
      <c r="A44" s="1991"/>
      <c r="B44" s="1997"/>
      <c r="C44" s="2039" t="s">
        <v>2822</v>
      </c>
      <c r="D44" s="2039"/>
      <c r="E44" s="2039"/>
      <c r="F44" s="2039"/>
      <c r="G44" s="2039"/>
      <c r="H44" s="2054" t="s">
        <v>2823</v>
      </c>
      <c r="I44" s="2017" t="s">
        <v>2824</v>
      </c>
      <c r="J44" s="1998"/>
      <c r="K44" s="1996"/>
      <c r="S44" s="931"/>
      <c r="T44" s="931"/>
      <c r="U44" s="931"/>
      <c r="V44" s="931"/>
    </row>
    <row r="45" customFormat="false" ht="13.5" hidden="false" customHeight="true" outlineLevel="0" collapsed="false">
      <c r="A45" s="1991"/>
      <c r="B45" s="1997"/>
      <c r="C45" s="2055" t="s">
        <v>2860</v>
      </c>
      <c r="D45" s="2056"/>
      <c r="E45" s="2056"/>
      <c r="F45" s="2056"/>
      <c r="G45" s="2057" t="n">
        <f aca="false">MIN(5,SUM(F49,F47))</f>
        <v>0</v>
      </c>
      <c r="H45" s="2058" t="n">
        <f aca="false">IF(T63&gt;=0.9,4,ROUND(SUM((G45*O63),(G50*Q63),(G57*S63)),0))</f>
        <v>0</v>
      </c>
      <c r="I45" s="2059" t="n">
        <f aca="false">MIN(5,H45)</f>
        <v>0</v>
      </c>
      <c r="J45" s="1998"/>
      <c r="K45" s="1996"/>
      <c r="S45" s="931"/>
      <c r="U45" s="2060" t="s">
        <v>2861</v>
      </c>
      <c r="V45" s="931"/>
    </row>
    <row r="46" customFormat="false" ht="14.1" hidden="false" customHeight="true" outlineLevel="0" collapsed="false">
      <c r="A46" s="1991"/>
      <c r="B46" s="1997"/>
      <c r="C46" s="2011"/>
      <c r="D46" s="1662" t="s">
        <v>2862</v>
      </c>
      <c r="E46" s="1662"/>
      <c r="F46" s="1662"/>
      <c r="G46" s="2057"/>
      <c r="H46" s="2058"/>
      <c r="I46" s="2059"/>
      <c r="J46" s="1998"/>
      <c r="K46" s="1996"/>
      <c r="N46" s="1597" t="s">
        <v>2863</v>
      </c>
      <c r="O46" s="2026" t="n">
        <v>0.75</v>
      </c>
      <c r="P46" s="2026" t="n">
        <v>0.5</v>
      </c>
      <c r="Q46" s="2026" t="n">
        <v>0.25</v>
      </c>
      <c r="R46" s="2026" t="n">
        <v>0</v>
      </c>
      <c r="T46" s="2010" t="s">
        <v>253</v>
      </c>
      <c r="U46" s="2010" t="n">
        <v>3</v>
      </c>
    </row>
    <row r="47" customFormat="false" ht="15" hidden="false" customHeight="true" outlineLevel="0" collapsed="false">
      <c r="A47" s="1991"/>
      <c r="B47" s="1997"/>
      <c r="C47" s="2011"/>
      <c r="D47" s="931" t="s">
        <v>1130</v>
      </c>
      <c r="E47" s="2061" t="n">
        <f aca="false">'Saisie et Calculateur'!I481</f>
        <v>0.960526315789474</v>
      </c>
      <c r="F47" s="931" t="n">
        <f aca="false">IF(E47&lt;Q46,R47,IF(E47&lt;P46,Q47,IF(E47&lt;O46,P47,O47)))</f>
        <v>0</v>
      </c>
      <c r="G47" s="2057"/>
      <c r="H47" s="2058"/>
      <c r="I47" s="2059"/>
      <c r="J47" s="1998"/>
      <c r="K47" s="1996"/>
      <c r="N47" s="1597" t="s">
        <v>2855</v>
      </c>
      <c r="O47" s="1597" t="n">
        <v>0</v>
      </c>
      <c r="P47" s="1597" t="n">
        <v>1</v>
      </c>
      <c r="Q47" s="1597" t="n">
        <v>2</v>
      </c>
      <c r="R47" s="1597" t="n">
        <v>3</v>
      </c>
      <c r="T47" s="2062" t="s">
        <v>254</v>
      </c>
      <c r="U47" s="2062" t="n">
        <v>0</v>
      </c>
    </row>
    <row r="48" customFormat="false" ht="14.1" hidden="false" customHeight="true" outlineLevel="0" collapsed="false">
      <c r="A48" s="1991"/>
      <c r="B48" s="1997"/>
      <c r="C48" s="2011"/>
      <c r="D48" s="1662" t="s">
        <v>2864</v>
      </c>
      <c r="E48" s="1662"/>
      <c r="F48" s="1662"/>
      <c r="G48" s="2057"/>
      <c r="H48" s="2058"/>
      <c r="I48" s="2059"/>
      <c r="J48" s="1998"/>
      <c r="K48" s="1996"/>
    </row>
    <row r="49" customFormat="false" ht="14.1" hidden="false" customHeight="true" outlineLevel="0" collapsed="false">
      <c r="A49" s="1991"/>
      <c r="B49" s="1997"/>
      <c r="C49" s="2027"/>
      <c r="D49" s="2014" t="s">
        <v>2843</v>
      </c>
      <c r="E49" s="2014" t="str">
        <f aca="false">'Saisie et Calculateur'!J483</f>
        <v>non</v>
      </c>
      <c r="F49" s="931" t="n">
        <f aca="false">IF(E49=T46,U46,U47)</f>
        <v>0</v>
      </c>
      <c r="G49" s="2057"/>
      <c r="H49" s="2058"/>
      <c r="I49" s="2059"/>
      <c r="J49" s="1998"/>
      <c r="K49" s="1996"/>
      <c r="N49" s="2062" t="s">
        <v>2865</v>
      </c>
      <c r="O49" s="2062"/>
      <c r="P49" s="2010" t="s">
        <v>2866</v>
      </c>
      <c r="Q49" s="2062" t="s">
        <v>2867</v>
      </c>
      <c r="R49" s="2062"/>
      <c r="S49" s="2062"/>
      <c r="U49" s="2063" t="s">
        <v>2868</v>
      </c>
      <c r="V49" s="2063"/>
      <c r="W49" s="2010" t="s">
        <v>2866</v>
      </c>
    </row>
    <row r="50" customFormat="false" ht="14.1" hidden="false" customHeight="true" outlineLevel="0" collapsed="false">
      <c r="A50" s="1991"/>
      <c r="B50" s="1997"/>
      <c r="C50" s="2027" t="s">
        <v>2869</v>
      </c>
      <c r="D50" s="2027"/>
      <c r="E50" s="2027"/>
      <c r="F50" s="2027"/>
      <c r="G50" s="2064" t="n">
        <f aca="false">MIN(5,SUM(F56,MAX(F54,F52)))</f>
        <v>0</v>
      </c>
      <c r="H50" s="2058"/>
      <c r="I50" s="2059"/>
      <c r="J50" s="1998"/>
      <c r="K50" s="1996"/>
      <c r="N50" s="2062" t="s">
        <v>2870</v>
      </c>
      <c r="O50" s="2062"/>
      <c r="P50" s="2010" t="n">
        <v>0</v>
      </c>
      <c r="Q50" s="2062" t="s">
        <v>2871</v>
      </c>
      <c r="R50" s="2062"/>
      <c r="S50" s="2062"/>
      <c r="U50" s="2062" t="s">
        <v>464</v>
      </c>
      <c r="V50" s="2062"/>
      <c r="W50" s="2010" t="n">
        <v>0</v>
      </c>
    </row>
    <row r="51" customFormat="false" ht="14.1" hidden="false" customHeight="true" outlineLevel="0" collapsed="false">
      <c r="A51" s="1991"/>
      <c r="B51" s="1997"/>
      <c r="C51" s="2027"/>
      <c r="D51" s="2014" t="s">
        <v>2865</v>
      </c>
      <c r="E51" s="2014"/>
      <c r="F51" s="2014"/>
      <c r="G51" s="2064"/>
      <c r="H51" s="2058"/>
      <c r="I51" s="2059"/>
      <c r="J51" s="1998"/>
      <c r="K51" s="1996"/>
      <c r="N51" s="2062" t="s">
        <v>2872</v>
      </c>
      <c r="O51" s="2062"/>
      <c r="P51" s="2010" t="n">
        <v>1</v>
      </c>
      <c r="Q51" s="2062" t="s">
        <v>2873</v>
      </c>
      <c r="R51" s="2062"/>
      <c r="S51" s="2062"/>
      <c r="U51" s="2063" t="s">
        <v>465</v>
      </c>
      <c r="V51" s="2063"/>
      <c r="W51" s="2010" t="n">
        <v>3</v>
      </c>
    </row>
    <row r="52" customFormat="false" ht="14.1" hidden="false" customHeight="true" outlineLevel="0" collapsed="false">
      <c r="A52" s="1991"/>
      <c r="B52" s="1997"/>
      <c r="C52" s="2027"/>
      <c r="D52" s="2014" t="s">
        <v>2874</v>
      </c>
      <c r="E52" s="2014" t="n">
        <f aca="false">'Saisie et Calculateur'!J487</f>
        <v>0</v>
      </c>
      <c r="F52" s="931" t="n">
        <f aca="false">IF(E52=N53,P53,IF(E52=N52,P52,IF(E52=N51,P51,P50)))</f>
        <v>0</v>
      </c>
      <c r="G52" s="2064"/>
      <c r="H52" s="2058"/>
      <c r="I52" s="2059"/>
      <c r="J52" s="1998"/>
      <c r="K52" s="1996"/>
      <c r="N52" s="2062" t="s">
        <v>2875</v>
      </c>
      <c r="O52" s="2062"/>
      <c r="P52" s="2010" t="n">
        <v>2</v>
      </c>
      <c r="Q52" s="2062" t="s">
        <v>2876</v>
      </c>
      <c r="R52" s="2062"/>
      <c r="S52" s="2062"/>
      <c r="U52" s="2062" t="s">
        <v>466</v>
      </c>
      <c r="V52" s="2062"/>
      <c r="W52" s="2010" t="n">
        <v>3</v>
      </c>
    </row>
    <row r="53" customFormat="false" ht="14.1" hidden="false" customHeight="true" outlineLevel="0" collapsed="false">
      <c r="A53" s="1991"/>
      <c r="B53" s="1997"/>
      <c r="C53" s="2027"/>
      <c r="D53" s="2014" t="s">
        <v>2867</v>
      </c>
      <c r="E53" s="2014"/>
      <c r="F53" s="2014"/>
      <c r="G53" s="2064"/>
      <c r="H53" s="2058"/>
      <c r="I53" s="2059"/>
      <c r="J53" s="1998"/>
      <c r="K53" s="1996"/>
      <c r="N53" s="2062" t="s">
        <v>2877</v>
      </c>
      <c r="O53" s="2062"/>
      <c r="P53" s="2010" t="n">
        <v>3</v>
      </c>
      <c r="Q53" s="2062" t="s">
        <v>2878</v>
      </c>
      <c r="R53" s="2062"/>
      <c r="S53" s="2062"/>
    </row>
    <row r="54" customFormat="false" ht="14.1" hidden="false" customHeight="true" outlineLevel="0" collapsed="false">
      <c r="A54" s="1991"/>
      <c r="B54" s="1997"/>
      <c r="C54" s="2027"/>
      <c r="D54" s="2014" t="s">
        <v>2874</v>
      </c>
      <c r="E54" s="2014" t="n">
        <f aca="false">'Saisie et Calculateur'!J489</f>
        <v>0</v>
      </c>
      <c r="F54" s="931" t="n">
        <f aca="false">IF(E54=Q53,P53,IF(E54=Q52,P52,IF(E54=Q51,P51,P50)))</f>
        <v>0</v>
      </c>
      <c r="G54" s="2064"/>
      <c r="H54" s="2058"/>
      <c r="I54" s="2059"/>
      <c r="J54" s="1998"/>
      <c r="K54" s="1996"/>
    </row>
    <row r="55" customFormat="false" ht="14.1" hidden="false" customHeight="true" outlineLevel="0" collapsed="false">
      <c r="A55" s="1991"/>
      <c r="B55" s="1997"/>
      <c r="C55" s="2027"/>
      <c r="D55" s="2014" t="s">
        <v>2879</v>
      </c>
      <c r="E55" s="2014"/>
      <c r="F55" s="2014"/>
      <c r="G55" s="2064"/>
      <c r="H55" s="2058"/>
      <c r="I55" s="2059"/>
      <c r="J55" s="1998"/>
      <c r="K55" s="1996"/>
      <c r="N55" s="2062" t="s">
        <v>2880</v>
      </c>
      <c r="O55" s="2062"/>
      <c r="P55" s="2010" t="s">
        <v>2866</v>
      </c>
      <c r="R55" s="2062" t="s">
        <v>2881</v>
      </c>
      <c r="S55" s="2062"/>
      <c r="U55" s="2062" t="s">
        <v>2880</v>
      </c>
      <c r="V55" s="2062"/>
    </row>
    <row r="56" customFormat="false" ht="14.1" hidden="false" customHeight="true" outlineLevel="0" collapsed="false">
      <c r="A56" s="1991"/>
      <c r="B56" s="1997"/>
      <c r="C56" s="2027"/>
      <c r="D56" s="2065" t="n">
        <f aca="false">'Saisie et Calculateur'!J491</f>
        <v>0</v>
      </c>
      <c r="E56" s="2065"/>
      <c r="F56" s="931" t="n">
        <f aca="false">IF(D56=U52,W52,IF(D56=U51,W51,W50))</f>
        <v>0</v>
      </c>
      <c r="G56" s="2064"/>
      <c r="H56" s="2058"/>
      <c r="I56" s="2059"/>
      <c r="J56" s="1998"/>
      <c r="K56" s="1996"/>
      <c r="N56" s="2062" t="s">
        <v>2826</v>
      </c>
      <c r="O56" s="2062"/>
      <c r="P56" s="2010" t="n">
        <v>0</v>
      </c>
      <c r="R56" s="2010" t="s">
        <v>253</v>
      </c>
      <c r="S56" s="2010" t="n">
        <v>-1</v>
      </c>
      <c r="U56" s="2010" t="s">
        <v>253</v>
      </c>
      <c r="V56" s="2010" t="n">
        <v>2</v>
      </c>
    </row>
    <row r="57" customFormat="false" ht="14.1" hidden="false" customHeight="true" outlineLevel="0" collapsed="false">
      <c r="A57" s="1991"/>
      <c r="B57" s="1997"/>
      <c r="C57" s="2027" t="s">
        <v>2882</v>
      </c>
      <c r="D57" s="2027"/>
      <c r="E57" s="2027"/>
      <c r="F57" s="2027"/>
      <c r="G57" s="2028" t="n">
        <f aca="false">MIN(5,SUM(F59,F61,F63))</f>
        <v>0</v>
      </c>
      <c r="H57" s="2058"/>
      <c r="I57" s="2059"/>
      <c r="J57" s="1998"/>
      <c r="K57" s="1996"/>
      <c r="N57" s="2062" t="s">
        <v>2883</v>
      </c>
      <c r="O57" s="2062"/>
      <c r="P57" s="2010" t="n">
        <v>1</v>
      </c>
      <c r="R57" s="2010" t="s">
        <v>254</v>
      </c>
      <c r="S57" s="2010" t="n">
        <v>0</v>
      </c>
      <c r="U57" s="2010" t="s">
        <v>254</v>
      </c>
      <c r="V57" s="2010" t="n">
        <v>0</v>
      </c>
    </row>
    <row r="58" customFormat="false" ht="14.1" hidden="false" customHeight="true" outlineLevel="0" collapsed="false">
      <c r="A58" s="1991"/>
      <c r="B58" s="1997"/>
      <c r="C58" s="2027"/>
      <c r="D58" s="2014" t="s">
        <v>2884</v>
      </c>
      <c r="E58" s="2014"/>
      <c r="F58" s="2014"/>
      <c r="G58" s="2028"/>
      <c r="H58" s="2058"/>
      <c r="I58" s="2059"/>
      <c r="J58" s="1998"/>
      <c r="K58" s="1996"/>
      <c r="N58" s="2062" t="s">
        <v>2885</v>
      </c>
      <c r="O58" s="2062"/>
      <c r="P58" s="2010" t="n">
        <v>2</v>
      </c>
    </row>
    <row r="59" customFormat="false" ht="14.1" hidden="false" customHeight="true" outlineLevel="0" collapsed="false">
      <c r="A59" s="1991"/>
      <c r="B59" s="1997"/>
      <c r="C59" s="2027"/>
      <c r="D59" s="2065" t="n">
        <f aca="false">'Saisie et Calculateur'!J494</f>
        <v>0</v>
      </c>
      <c r="E59" s="2065"/>
      <c r="F59" s="931" t="n">
        <f aca="false">IF(D59=N59,P59,IF(D59=N58,P58,IF(D59=N57,P57,P56)))</f>
        <v>0</v>
      </c>
      <c r="G59" s="2028"/>
      <c r="H59" s="2058"/>
      <c r="I59" s="2059"/>
      <c r="J59" s="1998"/>
      <c r="K59" s="1996"/>
      <c r="N59" s="2062" t="s">
        <v>2886</v>
      </c>
      <c r="O59" s="2062"/>
      <c r="P59" s="2010" t="n">
        <v>3</v>
      </c>
    </row>
    <row r="60" customFormat="false" ht="14.1" hidden="false" customHeight="true" outlineLevel="0" collapsed="false">
      <c r="A60" s="1991"/>
      <c r="B60" s="1997"/>
      <c r="C60" s="2027"/>
      <c r="D60" s="2014" t="s">
        <v>2887</v>
      </c>
      <c r="E60" s="2014"/>
      <c r="F60" s="2014"/>
      <c r="G60" s="2028"/>
      <c r="H60" s="2058"/>
      <c r="I60" s="2059"/>
      <c r="J60" s="1998"/>
      <c r="K60" s="1996"/>
    </row>
    <row r="61" customFormat="false" ht="14.1" hidden="false" customHeight="true" outlineLevel="0" collapsed="false">
      <c r="A61" s="1991"/>
      <c r="B61" s="1997"/>
      <c r="C61" s="2027"/>
      <c r="D61" s="2065" t="n">
        <f aca="false">'Saisie et Calculateur'!J496</f>
        <v>0</v>
      </c>
      <c r="E61" s="2065"/>
      <c r="F61" s="2042" t="n">
        <f aca="false">IF(D61=R56,S56,S57)</f>
        <v>0</v>
      </c>
      <c r="G61" s="2028"/>
      <c r="H61" s="2058"/>
      <c r="I61" s="2059"/>
      <c r="J61" s="1998"/>
      <c r="K61" s="1996"/>
      <c r="N61" s="2039" t="s">
        <v>2845</v>
      </c>
      <c r="O61" s="2039" t="s">
        <v>2888</v>
      </c>
      <c r="P61" s="2039"/>
      <c r="Q61" s="2039" t="s">
        <v>2889</v>
      </c>
      <c r="R61" s="2039"/>
      <c r="S61" s="2039" t="s">
        <v>100</v>
      </c>
      <c r="T61" s="2039" t="s">
        <v>2890</v>
      </c>
    </row>
    <row r="62" customFormat="false" ht="14.1" hidden="false" customHeight="true" outlineLevel="0" collapsed="false">
      <c r="A62" s="1991"/>
      <c r="B62" s="1997"/>
      <c r="C62" s="2027"/>
      <c r="D62" s="2014" t="s">
        <v>2891</v>
      </c>
      <c r="E62" s="2014"/>
      <c r="F62" s="2014"/>
      <c r="G62" s="2028"/>
      <c r="H62" s="2058"/>
      <c r="I62" s="2059"/>
      <c r="J62" s="1998"/>
      <c r="K62" s="1996"/>
      <c r="N62" s="2010" t="s">
        <v>2848</v>
      </c>
      <c r="O62" s="2039" t="n">
        <f aca="false">'Saisie et Calculateur'!B25+'Saisie et Calculateur'!B26</f>
        <v>76</v>
      </c>
      <c r="P62" s="2039"/>
      <c r="Q62" s="2039" t="n">
        <f aca="false">'Saisie et Calculateur'!B28+'Saisie et Calculateur'!B29</f>
        <v>0</v>
      </c>
      <c r="R62" s="2039"/>
      <c r="S62" s="2039" t="n">
        <f aca="false">'Saisie et Calculateur'!B30</f>
        <v>0</v>
      </c>
      <c r="T62" s="2039" t="n">
        <f aca="false">'Saisie et Calculateur'!B27</f>
        <v>1</v>
      </c>
    </row>
    <row r="63" customFormat="false" ht="14.1" hidden="false" customHeight="true" outlineLevel="0" collapsed="false">
      <c r="A63" s="1991"/>
      <c r="B63" s="1997"/>
      <c r="C63" s="2066"/>
      <c r="D63" s="2067" t="n">
        <f aca="false">'Saisie et Calculateur'!J498</f>
        <v>0</v>
      </c>
      <c r="E63" s="2067"/>
      <c r="F63" s="2032" t="n">
        <f aca="false">IF(D63=U56,V56,V57)</f>
        <v>0</v>
      </c>
      <c r="G63" s="2028"/>
      <c r="H63" s="2058"/>
      <c r="I63" s="2059"/>
      <c r="J63" s="1998"/>
      <c r="K63" s="1996"/>
      <c r="N63" s="2039" t="s">
        <v>2850</v>
      </c>
      <c r="O63" s="2043" t="n">
        <f aca="false">O62/('Saisie et Calculateur'!B24-'Saisie et Calculateur'!B27-'Saisie et Calculateur'!B32)</f>
        <v>1</v>
      </c>
      <c r="P63" s="2043"/>
      <c r="Q63" s="2068" t="n">
        <f aca="false">Q62/('Saisie et Calculateur'!B24-'Saisie et Calculateur'!B28)</f>
        <v>0</v>
      </c>
      <c r="R63" s="2068"/>
      <c r="S63" s="2043" t="n">
        <f aca="false">S62/('Saisie et Calculateur'!B24-'Saisie et Calculateur'!B27-'Saisie et Calculateur'!B32)</f>
        <v>0</v>
      </c>
      <c r="T63" s="2043" t="n">
        <f aca="false">'Saisie et Calculateur'!B27/('Saisie et Calculateur'!B24-'Saisie et Calculateur'!B32)</f>
        <v>0.012987012987013</v>
      </c>
    </row>
    <row r="64" customFormat="false" ht="15" hidden="false" customHeight="true" outlineLevel="0" collapsed="false">
      <c r="A64" s="1991"/>
      <c r="B64" s="1997"/>
      <c r="C64" s="931"/>
      <c r="D64" s="931"/>
      <c r="E64" s="931"/>
      <c r="F64" s="931"/>
      <c r="G64" s="931"/>
      <c r="H64" s="931"/>
      <c r="I64" s="931"/>
      <c r="J64" s="1998"/>
      <c r="K64" s="1996"/>
    </row>
    <row r="65" customFormat="false" ht="15" hidden="false" customHeight="true" outlineLevel="0" collapsed="false">
      <c r="A65" s="1991"/>
      <c r="B65" s="1997"/>
      <c r="C65" s="931"/>
      <c r="D65" s="931"/>
      <c r="E65" s="931"/>
      <c r="F65" s="931"/>
      <c r="G65" s="931"/>
      <c r="H65" s="931"/>
      <c r="I65" s="931"/>
      <c r="J65" s="1998"/>
      <c r="K65" s="1996"/>
    </row>
    <row r="66" customFormat="false" ht="12.75" hidden="false" customHeight="true" outlineLevel="0" collapsed="false">
      <c r="A66" s="1991"/>
      <c r="B66" s="1997" t="s">
        <v>480</v>
      </c>
      <c r="C66" s="2034" t="s">
        <v>2892</v>
      </c>
      <c r="D66" s="2034"/>
      <c r="E66" s="2034"/>
      <c r="F66" s="2034"/>
      <c r="G66" s="2034"/>
      <c r="H66" s="2034"/>
      <c r="I66" s="2035" t="s">
        <v>2821</v>
      </c>
      <c r="J66" s="1998"/>
      <c r="K66" s="1996"/>
    </row>
    <row r="67" customFormat="false" ht="15" hidden="false" customHeight="true" outlineLevel="0" collapsed="false">
      <c r="A67" s="1991"/>
      <c r="B67" s="1997"/>
      <c r="C67" s="931"/>
      <c r="D67" s="931"/>
      <c r="E67" s="931"/>
      <c r="F67" s="931"/>
      <c r="G67" s="931"/>
      <c r="H67" s="931"/>
      <c r="I67" s="931"/>
      <c r="J67" s="1998"/>
      <c r="K67" s="1996"/>
    </row>
    <row r="68" customFormat="false" ht="25.5" hidden="false" customHeight="true" outlineLevel="0" collapsed="false">
      <c r="A68" s="1991"/>
      <c r="B68" s="1997"/>
      <c r="C68" s="2000" t="s">
        <v>2822</v>
      </c>
      <c r="D68" s="2000"/>
      <c r="E68" s="2000"/>
      <c r="F68" s="2000"/>
      <c r="G68" s="2000"/>
      <c r="H68" s="2001" t="s">
        <v>2823</v>
      </c>
      <c r="I68" s="2001" t="s">
        <v>2824</v>
      </c>
      <c r="J68" s="1998"/>
      <c r="K68" s="1996"/>
      <c r="N68" s="1763" t="s">
        <v>2893</v>
      </c>
      <c r="O68" s="2026" t="n">
        <v>0.5</v>
      </c>
      <c r="P68" s="2026" t="n">
        <v>0.6</v>
      </c>
      <c r="Q68" s="2069" t="n">
        <v>0.7</v>
      </c>
      <c r="R68" s="2070"/>
    </row>
    <row r="69" customFormat="false" ht="14.1" hidden="false" customHeight="true" outlineLevel="0" collapsed="false">
      <c r="A69" s="1991"/>
      <c r="B69" s="1997"/>
      <c r="C69" s="2005" t="s">
        <v>2894</v>
      </c>
      <c r="D69" s="2005"/>
      <c r="E69" s="2005"/>
      <c r="F69" s="2005"/>
      <c r="G69" s="2006" t="n">
        <f aca="false">MIN(3,ROUND(SUM(F71,F73,F75,F77),0))</f>
        <v>1</v>
      </c>
      <c r="H69" s="2071" t="n">
        <f aca="false">G69+G78</f>
        <v>1</v>
      </c>
      <c r="I69" s="2072" t="n">
        <f aca="false">MIN(5,H69)</f>
        <v>1</v>
      </c>
      <c r="J69" s="1998"/>
      <c r="K69" s="1996"/>
      <c r="N69" s="1763" t="s">
        <v>2895</v>
      </c>
      <c r="O69" s="1763" t="n">
        <v>0</v>
      </c>
      <c r="P69" s="1763" t="n">
        <v>1</v>
      </c>
      <c r="Q69" s="2009" t="n">
        <v>2</v>
      </c>
      <c r="R69" s="2073" t="n">
        <v>3</v>
      </c>
    </row>
    <row r="70" customFormat="false" ht="14.1" hidden="false" customHeight="true" outlineLevel="0" collapsed="false">
      <c r="A70" s="1991"/>
      <c r="B70" s="1997"/>
      <c r="C70" s="2013"/>
      <c r="D70" s="1435" t="s">
        <v>2849</v>
      </c>
      <c r="E70" s="1435"/>
      <c r="F70" s="1435"/>
      <c r="G70" s="2006"/>
      <c r="H70" s="2071"/>
      <c r="I70" s="2072"/>
      <c r="J70" s="1998"/>
      <c r="K70" s="1996"/>
    </row>
    <row r="71" customFormat="false" ht="14.1" hidden="false" customHeight="true" outlineLevel="0" collapsed="false">
      <c r="A71" s="1991"/>
      <c r="B71" s="1997"/>
      <c r="C71" s="2013"/>
      <c r="D71" s="1435" t="s">
        <v>2851</v>
      </c>
      <c r="E71" s="2041"/>
      <c r="F71" s="2041" t="n">
        <f aca="false">O72*O74</f>
        <v>0.974358974358974</v>
      </c>
      <c r="G71" s="2006"/>
      <c r="H71" s="2071"/>
      <c r="I71" s="2072"/>
      <c r="J71" s="1998"/>
      <c r="K71" s="1996"/>
      <c r="N71" s="2039" t="s">
        <v>2845</v>
      </c>
      <c r="O71" s="2039" t="s">
        <v>2846</v>
      </c>
      <c r="P71" s="2039"/>
      <c r="Q71" s="2039" t="s">
        <v>97</v>
      </c>
      <c r="R71" s="2039" t="s">
        <v>98</v>
      </c>
      <c r="S71" s="2039" t="s">
        <v>100</v>
      </c>
      <c r="T71" s="2039"/>
    </row>
    <row r="72" customFormat="false" ht="14.1" hidden="false" customHeight="true" outlineLevel="0" collapsed="false">
      <c r="A72" s="1991"/>
      <c r="B72" s="1997"/>
      <c r="C72" s="2013"/>
      <c r="D72" s="1903" t="s">
        <v>97</v>
      </c>
      <c r="E72" s="2041"/>
      <c r="F72" s="2041"/>
      <c r="G72" s="2006"/>
      <c r="H72" s="2071"/>
      <c r="I72" s="2072"/>
      <c r="J72" s="1998"/>
      <c r="K72" s="1996"/>
      <c r="N72" s="2039" t="s">
        <v>2832</v>
      </c>
      <c r="O72" s="2039" t="n">
        <f aca="false">IF('Saisie et Calculateur'!J503=0,3,IF('Saisie et Calculateur'!J503=1,2,IF('Saisie et Calculateur'!J503=2,1,0)))</f>
        <v>1</v>
      </c>
      <c r="P72" s="2039"/>
      <c r="Q72" s="2039" t="n">
        <f aca="false">IF('Saisie et Calculateur'!J506=0,3,IF('Saisie et Calculateur'!J506=1,2,IF('Saisie et Calculateur'!J506=2,1,0)))</f>
        <v>3</v>
      </c>
      <c r="R72" s="2039" t="n">
        <f aca="false">IF('Saisie et Calculateur'!J508=0,3,IF('Saisie et Calculateur'!J508=1,2,IF('Saisie et Calculateur'!J508=2,1,0)))</f>
        <v>3</v>
      </c>
      <c r="S72" s="2073" t="n">
        <f aca="false">IF('Saisie et Calculateur'!J511=0,2,IF('Saisie et Calculateur'!J511=1,1,0))</f>
        <v>2</v>
      </c>
      <c r="T72" s="2010" t="n">
        <f aca="false">IF('Saisie et Calculateur'!J513="oui",1,0)</f>
        <v>0</v>
      </c>
    </row>
    <row r="73" customFormat="false" ht="14.1" hidden="false" customHeight="true" outlineLevel="0" collapsed="false">
      <c r="A73" s="1991"/>
      <c r="B73" s="1997"/>
      <c r="C73" s="2013"/>
      <c r="D73" s="1435" t="s">
        <v>2851</v>
      </c>
      <c r="E73" s="2041"/>
      <c r="F73" s="2041" t="n">
        <f aca="false">Q72*Q74</f>
        <v>0</v>
      </c>
      <c r="G73" s="2006"/>
      <c r="H73" s="2071"/>
      <c r="I73" s="2072"/>
      <c r="J73" s="1998"/>
      <c r="K73" s="1996"/>
      <c r="N73" s="2039" t="s">
        <v>2848</v>
      </c>
      <c r="O73" s="2039" t="n">
        <f aca="false">'Saisie et Calculateur'!B25+'Saisie et Calculateur'!B26</f>
        <v>76</v>
      </c>
      <c r="P73" s="2039"/>
      <c r="Q73" s="2039" t="n">
        <f aca="false">'Saisie et Calculateur'!B28</f>
        <v>0</v>
      </c>
      <c r="R73" s="2039" t="n">
        <f aca="false">'Saisie et Calculateur'!B29</f>
        <v>0</v>
      </c>
      <c r="S73" s="2039" t="n">
        <f aca="false">'Saisie et Calculateur'!B30</f>
        <v>0</v>
      </c>
      <c r="T73" s="2039"/>
    </row>
    <row r="74" customFormat="false" ht="14.1" hidden="false" customHeight="true" outlineLevel="0" collapsed="false">
      <c r="A74" s="1991"/>
      <c r="B74" s="1997"/>
      <c r="C74" s="2013"/>
      <c r="D74" s="1903" t="s">
        <v>98</v>
      </c>
      <c r="E74" s="2041"/>
      <c r="F74" s="2041"/>
      <c r="G74" s="2006"/>
      <c r="H74" s="2071"/>
      <c r="I74" s="2072"/>
      <c r="J74" s="1998"/>
      <c r="K74" s="1996"/>
      <c r="N74" s="2039" t="s">
        <v>2850</v>
      </c>
      <c r="O74" s="2043" t="n">
        <f aca="false">O73/('Saisie et Calculateur'!$B$24--'Saisie et Calculateur'!B27-'Saisie et Calculateur'!B32)</f>
        <v>0.974358974358974</v>
      </c>
      <c r="P74" s="2043"/>
      <c r="Q74" s="2043" t="n">
        <f aca="false">Q73/('Saisie et Calculateur'!$B$24-'Saisie et Calculateur'!B27-'Saisie et Calculateur'!B32)</f>
        <v>0</v>
      </c>
      <c r="R74" s="2043" t="n">
        <f aca="false">R73/('Saisie et Calculateur'!$B$24-'Saisie et Calculateur'!B27-'Saisie et Calculateur'!B32)</f>
        <v>0</v>
      </c>
      <c r="S74" s="2043" t="n">
        <f aca="false">S73/('Saisie et Calculateur'!$B$24-'Saisie et Calculateur'!B27-'Saisie et Calculateur'!B32)</f>
        <v>0</v>
      </c>
      <c r="T74" s="2043"/>
    </row>
    <row r="75" customFormat="false" ht="14.1" hidden="false" customHeight="true" outlineLevel="0" collapsed="false">
      <c r="A75" s="1991"/>
      <c r="B75" s="1997"/>
      <c r="C75" s="2013"/>
      <c r="D75" s="1435" t="s">
        <v>2851</v>
      </c>
      <c r="E75" s="2041"/>
      <c r="F75" s="2041" t="n">
        <f aca="false">R72*R74</f>
        <v>0</v>
      </c>
      <c r="G75" s="2006"/>
      <c r="H75" s="2071"/>
      <c r="I75" s="2072"/>
      <c r="J75" s="1998"/>
      <c r="K75" s="1996"/>
    </row>
    <row r="76" customFormat="false" ht="14.1" hidden="false" customHeight="true" outlineLevel="0" collapsed="false">
      <c r="A76" s="1991"/>
      <c r="B76" s="1997"/>
      <c r="C76" s="2013"/>
      <c r="D76" s="1903" t="s">
        <v>100</v>
      </c>
      <c r="E76" s="2041"/>
      <c r="F76" s="2041"/>
      <c r="G76" s="2006"/>
      <c r="H76" s="2071"/>
      <c r="I76" s="2072"/>
      <c r="J76" s="1998"/>
      <c r="K76" s="1996"/>
    </row>
    <row r="77" customFormat="false" ht="14.1" hidden="false" customHeight="true" outlineLevel="0" collapsed="false">
      <c r="A77" s="1991"/>
      <c r="B77" s="1997"/>
      <c r="C77" s="2013"/>
      <c r="D77" s="1435" t="s">
        <v>2851</v>
      </c>
      <c r="E77" s="2041"/>
      <c r="F77" s="2041" t="n">
        <f aca="false">(S72+T72)*S74</f>
        <v>0</v>
      </c>
      <c r="G77" s="2006"/>
      <c r="H77" s="2071"/>
      <c r="I77" s="2072"/>
      <c r="J77" s="1998"/>
      <c r="K77" s="1996"/>
    </row>
    <row r="78" customFormat="false" ht="14.1" hidden="false" customHeight="true" outlineLevel="0" collapsed="false">
      <c r="A78" s="1991"/>
      <c r="B78" s="1997"/>
      <c r="C78" s="2074" t="s">
        <v>2896</v>
      </c>
      <c r="D78" s="2074"/>
      <c r="E78" s="2074"/>
      <c r="F78" s="2074"/>
      <c r="G78" s="2048" t="n">
        <f aca="false">IF(E79&gt;Q68,R69,IF(E79&gt;P68,Q69,IF(E79&gt;O68,P69,O69)))</f>
        <v>0</v>
      </c>
      <c r="H78" s="2071"/>
      <c r="I78" s="2072"/>
      <c r="J78" s="1998"/>
      <c r="K78" s="1996"/>
    </row>
    <row r="79" customFormat="false" ht="14.1" hidden="false" customHeight="true" outlineLevel="0" collapsed="false">
      <c r="A79" s="1991"/>
      <c r="B79" s="1997"/>
      <c r="C79" s="2075"/>
      <c r="D79" s="2032" t="s">
        <v>2897</v>
      </c>
      <c r="E79" s="2076" t="n">
        <f aca="false">'Saisie et Calculateur'!J521</f>
        <v>0.113084415584416</v>
      </c>
      <c r="F79" s="2032"/>
      <c r="G79" s="2048"/>
      <c r="H79" s="2071"/>
      <c r="I79" s="2072"/>
      <c r="J79" s="1998"/>
      <c r="K79" s="1996"/>
    </row>
    <row r="80" customFormat="false" ht="14.1" hidden="false" customHeight="true" outlineLevel="0" collapsed="false">
      <c r="A80" s="1991"/>
      <c r="B80" s="1997"/>
      <c r="C80" s="931"/>
      <c r="D80" s="931"/>
      <c r="E80" s="2077"/>
      <c r="F80" s="931"/>
      <c r="G80" s="2078"/>
      <c r="H80" s="1529"/>
      <c r="I80" s="2079"/>
      <c r="J80" s="1998"/>
      <c r="K80" s="1996"/>
    </row>
    <row r="81" customFormat="false" ht="15" hidden="false" customHeight="true" outlineLevel="0" collapsed="false">
      <c r="A81" s="1991"/>
      <c r="B81" s="2033"/>
      <c r="C81" s="2014"/>
      <c r="D81" s="2014"/>
      <c r="E81" s="2014"/>
      <c r="F81" s="2014"/>
      <c r="G81" s="2080"/>
      <c r="H81" s="1999"/>
      <c r="I81" s="2079"/>
      <c r="J81" s="1998"/>
      <c r="K81" s="1996"/>
    </row>
    <row r="82" customFormat="false" ht="14.1" hidden="false" customHeight="true" outlineLevel="0" collapsed="false">
      <c r="A82" s="1991"/>
      <c r="B82" s="2033" t="s">
        <v>271</v>
      </c>
      <c r="C82" s="2034" t="s">
        <v>2898</v>
      </c>
      <c r="D82" s="2034"/>
      <c r="E82" s="2034"/>
      <c r="F82" s="2034"/>
      <c r="G82" s="2034"/>
      <c r="H82" s="2034"/>
      <c r="I82" s="2035" t="s">
        <v>2821</v>
      </c>
      <c r="J82" s="1998"/>
      <c r="K82" s="1996"/>
    </row>
    <row r="83" customFormat="false" ht="12.75" hidden="false" customHeight="true" outlineLevel="0" collapsed="false">
      <c r="A83" s="1991"/>
      <c r="B83" s="2033"/>
      <c r="C83" s="931"/>
      <c r="D83" s="931"/>
      <c r="E83" s="931"/>
      <c r="F83" s="931"/>
      <c r="G83" s="931"/>
      <c r="H83" s="931"/>
      <c r="I83" s="931"/>
      <c r="J83" s="1998"/>
      <c r="K83" s="1996"/>
    </row>
    <row r="84" customFormat="false" ht="25.5" hidden="false" customHeight="true" outlineLevel="0" collapsed="false">
      <c r="A84" s="1991"/>
      <c r="B84" s="2033"/>
      <c r="C84" s="2000" t="s">
        <v>2822</v>
      </c>
      <c r="D84" s="2000"/>
      <c r="E84" s="2000"/>
      <c r="F84" s="2000"/>
      <c r="G84" s="2000"/>
      <c r="H84" s="2001" t="s">
        <v>2823</v>
      </c>
      <c r="I84" s="2081" t="s">
        <v>2824</v>
      </c>
      <c r="J84" s="1998"/>
      <c r="K84" s="1996"/>
    </row>
    <row r="85" customFormat="false" ht="13.5" hidden="false" customHeight="true" outlineLevel="0" collapsed="false">
      <c r="A85" s="1991"/>
      <c r="B85" s="2033"/>
      <c r="C85" s="2082" t="s">
        <v>2899</v>
      </c>
      <c r="D85" s="2083"/>
      <c r="E85" s="2083"/>
      <c r="F85" s="2084" t="n">
        <f aca="false">E16</f>
        <v>0.012987012987013</v>
      </c>
      <c r="G85" s="2085" t="str">
        <f aca="false">IF(F85&gt;=0.75,"SCORE MAX"," ")</f>
        <v> </v>
      </c>
      <c r="H85" s="2086" t="n">
        <f aca="false">IF(F85&gt;=0.75,5,SUM(G86,G88,G93))</f>
        <v>2</v>
      </c>
      <c r="I85" s="2087" t="n">
        <f aca="false">MIN(5,H85)</f>
        <v>2</v>
      </c>
      <c r="J85" s="1998"/>
      <c r="K85" s="1996"/>
      <c r="N85" s="1572" t="s">
        <v>2900</v>
      </c>
      <c r="O85" s="2088" t="s">
        <v>620</v>
      </c>
      <c r="P85" s="2088"/>
      <c r="Q85" s="2088" t="s">
        <v>621</v>
      </c>
      <c r="R85" s="2088"/>
      <c r="S85" s="2088" t="s">
        <v>622</v>
      </c>
      <c r="T85" s="2088"/>
      <c r="U85" s="2088" t="s">
        <v>623</v>
      </c>
      <c r="V85" s="2088"/>
    </row>
    <row r="86" customFormat="false" ht="12.75" hidden="false" customHeight="true" outlineLevel="0" collapsed="false">
      <c r="A86" s="1991"/>
      <c r="B86" s="2033"/>
      <c r="C86" s="2027" t="s">
        <v>2901</v>
      </c>
      <c r="D86" s="2027"/>
      <c r="E86" s="2027"/>
      <c r="F86" s="931"/>
      <c r="G86" s="2089" t="n">
        <f aca="false">IF(E87=O85,O86,IF(E87=Q85,Q86,S86))</f>
        <v>2</v>
      </c>
      <c r="H86" s="2086"/>
      <c r="I86" s="2087"/>
      <c r="J86" s="1998"/>
      <c r="K86" s="1996"/>
      <c r="N86" s="1572" t="s">
        <v>2855</v>
      </c>
      <c r="O86" s="1572" t="n">
        <v>2</v>
      </c>
      <c r="P86" s="1572"/>
      <c r="Q86" s="1572" t="n">
        <v>1</v>
      </c>
      <c r="R86" s="1572"/>
      <c r="S86" s="1572" t="n">
        <v>0</v>
      </c>
      <c r="T86" s="1572"/>
      <c r="U86" s="1572" t="n">
        <v>0</v>
      </c>
      <c r="V86" s="1572"/>
    </row>
    <row r="87" customFormat="false" ht="14.1" hidden="false" customHeight="true" outlineLevel="0" collapsed="false">
      <c r="A87" s="1991"/>
      <c r="B87" s="2033"/>
      <c r="C87" s="2090" t="s">
        <v>2902</v>
      </c>
      <c r="D87" s="2090"/>
      <c r="E87" s="2065" t="str">
        <f aca="false">'Saisie et Calculateur'!J537</f>
        <v>sans phyto entretien écologique</v>
      </c>
      <c r="F87" s="2065"/>
      <c r="G87" s="2089"/>
      <c r="H87" s="2086"/>
      <c r="I87" s="2087"/>
      <c r="J87" s="1998"/>
      <c r="K87" s="1996"/>
    </row>
    <row r="88" customFormat="false" ht="12" hidden="false" customHeight="true" outlineLevel="0" collapsed="false">
      <c r="A88" s="1991"/>
      <c r="B88" s="2033"/>
      <c r="C88" s="2013" t="s">
        <v>2903</v>
      </c>
      <c r="D88" s="2013"/>
      <c r="E88" s="2013"/>
      <c r="F88" s="2013"/>
      <c r="G88" s="2038" t="n">
        <f aca="false">IF('Saisie et Calculateur'!B19="non",F90,MIN(F90,F92))</f>
        <v>0</v>
      </c>
      <c r="H88" s="2086"/>
      <c r="I88" s="2087"/>
      <c r="J88" s="1998"/>
      <c r="K88" s="1996"/>
      <c r="N88" s="1572" t="s">
        <v>2904</v>
      </c>
      <c r="O88" s="1572" t="s">
        <v>2905</v>
      </c>
    </row>
    <row r="89" customFormat="false" ht="14.1" hidden="false" customHeight="true" outlineLevel="0" collapsed="false">
      <c r="A89" s="1991"/>
      <c r="B89" s="2033"/>
      <c r="C89" s="2011"/>
      <c r="D89" s="2014" t="s">
        <v>2906</v>
      </c>
      <c r="E89" s="2014"/>
      <c r="F89" s="2014"/>
      <c r="G89" s="2038"/>
      <c r="H89" s="2086"/>
      <c r="I89" s="2087"/>
      <c r="J89" s="1998"/>
      <c r="K89" s="1996"/>
      <c r="N89" s="2091" t="n">
        <v>0.3</v>
      </c>
      <c r="O89" s="1746" t="n">
        <v>0</v>
      </c>
    </row>
    <row r="90" customFormat="false" ht="14.1" hidden="false" customHeight="true" outlineLevel="0" collapsed="false">
      <c r="A90" s="1991"/>
      <c r="B90" s="2033"/>
      <c r="C90" s="2013"/>
      <c r="D90" s="2014" t="s">
        <v>1130</v>
      </c>
      <c r="E90" s="2050" t="n">
        <f aca="false">'Saisie et Calculateur'!J540</f>
        <v>0.948051948051948</v>
      </c>
      <c r="F90" s="2092" t="n">
        <f aca="false">IF(E90&gt;N89,O89,IF(E90&gt;N90,O90,O91))</f>
        <v>0</v>
      </c>
      <c r="G90" s="2038"/>
      <c r="H90" s="2086"/>
      <c r="I90" s="2087"/>
      <c r="J90" s="1998"/>
      <c r="K90" s="1996"/>
      <c r="N90" s="2091" t="n">
        <v>0.1</v>
      </c>
      <c r="O90" s="1746" t="n">
        <v>1</v>
      </c>
    </row>
    <row r="91" customFormat="false" ht="14.1" hidden="false" customHeight="true" outlineLevel="0" collapsed="false">
      <c r="A91" s="1991"/>
      <c r="B91" s="2033"/>
      <c r="C91" s="2011"/>
      <c r="D91" s="2014" t="s">
        <v>2907</v>
      </c>
      <c r="E91" s="2014"/>
      <c r="F91" s="2014"/>
      <c r="G91" s="2038"/>
      <c r="H91" s="2086"/>
      <c r="I91" s="2087"/>
      <c r="J91" s="1998"/>
      <c r="K91" s="1996"/>
      <c r="O91" s="1746" t="n">
        <v>2</v>
      </c>
    </row>
    <row r="92" customFormat="false" ht="14.1" hidden="false" customHeight="true" outlineLevel="0" collapsed="false">
      <c r="A92" s="1991"/>
      <c r="B92" s="2033"/>
      <c r="C92" s="2011"/>
      <c r="D92" s="2014" t="s">
        <v>1130</v>
      </c>
      <c r="E92" s="2050" t="n">
        <f aca="false">'Saisie et Calculateur'!J542</f>
        <v>0</v>
      </c>
      <c r="F92" s="2092" t="n">
        <f aca="false">IF(E92&gt;N89,O89,IF(E92&gt;N90,O90,O91))</f>
        <v>2</v>
      </c>
      <c r="G92" s="2038"/>
      <c r="H92" s="2086"/>
      <c r="I92" s="2087"/>
      <c r="J92" s="1998"/>
      <c r="K92" s="1996"/>
    </row>
    <row r="93" customFormat="false" ht="14.1" hidden="false" customHeight="true" outlineLevel="0" collapsed="false">
      <c r="A93" s="1991"/>
      <c r="B93" s="2033"/>
      <c r="C93" s="2027" t="s">
        <v>2908</v>
      </c>
      <c r="D93" s="2027"/>
      <c r="E93" s="2027"/>
      <c r="F93" s="2027"/>
      <c r="G93" s="2093" t="n">
        <f aca="false">IF(E94=O94,O95,P95)</f>
        <v>0</v>
      </c>
      <c r="H93" s="2086"/>
      <c r="I93" s="2087"/>
      <c r="J93" s="1998"/>
      <c r="K93" s="1996"/>
    </row>
    <row r="94" customFormat="false" ht="15" hidden="false" customHeight="true" outlineLevel="0" collapsed="false">
      <c r="A94" s="1991"/>
      <c r="B94" s="2033"/>
      <c r="C94" s="2066"/>
      <c r="D94" s="2032"/>
      <c r="E94" s="2030" t="str">
        <f aca="false">'Saisie et Calculateur'!J545</f>
        <v>non</v>
      </c>
      <c r="F94" s="2094"/>
      <c r="G94" s="2093"/>
      <c r="H94" s="2086"/>
      <c r="I94" s="2087"/>
      <c r="J94" s="1998"/>
      <c r="K94" s="1996"/>
      <c r="N94" s="1746" t="s">
        <v>2909</v>
      </c>
      <c r="O94" s="1572" t="s">
        <v>253</v>
      </c>
      <c r="P94" s="1572" t="s">
        <v>254</v>
      </c>
    </row>
    <row r="95" customFormat="false" ht="14.1" hidden="false" customHeight="true" outlineLevel="0" collapsed="false">
      <c r="A95" s="1991"/>
      <c r="B95" s="2095"/>
      <c r="C95" s="2096"/>
      <c r="D95" s="2096"/>
      <c r="E95" s="2096"/>
      <c r="F95" s="2096"/>
      <c r="G95" s="2097"/>
      <c r="H95" s="2098"/>
      <c r="I95" s="2099"/>
      <c r="J95" s="2100"/>
      <c r="K95" s="1996"/>
      <c r="N95" s="1746" t="s">
        <v>2910</v>
      </c>
      <c r="O95" s="1572" t="n">
        <v>1</v>
      </c>
      <c r="P95" s="1572" t="n">
        <v>0</v>
      </c>
    </row>
    <row r="96" customFormat="false" ht="14.1" hidden="false" customHeight="true" outlineLevel="0" collapsed="false"/>
    <row r="97" customFormat="false" ht="14.1" hidden="false" customHeight="true" outlineLevel="0" collapsed="false">
      <c r="A97" s="2101" t="s">
        <v>2911</v>
      </c>
      <c r="B97" s="1992" t="s">
        <v>483</v>
      </c>
      <c r="C97" s="2102" t="s">
        <v>2912</v>
      </c>
      <c r="D97" s="2102"/>
      <c r="E97" s="2102"/>
      <c r="F97" s="2102"/>
      <c r="G97" s="2102"/>
      <c r="H97" s="2102"/>
      <c r="I97" s="2103" t="s">
        <v>2913</v>
      </c>
      <c r="J97" s="2104"/>
      <c r="K97" s="2105" t="n">
        <f aca="false">MIN(20,SUM(I100,I111,I121))</f>
        <v>5</v>
      </c>
    </row>
    <row r="98" customFormat="false" ht="14.1" hidden="false" customHeight="true" outlineLevel="0" collapsed="false">
      <c r="A98" s="2101"/>
      <c r="B98" s="1997"/>
      <c r="C98" s="931"/>
      <c r="D98" s="931"/>
      <c r="E98" s="931"/>
      <c r="F98" s="931"/>
      <c r="G98" s="931"/>
      <c r="H98" s="931"/>
      <c r="I98" s="931"/>
      <c r="J98" s="931"/>
      <c r="K98" s="2105"/>
      <c r="R98" s="1753"/>
    </row>
    <row r="99" customFormat="false" ht="24" hidden="false" customHeight="true" outlineLevel="0" collapsed="false">
      <c r="A99" s="2101"/>
      <c r="B99" s="1997"/>
      <c r="C99" s="1597" t="s">
        <v>2822</v>
      </c>
      <c r="D99" s="1597"/>
      <c r="E99" s="1597"/>
      <c r="F99" s="1597"/>
      <c r="G99" s="1597"/>
      <c r="H99" s="2001" t="s">
        <v>2823</v>
      </c>
      <c r="I99" s="1810" t="s">
        <v>2824</v>
      </c>
      <c r="J99" s="931"/>
      <c r="K99" s="2105"/>
      <c r="N99" s="1597" t="s">
        <v>2914</v>
      </c>
      <c r="O99" s="2106" t="s">
        <v>2915</v>
      </c>
      <c r="P99" s="2106"/>
      <c r="Q99" s="2001" t="s">
        <v>2916</v>
      </c>
      <c r="R99" s="2001"/>
      <c r="S99" s="2001"/>
      <c r="T99" s="2107" t="s">
        <v>1346</v>
      </c>
      <c r="U99" s="1769"/>
    </row>
    <row r="100" customFormat="false" ht="14.1" hidden="false" customHeight="true" outlineLevel="0" collapsed="false">
      <c r="A100" s="2101"/>
      <c r="B100" s="1997"/>
      <c r="C100" s="2108" t="s">
        <v>2917</v>
      </c>
      <c r="D100" s="2108"/>
      <c r="E100" s="2108"/>
      <c r="F100" s="2108"/>
      <c r="G100" s="2109" t="n">
        <f aca="false">IF(E101=O99,O100,IF(E101=Q99,Q100,T100))</f>
        <v>0</v>
      </c>
      <c r="H100" s="2110" t="n">
        <f aca="false">G100+G102+G104</f>
        <v>2</v>
      </c>
      <c r="I100" s="2008" t="n">
        <f aca="false">MIN(8,H100)</f>
        <v>2</v>
      </c>
      <c r="J100" s="931"/>
      <c r="K100" s="2105"/>
      <c r="N100" s="1763" t="s">
        <v>2895</v>
      </c>
      <c r="O100" s="2009" t="n">
        <v>3</v>
      </c>
      <c r="P100" s="2009"/>
      <c r="Q100" s="1763" t="n">
        <v>1</v>
      </c>
      <c r="R100" s="1763"/>
      <c r="S100" s="1763"/>
      <c r="T100" s="1746" t="n">
        <v>0</v>
      </c>
    </row>
    <row r="101" customFormat="false" ht="14.1" hidden="false" customHeight="true" outlineLevel="0" collapsed="false">
      <c r="A101" s="2101"/>
      <c r="B101" s="1997"/>
      <c r="C101" s="2111"/>
      <c r="D101" s="2014"/>
      <c r="E101" s="2014" t="str">
        <f aca="false">'Saisie et Calculateur'!H550</f>
        <v>Non</v>
      </c>
      <c r="F101" s="2112"/>
      <c r="G101" s="2109"/>
      <c r="H101" s="2110"/>
      <c r="I101" s="2008"/>
      <c r="J101" s="931"/>
      <c r="K101" s="2105"/>
    </row>
    <row r="102" customFormat="false" ht="14.1" hidden="false" customHeight="true" outlineLevel="0" collapsed="false">
      <c r="A102" s="2101"/>
      <c r="B102" s="1997"/>
      <c r="C102" s="2113" t="s">
        <v>2918</v>
      </c>
      <c r="D102" s="2014"/>
      <c r="E102" s="2014"/>
      <c r="F102" s="2014"/>
      <c r="G102" s="2114" t="n">
        <f aca="false">E103</f>
        <v>2</v>
      </c>
      <c r="H102" s="2110"/>
      <c r="I102" s="2008"/>
      <c r="J102" s="931"/>
      <c r="K102" s="2105"/>
      <c r="N102" s="2063" t="s">
        <v>2919</v>
      </c>
      <c r="O102" s="2062" t="s">
        <v>2905</v>
      </c>
    </row>
    <row r="103" customFormat="false" ht="14.1" hidden="false" customHeight="true" outlineLevel="0" collapsed="false">
      <c r="A103" s="2101"/>
      <c r="B103" s="1997"/>
      <c r="C103" s="2011"/>
      <c r="D103" s="2014"/>
      <c r="E103" s="2014" t="n">
        <f aca="false">'Saisie et Calculateur'!H557</f>
        <v>2</v>
      </c>
      <c r="F103" s="2014"/>
      <c r="G103" s="2114"/>
      <c r="H103" s="2110"/>
      <c r="I103" s="2008"/>
      <c r="J103" s="931"/>
      <c r="K103" s="2105"/>
      <c r="N103" s="2063"/>
      <c r="O103" s="2062"/>
    </row>
    <row r="104" customFormat="false" ht="14.1" hidden="false" customHeight="true" outlineLevel="0" collapsed="false">
      <c r="A104" s="2101"/>
      <c r="B104" s="1997"/>
      <c r="C104" s="2113" t="s">
        <v>2920</v>
      </c>
      <c r="D104" s="2014"/>
      <c r="E104" s="2014"/>
      <c r="F104" s="2014"/>
      <c r="G104" s="2115" t="n">
        <f aca="false">IF(E105&gt;N104,O104,IF(E105&gt;=N105,O105,IF(E105&gt;N106,O106,O107)))</f>
        <v>0</v>
      </c>
      <c r="H104" s="2110"/>
      <c r="I104" s="2008"/>
      <c r="J104" s="931"/>
      <c r="K104" s="2105"/>
      <c r="N104" s="2116" t="n">
        <v>0.6</v>
      </c>
      <c r="O104" s="2010" t="n">
        <v>3</v>
      </c>
    </row>
    <row r="105" customFormat="false" ht="14.1" hidden="false" customHeight="true" outlineLevel="0" collapsed="false">
      <c r="A105" s="2101"/>
      <c r="B105" s="1997"/>
      <c r="C105" s="2117"/>
      <c r="D105" s="2118"/>
      <c r="E105" s="2119" t="n">
        <f aca="false">'Saisie et Calculateur'!J559</f>
        <v>0</v>
      </c>
      <c r="F105" s="2118"/>
      <c r="G105" s="2115"/>
      <c r="H105" s="2110"/>
      <c r="I105" s="2008"/>
      <c r="J105" s="931"/>
      <c r="K105" s="2105"/>
      <c r="N105" s="2116" t="n">
        <v>0.3</v>
      </c>
      <c r="O105" s="2010" t="n">
        <v>2</v>
      </c>
    </row>
    <row r="106" customFormat="false" ht="12.75" hidden="false" customHeight="true" outlineLevel="0" collapsed="false">
      <c r="A106" s="2101"/>
      <c r="B106" s="1997"/>
      <c r="C106" s="931"/>
      <c r="D106" s="931"/>
      <c r="E106" s="931"/>
      <c r="F106" s="931"/>
      <c r="G106" s="931"/>
      <c r="H106" s="931"/>
      <c r="I106" s="931"/>
      <c r="J106" s="931"/>
      <c r="K106" s="2105"/>
      <c r="N106" s="2068" t="n">
        <v>0</v>
      </c>
      <c r="O106" s="2010" t="n">
        <v>1</v>
      </c>
    </row>
    <row r="107" customFormat="false" ht="14.1" hidden="false" customHeight="true" outlineLevel="0" collapsed="false">
      <c r="A107" s="2101"/>
      <c r="B107" s="2033"/>
      <c r="C107" s="931"/>
      <c r="D107" s="931"/>
      <c r="E107" s="931"/>
      <c r="F107" s="931"/>
      <c r="G107" s="931"/>
      <c r="H107" s="931"/>
      <c r="I107" s="931"/>
      <c r="J107" s="931"/>
      <c r="K107" s="2105"/>
      <c r="N107" s="2070"/>
      <c r="O107" s="2010" t="n">
        <v>0</v>
      </c>
    </row>
    <row r="108" customFormat="false" ht="15" hidden="false" customHeight="true" outlineLevel="0" collapsed="false">
      <c r="A108" s="2101"/>
      <c r="B108" s="2033" t="s">
        <v>246</v>
      </c>
      <c r="C108" s="2120" t="s">
        <v>2921</v>
      </c>
      <c r="D108" s="2120"/>
      <c r="E108" s="2120"/>
      <c r="F108" s="2120"/>
      <c r="G108" s="2120"/>
      <c r="H108" s="2120"/>
      <c r="I108" s="2121" t="s">
        <v>2913</v>
      </c>
      <c r="J108" s="931"/>
      <c r="K108" s="2105"/>
    </row>
    <row r="109" customFormat="false" ht="14.1" hidden="false" customHeight="true" outlineLevel="0" collapsed="false">
      <c r="A109" s="2101"/>
      <c r="B109" s="2033"/>
      <c r="C109" s="931"/>
      <c r="D109" s="931"/>
      <c r="E109" s="931"/>
      <c r="F109" s="931"/>
      <c r="G109" s="931"/>
      <c r="H109" s="931"/>
      <c r="I109" s="931"/>
      <c r="J109" s="931"/>
      <c r="K109" s="2105"/>
      <c r="N109" s="1763" t="s">
        <v>2922</v>
      </c>
      <c r="O109" s="2026" t="n">
        <v>1</v>
      </c>
      <c r="P109" s="2026" t="n">
        <v>0.9</v>
      </c>
      <c r="Q109" s="1763"/>
      <c r="R109" s="1999"/>
      <c r="S109" s="931"/>
    </row>
    <row r="110" customFormat="false" ht="25.5" hidden="false" customHeight="true" outlineLevel="0" collapsed="false">
      <c r="A110" s="2101"/>
      <c r="B110" s="2033"/>
      <c r="C110" s="1597" t="s">
        <v>2822</v>
      </c>
      <c r="D110" s="1597"/>
      <c r="E110" s="1597"/>
      <c r="F110" s="1597"/>
      <c r="G110" s="1597"/>
      <c r="H110" s="2001" t="s">
        <v>2823</v>
      </c>
      <c r="I110" s="1810" t="s">
        <v>2824</v>
      </c>
      <c r="J110" s="931"/>
      <c r="K110" s="2105"/>
      <c r="N110" s="1763" t="s">
        <v>2855</v>
      </c>
      <c r="O110" s="1763" t="n">
        <v>8</v>
      </c>
      <c r="P110" s="1763" t="n">
        <v>4</v>
      </c>
      <c r="Q110" s="1763" t="n">
        <v>0</v>
      </c>
      <c r="R110" s="1999"/>
      <c r="S110" s="1999"/>
    </row>
    <row r="111" customFormat="false" ht="12.75" hidden="false" customHeight="true" outlineLevel="0" collapsed="false">
      <c r="A111" s="2101"/>
      <c r="B111" s="2033"/>
      <c r="C111" s="2122" t="s">
        <v>2923</v>
      </c>
      <c r="D111" s="2122"/>
      <c r="E111" s="2123" t="str">
        <f aca="false">'Saisie et Calculateur'!B564</f>
        <v>monogastrique</v>
      </c>
      <c r="F111" s="2123"/>
      <c r="G111" s="2123"/>
      <c r="H111" s="2124" t="n">
        <f aca="false">IF(E111="pas d'élevage",0,IF(E111="monogastrique",G114,IF(E111="herbivore",ROUND(G112*0.7+G114*0.3,0),0)))</f>
        <v>0</v>
      </c>
      <c r="I111" s="2008" t="n">
        <f aca="false">MIN(8,H111)</f>
        <v>0</v>
      </c>
      <c r="J111" s="931"/>
      <c r="K111" s="2105"/>
      <c r="N111" s="1999"/>
      <c r="O111" s="1999"/>
      <c r="P111" s="1999"/>
      <c r="Q111" s="1999"/>
      <c r="R111" s="1999"/>
      <c r="S111" s="1999"/>
    </row>
    <row r="112" customFormat="false" ht="14.1" hidden="false" customHeight="true" outlineLevel="0" collapsed="false">
      <c r="A112" s="2101"/>
      <c r="B112" s="2033"/>
      <c r="C112" s="1769" t="s">
        <v>2924</v>
      </c>
      <c r="D112" s="931"/>
      <c r="E112" s="2077"/>
      <c r="F112" s="931"/>
      <c r="G112" s="2114" t="n">
        <f aca="false">IF(E113&gt;=O109,O110,IF(E113&gt;=P109,P110,Q110))</f>
        <v>0</v>
      </c>
      <c r="H112" s="2124"/>
      <c r="I112" s="2008"/>
      <c r="J112" s="931"/>
      <c r="K112" s="2105"/>
      <c r="N112" s="1746" t="s">
        <v>2925</v>
      </c>
      <c r="O112" s="2125" t="n">
        <v>0.8</v>
      </c>
      <c r="P112" s="2125" t="n">
        <v>0.5</v>
      </c>
      <c r="Q112" s="1746"/>
    </row>
    <row r="113" customFormat="false" ht="14.1" hidden="false" customHeight="true" outlineLevel="0" collapsed="false">
      <c r="A113" s="2101"/>
      <c r="B113" s="2033"/>
      <c r="C113" s="1769"/>
      <c r="D113" s="931" t="s">
        <v>1130</v>
      </c>
      <c r="E113" s="2061" t="n">
        <f aca="false">'Saisie et Calculateur'!J567</f>
        <v>0</v>
      </c>
      <c r="F113" s="931"/>
      <c r="G113" s="2114"/>
      <c r="H113" s="2124"/>
      <c r="I113" s="2008"/>
      <c r="J113" s="931"/>
      <c r="K113" s="2105"/>
      <c r="N113" s="1746" t="s">
        <v>2895</v>
      </c>
      <c r="O113" s="1746" t="n">
        <v>8</v>
      </c>
      <c r="P113" s="1746" t="n">
        <v>4</v>
      </c>
      <c r="Q113" s="1746" t="n">
        <v>0</v>
      </c>
      <c r="R113" s="1753"/>
      <c r="S113" s="1753"/>
      <c r="T113" s="1753"/>
    </row>
    <row r="114" customFormat="false" ht="14.1" hidden="false" customHeight="true" outlineLevel="0" collapsed="false">
      <c r="A114" s="2101"/>
      <c r="B114" s="2033"/>
      <c r="C114" s="2126" t="s">
        <v>2926</v>
      </c>
      <c r="D114" s="2126"/>
      <c r="E114" s="2126"/>
      <c r="F114" s="2126"/>
      <c r="G114" s="2127" t="n">
        <f aca="false">IF(E115&gt;=O112,O113,IF(E115&gt;=P112,P113,Q113))</f>
        <v>0</v>
      </c>
      <c r="H114" s="2124"/>
      <c r="I114" s="2008"/>
      <c r="J114" s="931"/>
      <c r="K114" s="2105"/>
      <c r="R114" s="1753"/>
      <c r="S114" s="1753"/>
      <c r="T114" s="1753"/>
    </row>
    <row r="115" customFormat="false" ht="14.1" hidden="false" customHeight="true" outlineLevel="0" collapsed="false">
      <c r="A115" s="2101"/>
      <c r="B115" s="2033"/>
      <c r="C115" s="2117"/>
      <c r="D115" s="2128" t="s">
        <v>1130</v>
      </c>
      <c r="E115" s="2129" t="n">
        <f aca="false">'Saisie et Calculateur'!J570</f>
        <v>0</v>
      </c>
      <c r="F115" s="2118"/>
      <c r="G115" s="2127"/>
      <c r="H115" s="2124"/>
      <c r="I115" s="2008"/>
      <c r="J115" s="931"/>
      <c r="K115" s="2105"/>
    </row>
    <row r="116" customFormat="false" ht="14.1" hidden="false" customHeight="true" outlineLevel="0" collapsed="false">
      <c r="A116" s="2101"/>
      <c r="B116" s="2033"/>
      <c r="C116" s="931"/>
      <c r="D116" s="931"/>
      <c r="E116" s="931"/>
      <c r="F116" s="931"/>
      <c r="G116" s="931"/>
      <c r="H116" s="931"/>
      <c r="I116" s="931"/>
      <c r="J116" s="931"/>
      <c r="K116" s="2105"/>
    </row>
    <row r="117" customFormat="false" ht="14.1" hidden="false" customHeight="true" outlineLevel="0" collapsed="false">
      <c r="A117" s="2101"/>
      <c r="B117" s="2033"/>
      <c r="C117" s="931"/>
      <c r="D117" s="931"/>
      <c r="E117" s="931"/>
      <c r="F117" s="931"/>
      <c r="G117" s="2041"/>
      <c r="H117" s="931"/>
      <c r="I117" s="931"/>
      <c r="J117" s="931"/>
      <c r="K117" s="2105"/>
    </row>
    <row r="118" customFormat="false" ht="14.1" hidden="false" customHeight="true" outlineLevel="0" collapsed="false">
      <c r="A118" s="2101"/>
      <c r="B118" s="2033" t="s">
        <v>514</v>
      </c>
      <c r="C118" s="2120" t="s">
        <v>2927</v>
      </c>
      <c r="D118" s="2120"/>
      <c r="E118" s="2120"/>
      <c r="F118" s="2120"/>
      <c r="G118" s="2120"/>
      <c r="H118" s="2120"/>
      <c r="I118" s="2121" t="s">
        <v>2913</v>
      </c>
      <c r="J118" s="931"/>
      <c r="K118" s="2105"/>
    </row>
    <row r="119" customFormat="false" ht="14.1" hidden="false" customHeight="true" outlineLevel="0" collapsed="false">
      <c r="A119" s="2101"/>
      <c r="B119" s="2033"/>
      <c r="C119" s="931"/>
      <c r="D119" s="931"/>
      <c r="E119" s="931"/>
      <c r="F119" s="931"/>
      <c r="G119" s="931"/>
      <c r="H119" s="931"/>
      <c r="I119" s="931"/>
      <c r="J119" s="931"/>
      <c r="K119" s="2105"/>
      <c r="N119" s="1572" t="s">
        <v>2928</v>
      </c>
      <c r="O119" s="2125" t="n">
        <v>0.6</v>
      </c>
      <c r="P119" s="2125" t="n">
        <v>0.3</v>
      </c>
      <c r="Q119" s="2125" t="n">
        <v>0</v>
      </c>
      <c r="R119" s="2125" t="s">
        <v>2929</v>
      </c>
    </row>
    <row r="120" customFormat="false" ht="25.5" hidden="false" customHeight="true" outlineLevel="0" collapsed="false">
      <c r="A120" s="2101"/>
      <c r="B120" s="2033"/>
      <c r="C120" s="2000" t="s">
        <v>2822</v>
      </c>
      <c r="D120" s="2000"/>
      <c r="E120" s="2000"/>
      <c r="F120" s="2000"/>
      <c r="G120" s="2000"/>
      <c r="H120" s="2001" t="s">
        <v>2823</v>
      </c>
      <c r="I120" s="2001" t="s">
        <v>2824</v>
      </c>
      <c r="J120" s="931"/>
      <c r="K120" s="2105"/>
      <c r="N120" s="1597" t="s">
        <v>2895</v>
      </c>
      <c r="O120" s="1597" t="n">
        <v>6</v>
      </c>
      <c r="P120" s="1597" t="n">
        <v>4</v>
      </c>
      <c r="Q120" s="1597" t="n">
        <v>2</v>
      </c>
      <c r="R120" s="1597" t="n">
        <v>0</v>
      </c>
    </row>
    <row r="121" customFormat="false" ht="14.1" hidden="false" customHeight="true" outlineLevel="0" collapsed="false">
      <c r="A121" s="2101"/>
      <c r="B121" s="1997"/>
      <c r="C121" s="2130" t="s">
        <v>2930</v>
      </c>
      <c r="D121" s="2130"/>
      <c r="E121" s="2130"/>
      <c r="F121" s="2130"/>
      <c r="G121" s="2131" t="n">
        <f aca="false">IF(E122&gt;=O119,O120,IF(E122&gt;=P119,P120,IF(E122&gt;Q119,Q120,R120)))</f>
        <v>2</v>
      </c>
      <c r="H121" s="2124" t="n">
        <f aca="false">IF(E16=1,8,G123+G121)</f>
        <v>3</v>
      </c>
      <c r="I121" s="2008" t="n">
        <f aca="false">MIN(8,H121)</f>
        <v>3</v>
      </c>
      <c r="J121" s="931"/>
      <c r="K121" s="2105"/>
    </row>
    <row r="122" customFormat="false" ht="14.1" hidden="false" customHeight="true" outlineLevel="0" collapsed="false">
      <c r="A122" s="2101"/>
      <c r="B122" s="1997"/>
      <c r="C122" s="2113"/>
      <c r="D122" s="2014" t="s">
        <v>1130</v>
      </c>
      <c r="E122" s="2050" t="n">
        <f aca="false">'Saisie et Calculateur'!J577</f>
        <v>0.0297703430677629</v>
      </c>
      <c r="F122" s="931"/>
      <c r="G122" s="2131"/>
      <c r="H122" s="2124"/>
      <c r="I122" s="2008"/>
      <c r="J122" s="931"/>
      <c r="K122" s="2105"/>
      <c r="N122" s="1597" t="s">
        <v>2931</v>
      </c>
      <c r="O122" s="2026" t="n">
        <v>0.4</v>
      </c>
      <c r="P122" s="2026" t="n">
        <v>0.3</v>
      </c>
      <c r="Q122" s="2026" t="n">
        <v>0.2</v>
      </c>
      <c r="R122" s="2132" t="n">
        <v>0.05</v>
      </c>
      <c r="S122" s="2010" t="s">
        <v>2929</v>
      </c>
    </row>
    <row r="123" customFormat="false" ht="14.1" hidden="false" customHeight="true" outlineLevel="0" collapsed="false">
      <c r="A123" s="2101"/>
      <c r="B123" s="1997"/>
      <c r="C123" s="2111" t="s">
        <v>2932</v>
      </c>
      <c r="D123" s="2111"/>
      <c r="E123" s="2111"/>
      <c r="F123" s="2111"/>
      <c r="G123" s="2115" t="n">
        <f aca="false">IF(E124&gt;=O122,O123,IF(E124&gt;=P122,P123,IF(E124&gt;=Q122,Q123,IF(E124&gt;=R122,R123,S123))))</f>
        <v>1</v>
      </c>
      <c r="H123" s="2124"/>
      <c r="I123" s="2008"/>
      <c r="J123" s="931"/>
      <c r="K123" s="2105"/>
      <c r="N123" s="1597" t="s">
        <v>2895</v>
      </c>
      <c r="O123" s="1597" t="n">
        <v>4</v>
      </c>
      <c r="P123" s="1597" t="n">
        <v>3</v>
      </c>
      <c r="Q123" s="1597" t="n">
        <v>2</v>
      </c>
      <c r="R123" s="2053" t="n">
        <v>1</v>
      </c>
      <c r="S123" s="2039" t="n">
        <v>0</v>
      </c>
    </row>
    <row r="124" customFormat="false" ht="14.1" hidden="false" customHeight="true" outlineLevel="0" collapsed="false">
      <c r="A124" s="2101"/>
      <c r="B124" s="1997"/>
      <c r="C124" s="2117"/>
      <c r="D124" s="2118" t="s">
        <v>1130</v>
      </c>
      <c r="E124" s="2119" t="n">
        <f aca="false">'Saisie et Calculateur'!J582</f>
        <v>0.153947368421053</v>
      </c>
      <c r="F124" s="2118"/>
      <c r="G124" s="2115"/>
      <c r="H124" s="2124"/>
      <c r="I124" s="2008"/>
      <c r="J124" s="931"/>
      <c r="K124" s="2105"/>
    </row>
    <row r="125" customFormat="false" ht="14.1" hidden="false" customHeight="true" outlineLevel="0" collapsed="false">
      <c r="A125" s="2101"/>
      <c r="B125" s="1997"/>
      <c r="C125" s="931"/>
      <c r="D125" s="931"/>
      <c r="E125" s="931"/>
      <c r="F125" s="931"/>
      <c r="G125" s="931"/>
      <c r="H125" s="931"/>
      <c r="I125" s="931"/>
      <c r="J125" s="931"/>
      <c r="K125" s="2105"/>
    </row>
    <row r="126" customFormat="false" ht="14.1" hidden="false" customHeight="true" outlineLevel="0" collapsed="false">
      <c r="A126" s="2101"/>
      <c r="B126" s="1997"/>
      <c r="C126" s="931"/>
      <c r="D126" s="931"/>
      <c r="E126" s="931"/>
      <c r="F126" s="931"/>
      <c r="G126" s="931"/>
      <c r="H126" s="931"/>
      <c r="I126" s="931"/>
      <c r="J126" s="931"/>
      <c r="K126" s="2105"/>
    </row>
    <row r="127" customFormat="false" ht="14.1" hidden="false" customHeight="true" outlineLevel="0" collapsed="false">
      <c r="A127" s="2101"/>
      <c r="B127" s="2095"/>
      <c r="C127" s="2133"/>
      <c r="D127" s="2133"/>
      <c r="E127" s="2133"/>
      <c r="F127" s="2133"/>
      <c r="G127" s="2134"/>
      <c r="H127" s="2134"/>
      <c r="I127" s="2134"/>
      <c r="J127" s="2134"/>
      <c r="K127" s="2105"/>
    </row>
    <row r="128" customFormat="false" ht="13.5" hidden="false" customHeight="true" outlineLevel="0" collapsed="false"/>
    <row r="129" customFormat="false" ht="15" hidden="false" customHeight="true" outlineLevel="0" collapsed="false">
      <c r="A129" s="2135" t="s">
        <v>2933</v>
      </c>
      <c r="B129" s="1992" t="s">
        <v>566</v>
      </c>
      <c r="C129" s="2102" t="s">
        <v>2934</v>
      </c>
      <c r="D129" s="2102"/>
      <c r="E129" s="2102"/>
      <c r="F129" s="2102"/>
      <c r="G129" s="2102"/>
      <c r="H129" s="2102"/>
      <c r="I129" s="2103" t="s">
        <v>2913</v>
      </c>
      <c r="J129" s="2104"/>
      <c r="K129" s="2136" t="n">
        <f aca="false">MIN(20,SUM(I132,I140,I147))</f>
        <v>11</v>
      </c>
    </row>
    <row r="130" customFormat="false" ht="14.1" hidden="false" customHeight="true" outlineLevel="0" collapsed="false">
      <c r="A130" s="2135"/>
      <c r="B130" s="1997"/>
      <c r="C130" s="931"/>
      <c r="D130" s="931"/>
      <c r="E130" s="931"/>
      <c r="F130" s="931"/>
      <c r="G130" s="931"/>
      <c r="H130" s="931"/>
      <c r="I130" s="931"/>
      <c r="J130" s="931"/>
      <c r="K130" s="2136"/>
    </row>
    <row r="131" customFormat="false" ht="25.5" hidden="false" customHeight="true" outlineLevel="0" collapsed="false">
      <c r="A131" s="2135"/>
      <c r="B131" s="1997"/>
      <c r="C131" s="1597" t="s">
        <v>2822</v>
      </c>
      <c r="D131" s="1597"/>
      <c r="E131" s="1597"/>
      <c r="F131" s="1597"/>
      <c r="G131" s="1597"/>
      <c r="H131" s="2001" t="s">
        <v>2823</v>
      </c>
      <c r="I131" s="1810" t="s">
        <v>2824</v>
      </c>
      <c r="J131" s="931"/>
      <c r="K131" s="2136"/>
    </row>
    <row r="132" customFormat="false" ht="14.1" hidden="false" customHeight="true" outlineLevel="0" collapsed="false">
      <c r="A132" s="2135"/>
      <c r="B132" s="1997"/>
      <c r="C132" s="2137" t="s">
        <v>2935</v>
      </c>
      <c r="D132" s="2137"/>
      <c r="E132" s="2137"/>
      <c r="F132" s="2138" t="str">
        <f aca="false">'Saisie et Calculateur'!D590</f>
        <v>Oui</v>
      </c>
      <c r="G132" s="2139" t="n">
        <f aca="false">IF(F132="Non",8,0)</f>
        <v>0</v>
      </c>
      <c r="H132" s="2124" t="n">
        <f aca="false">IF(G132=8,8,G133)</f>
        <v>0</v>
      </c>
      <c r="I132" s="2008" t="n">
        <f aca="false">MIN(8,H132)</f>
        <v>0</v>
      </c>
      <c r="J132" s="931"/>
      <c r="K132" s="2136"/>
    </row>
    <row r="133" customFormat="false" ht="14.1" hidden="false" customHeight="true" outlineLevel="0" collapsed="false">
      <c r="A133" s="2135"/>
      <c r="B133" s="1997"/>
      <c r="C133" s="2140" t="s">
        <v>2936</v>
      </c>
      <c r="D133" s="2140"/>
      <c r="E133" s="2140"/>
      <c r="F133" s="2140"/>
      <c r="G133" s="2141" t="n">
        <f aca="false">'Saisie et Calculateur'!H603</f>
        <v>0</v>
      </c>
      <c r="H133" s="2124"/>
      <c r="I133" s="2008"/>
      <c r="J133" s="931"/>
      <c r="K133" s="2136"/>
    </row>
    <row r="134" customFormat="false" ht="14.1" hidden="false" customHeight="true" outlineLevel="0" collapsed="false">
      <c r="A134" s="2135"/>
      <c r="B134" s="1997"/>
      <c r="C134" s="2140"/>
      <c r="D134" s="2140"/>
      <c r="E134" s="2140"/>
      <c r="F134" s="2140"/>
      <c r="G134" s="2141"/>
      <c r="H134" s="2124"/>
      <c r="I134" s="2008"/>
      <c r="J134" s="931"/>
      <c r="K134" s="2136"/>
    </row>
    <row r="135" customFormat="false" ht="14.1" hidden="false" customHeight="true" outlineLevel="0" collapsed="false">
      <c r="A135" s="2135"/>
      <c r="B135" s="1997"/>
      <c r="C135" s="931"/>
      <c r="D135" s="931"/>
      <c r="E135" s="931"/>
      <c r="F135" s="931"/>
      <c r="G135" s="931"/>
      <c r="H135" s="931"/>
      <c r="I135" s="931"/>
      <c r="J135" s="931"/>
      <c r="K135" s="2136"/>
    </row>
    <row r="136" customFormat="false" ht="14.1" hidden="false" customHeight="true" outlineLevel="0" collapsed="false">
      <c r="A136" s="2135"/>
      <c r="B136" s="1997"/>
      <c r="C136" s="931"/>
      <c r="D136" s="931"/>
      <c r="E136" s="931"/>
      <c r="F136" s="931"/>
      <c r="G136" s="931"/>
      <c r="H136" s="931"/>
      <c r="I136" s="931"/>
      <c r="J136" s="931"/>
      <c r="K136" s="2136"/>
    </row>
    <row r="137" customFormat="false" ht="14.1" hidden="false" customHeight="true" outlineLevel="0" collapsed="false">
      <c r="A137" s="2135"/>
      <c r="B137" s="1997" t="s">
        <v>2937</v>
      </c>
      <c r="C137" s="2120" t="s">
        <v>2938</v>
      </c>
      <c r="D137" s="2120"/>
      <c r="E137" s="2120"/>
      <c r="F137" s="2120"/>
      <c r="G137" s="2120"/>
      <c r="H137" s="2120"/>
      <c r="I137" s="2121" t="s">
        <v>2913</v>
      </c>
      <c r="J137" s="931"/>
      <c r="K137" s="2136"/>
      <c r="N137" s="1763" t="s">
        <v>2939</v>
      </c>
      <c r="O137" s="2142" t="n">
        <v>20</v>
      </c>
      <c r="P137" s="2142" t="n">
        <v>30</v>
      </c>
      <c r="Q137" s="2143" t="n">
        <v>40</v>
      </c>
      <c r="R137" s="2144" t="n">
        <v>60</v>
      </c>
      <c r="S137" s="2070"/>
    </row>
    <row r="138" customFormat="false" ht="14.1" hidden="false" customHeight="true" outlineLevel="0" collapsed="false">
      <c r="A138" s="2135"/>
      <c r="B138" s="1997"/>
      <c r="C138" s="931"/>
      <c r="D138" s="931"/>
      <c r="E138" s="931"/>
      <c r="F138" s="931"/>
      <c r="G138" s="931"/>
      <c r="H138" s="931"/>
      <c r="I138" s="931"/>
      <c r="J138" s="931"/>
      <c r="K138" s="2136"/>
      <c r="N138" s="1763" t="s">
        <v>2855</v>
      </c>
      <c r="O138" s="1763" t="n">
        <v>8</v>
      </c>
      <c r="P138" s="1763" t="n">
        <v>6</v>
      </c>
      <c r="Q138" s="2009" t="n">
        <v>4</v>
      </c>
      <c r="R138" s="2039" t="n">
        <v>2</v>
      </c>
      <c r="S138" s="2039" t="n">
        <v>0</v>
      </c>
    </row>
    <row r="139" customFormat="false" ht="39" hidden="false" customHeight="true" outlineLevel="0" collapsed="false">
      <c r="A139" s="2135"/>
      <c r="B139" s="1997"/>
      <c r="C139" s="1597" t="s">
        <v>2822</v>
      </c>
      <c r="D139" s="1597"/>
      <c r="E139" s="1597"/>
      <c r="F139" s="1597"/>
      <c r="G139" s="1597"/>
      <c r="H139" s="2001" t="s">
        <v>2823</v>
      </c>
      <c r="I139" s="1810" t="s">
        <v>2824</v>
      </c>
      <c r="J139" s="931"/>
      <c r="K139" s="2136"/>
    </row>
    <row r="140" customFormat="false" ht="14.1" hidden="false" customHeight="true" outlineLevel="0" collapsed="false">
      <c r="A140" s="2135"/>
      <c r="B140" s="1997"/>
      <c r="C140" s="2145" t="s">
        <v>1406</v>
      </c>
      <c r="D140" s="2145"/>
      <c r="E140" s="2145"/>
      <c r="F140" s="2145"/>
      <c r="G140" s="2146" t="n">
        <f aca="false">IF(E141&lt;=O137,O138,IF(E141&lt;=P137,P138,IF(E141&lt;=Q137,Q138,IF(E141&lt;=R137,R138,S138))))</f>
        <v>6</v>
      </c>
      <c r="H140" s="1597" t="n">
        <f aca="false">G140</f>
        <v>6</v>
      </c>
      <c r="I140" s="2147" t="n">
        <f aca="false">MIN(8,H140)</f>
        <v>6</v>
      </c>
      <c r="J140" s="931"/>
      <c r="K140" s="2136"/>
      <c r="N140" s="1999"/>
      <c r="O140" s="1999"/>
      <c r="P140" s="1999"/>
      <c r="Q140" s="1999"/>
      <c r="R140" s="1999"/>
      <c r="S140" s="931"/>
    </row>
    <row r="141" customFormat="false" ht="14.1" hidden="false" customHeight="true" outlineLevel="0" collapsed="false">
      <c r="A141" s="2135"/>
      <c r="B141" s="1997"/>
      <c r="C141" s="2140"/>
      <c r="D141" s="2148" t="s">
        <v>2940</v>
      </c>
      <c r="E141" s="2149" t="n">
        <f aca="false">'Saisie et Calculateur'!F610</f>
        <v>29.174025974026</v>
      </c>
      <c r="F141" s="2148"/>
      <c r="G141" s="2146"/>
      <c r="H141" s="1597"/>
      <c r="I141" s="2147"/>
      <c r="J141" s="931"/>
      <c r="K141" s="2136"/>
      <c r="Q141" s="1999"/>
      <c r="R141" s="1999"/>
      <c r="S141" s="931"/>
    </row>
    <row r="142" customFormat="false" ht="14.1" hidden="false" customHeight="true" outlineLevel="0" collapsed="false">
      <c r="A142" s="2135"/>
      <c r="J142" s="931"/>
      <c r="K142" s="2136"/>
      <c r="Q142" s="1999"/>
      <c r="R142" s="1999"/>
      <c r="S142" s="931"/>
    </row>
    <row r="143" customFormat="false" ht="14.1" hidden="false" customHeight="true" outlineLevel="0" collapsed="false">
      <c r="A143" s="2135"/>
      <c r="J143" s="931"/>
      <c r="K143" s="2136"/>
      <c r="N143" s="1999"/>
      <c r="O143" s="1999"/>
      <c r="P143" s="1999"/>
      <c r="Q143" s="1999"/>
      <c r="R143" s="1999"/>
    </row>
    <row r="144" customFormat="false" ht="14.1" hidden="false" customHeight="true" outlineLevel="0" collapsed="false">
      <c r="A144" s="2135"/>
      <c r="B144" s="2033" t="s">
        <v>541</v>
      </c>
      <c r="C144" s="2120" t="s">
        <v>2941</v>
      </c>
      <c r="D144" s="2120"/>
      <c r="E144" s="2120"/>
      <c r="F144" s="2120"/>
      <c r="G144" s="2120"/>
      <c r="H144" s="2120"/>
      <c r="I144" s="2121" t="s">
        <v>2913</v>
      </c>
      <c r="J144" s="931"/>
      <c r="K144" s="2136"/>
      <c r="N144" s="1763" t="s">
        <v>2942</v>
      </c>
      <c r="O144" s="1763" t="n">
        <v>200</v>
      </c>
      <c r="P144" s="1763" t="n">
        <v>300</v>
      </c>
      <c r="Q144" s="1763" t="n">
        <v>450</v>
      </c>
      <c r="R144" s="1763" t="n">
        <v>600</v>
      </c>
      <c r="S144" s="2009" t="n">
        <v>750</v>
      </c>
      <c r="T144" s="2039" t="n">
        <v>900</v>
      </c>
      <c r="U144" s="2039" t="n">
        <v>1100</v>
      </c>
      <c r="V144" s="2039" t="n">
        <v>1300</v>
      </c>
      <c r="W144" s="2070"/>
    </row>
    <row r="145" customFormat="false" ht="12" hidden="false" customHeight="true" outlineLevel="0" collapsed="false">
      <c r="A145" s="2135"/>
      <c r="B145" s="1997"/>
      <c r="C145" s="931"/>
      <c r="D145" s="931"/>
      <c r="E145" s="931"/>
      <c r="F145" s="931"/>
      <c r="G145" s="931"/>
      <c r="H145" s="931"/>
      <c r="I145" s="931"/>
      <c r="J145" s="931"/>
      <c r="K145" s="2136"/>
      <c r="N145" s="1763" t="s">
        <v>2855</v>
      </c>
      <c r="O145" s="1763" t="n">
        <v>8</v>
      </c>
      <c r="P145" s="1763" t="n">
        <v>7</v>
      </c>
      <c r="Q145" s="1763" t="n">
        <v>6</v>
      </c>
      <c r="R145" s="1763" t="n">
        <v>5</v>
      </c>
      <c r="S145" s="2009" t="n">
        <v>4</v>
      </c>
      <c r="T145" s="2039" t="n">
        <v>3</v>
      </c>
      <c r="U145" s="2039" t="n">
        <v>2</v>
      </c>
      <c r="V145" s="2039" t="n">
        <v>1</v>
      </c>
      <c r="W145" s="2039" t="n">
        <v>0</v>
      </c>
    </row>
    <row r="146" customFormat="false" ht="25.5" hidden="false" customHeight="true" outlineLevel="0" collapsed="false">
      <c r="A146" s="2135"/>
      <c r="C146" s="2000" t="s">
        <v>2822</v>
      </c>
      <c r="D146" s="2000"/>
      <c r="E146" s="2000"/>
      <c r="F146" s="2000"/>
      <c r="G146" s="2000"/>
      <c r="H146" s="2001" t="s">
        <v>2823</v>
      </c>
      <c r="I146" s="1810" t="s">
        <v>2824</v>
      </c>
      <c r="J146" s="931"/>
      <c r="K146" s="2136"/>
    </row>
    <row r="147" customFormat="false" ht="14.1" hidden="false" customHeight="true" outlineLevel="0" collapsed="false">
      <c r="A147" s="2135"/>
      <c r="C147" s="2137" t="s">
        <v>2943</v>
      </c>
      <c r="D147" s="2137"/>
      <c r="E147" s="2137"/>
      <c r="F147" s="2137"/>
      <c r="G147" s="2146" t="n">
        <f aca="false">IF(E148&lt;O144,O145,IF(E148&lt;P144,P145,IF(E148&lt;Q144,Q145,IF(E148&lt;R144,R145,IF(E148&lt;S144,S145,IF(E148&lt;T144,T145,IF(E148&lt;U144,U145,IF(E148&lt;V144,V145,W145))))))))</f>
        <v>5</v>
      </c>
      <c r="H147" s="1597" t="n">
        <f aca="false">G147</f>
        <v>5</v>
      </c>
      <c r="I147" s="2008" t="n">
        <f aca="false">MIN(8,H147)</f>
        <v>5</v>
      </c>
      <c r="J147" s="931"/>
      <c r="K147" s="2136"/>
    </row>
    <row r="148" customFormat="false" ht="14.1" hidden="false" customHeight="true" outlineLevel="0" collapsed="false">
      <c r="A148" s="2135"/>
      <c r="C148" s="2150"/>
      <c r="D148" s="2148" t="s">
        <v>1415</v>
      </c>
      <c r="E148" s="2151" t="n">
        <f aca="false">'Saisie et Calculateur'!J635</f>
        <v>509.850874265399</v>
      </c>
      <c r="F148" s="2148"/>
      <c r="G148" s="2146"/>
      <c r="H148" s="1597"/>
      <c r="I148" s="2008"/>
      <c r="J148" s="931"/>
      <c r="K148" s="2136"/>
    </row>
    <row r="149" customFormat="false" ht="14.1" hidden="false" customHeight="true" outlineLevel="0" collapsed="false">
      <c r="A149" s="2135"/>
      <c r="B149" s="2095"/>
      <c r="C149" s="2133"/>
      <c r="D149" s="2133"/>
      <c r="E149" s="2133"/>
      <c r="F149" s="2133"/>
      <c r="G149" s="2134"/>
      <c r="H149" s="2134"/>
      <c r="I149" s="2134"/>
      <c r="J149" s="2134"/>
      <c r="K149" s="2136"/>
      <c r="S149" s="931"/>
    </row>
    <row r="150" customFormat="false" ht="14.1" hidden="false" customHeight="true" outlineLevel="0" collapsed="false"/>
    <row r="151" customFormat="false" ht="14.1" hidden="false" customHeight="true" outlineLevel="0" collapsed="false">
      <c r="A151" s="2152" t="s">
        <v>2944</v>
      </c>
      <c r="B151" s="1992" t="s">
        <v>574</v>
      </c>
      <c r="C151" s="2102" t="s">
        <v>2945</v>
      </c>
      <c r="D151" s="2102"/>
      <c r="E151" s="2102"/>
      <c r="F151" s="2102"/>
      <c r="G151" s="2102"/>
      <c r="H151" s="2102"/>
      <c r="I151" s="2103" t="s">
        <v>2913</v>
      </c>
      <c r="J151" s="2104"/>
      <c r="K151" s="2153" t="n">
        <f aca="false">MIN(20,SUM(I189,I198,I154,I169))</f>
        <v>16</v>
      </c>
    </row>
    <row r="152" customFormat="false" ht="14.1" hidden="false" customHeight="true" outlineLevel="0" collapsed="false">
      <c r="A152" s="2152"/>
      <c r="B152" s="1997"/>
      <c r="C152" s="931"/>
      <c r="D152" s="931"/>
      <c r="E152" s="931"/>
      <c r="F152" s="931"/>
      <c r="G152" s="931"/>
      <c r="H152" s="931"/>
      <c r="I152" s="931"/>
      <c r="J152" s="931"/>
      <c r="K152" s="2153"/>
    </row>
    <row r="153" customFormat="false" ht="39" hidden="false" customHeight="true" outlineLevel="0" collapsed="false">
      <c r="A153" s="2152"/>
      <c r="B153" s="1997"/>
      <c r="C153" s="1597" t="s">
        <v>2822</v>
      </c>
      <c r="D153" s="1597"/>
      <c r="E153" s="1597"/>
      <c r="F153" s="1597"/>
      <c r="G153" s="1597"/>
      <c r="H153" s="2001" t="s">
        <v>2823</v>
      </c>
      <c r="I153" s="1810" t="s">
        <v>2824</v>
      </c>
      <c r="J153" s="931"/>
      <c r="K153" s="2153"/>
      <c r="M153" s="931"/>
    </row>
    <row r="154" customFormat="false" ht="14.1" hidden="false" customHeight="true" outlineLevel="0" collapsed="false">
      <c r="A154" s="2152"/>
      <c r="B154" s="1997"/>
      <c r="C154" s="2154" t="s">
        <v>2946</v>
      </c>
      <c r="D154" s="2154"/>
      <c r="E154" s="2154"/>
      <c r="F154" s="2154"/>
      <c r="G154" s="2109" t="n">
        <f aca="false">MIN(F155+F157+F158,4)</f>
        <v>1</v>
      </c>
      <c r="H154" s="2124" t="n">
        <f aca="false">G154+G159+G162</f>
        <v>9</v>
      </c>
      <c r="I154" s="2008" t="n">
        <f aca="false">MIN(8,H154)</f>
        <v>8</v>
      </c>
      <c r="J154" s="931"/>
      <c r="K154" s="2153"/>
      <c r="M154" s="931"/>
      <c r="N154" s="2039" t="s">
        <v>2866</v>
      </c>
      <c r="O154" s="2039" t="s">
        <v>1909</v>
      </c>
      <c r="P154" s="2039"/>
      <c r="Q154" s="2039"/>
      <c r="R154" s="2039"/>
      <c r="S154" s="2039"/>
      <c r="T154" s="2039"/>
      <c r="U154" s="2039"/>
      <c r="V154" s="2039"/>
      <c r="W154" s="2039"/>
      <c r="X154" s="2039"/>
    </row>
    <row r="155" customFormat="false" ht="14.1" hidden="false" customHeight="true" outlineLevel="0" collapsed="false">
      <c r="A155" s="2152"/>
      <c r="B155" s="1997"/>
      <c r="C155" s="2111"/>
      <c r="D155" s="2155" t="s">
        <v>2947</v>
      </c>
      <c r="E155" s="2014" t="str">
        <f aca="false">'Saisie et Calculateur'!D648</f>
        <v>Systèmes en grandes cultures avec cultures irriguées dominantes de maïs, soja, pomme de terre ou légumes plein champ</v>
      </c>
      <c r="F155" s="0" t="n">
        <f aca="false">IF(E155=O158,N158,IF(E155=O157,N157,IF(E155=O156,N156,N155)))</f>
        <v>1</v>
      </c>
      <c r="G155" s="2109"/>
      <c r="H155" s="2124"/>
      <c r="I155" s="2008"/>
      <c r="J155" s="931"/>
      <c r="K155" s="2153"/>
      <c r="M155" s="931"/>
      <c r="N155" s="2039" t="n">
        <v>0</v>
      </c>
      <c r="O155" s="2156" t="s">
        <v>582</v>
      </c>
      <c r="P155" s="2156"/>
      <c r="Q155" s="2156"/>
      <c r="R155" s="2156"/>
      <c r="S155" s="2156"/>
      <c r="T155" s="2156"/>
      <c r="U155" s="2156"/>
      <c r="V155" s="2156"/>
      <c r="W155" s="2156"/>
      <c r="X155" s="2156"/>
    </row>
    <row r="156" customFormat="false" ht="14.1" hidden="false" customHeight="true" outlineLevel="0" collapsed="false">
      <c r="A156" s="2152"/>
      <c r="B156" s="1997"/>
      <c r="C156" s="2157"/>
      <c r="D156" s="1435" t="s">
        <v>2948</v>
      </c>
      <c r="E156" s="2014"/>
      <c r="F156" s="931"/>
      <c r="G156" s="2109"/>
      <c r="H156" s="2124"/>
      <c r="I156" s="2008"/>
      <c r="J156" s="931"/>
      <c r="K156" s="2153"/>
      <c r="N156" s="2039" t="n">
        <v>1</v>
      </c>
      <c r="O156" s="2156" t="s">
        <v>583</v>
      </c>
      <c r="P156" s="2156"/>
      <c r="Q156" s="2156"/>
      <c r="R156" s="2156"/>
      <c r="S156" s="2156"/>
      <c r="T156" s="2156"/>
      <c r="U156" s="2156"/>
      <c r="V156" s="2156"/>
      <c r="W156" s="2156"/>
      <c r="X156" s="2156"/>
    </row>
    <row r="157" customFormat="false" ht="12" hidden="false" customHeight="true" outlineLevel="0" collapsed="false">
      <c r="A157" s="2152"/>
      <c r="B157" s="1997"/>
      <c r="C157" s="2111"/>
      <c r="D157" s="931"/>
      <c r="E157" s="2158" t="str">
        <f aca="false">'Saisie et Calculateur'!D651</f>
        <v>non</v>
      </c>
      <c r="F157" s="2014" t="n">
        <f aca="false">IF(E157="oui",3,0)</f>
        <v>0</v>
      </c>
      <c r="G157" s="2109"/>
      <c r="H157" s="2124"/>
      <c r="I157" s="2008"/>
      <c r="J157" s="931"/>
      <c r="K157" s="2153"/>
      <c r="N157" s="2039" t="n">
        <v>2</v>
      </c>
      <c r="O157" s="2156" t="s">
        <v>584</v>
      </c>
      <c r="P157" s="2156"/>
      <c r="Q157" s="2156"/>
      <c r="R157" s="2156"/>
      <c r="S157" s="2156"/>
      <c r="T157" s="2156"/>
      <c r="U157" s="2156"/>
      <c r="V157" s="2156"/>
      <c r="W157" s="2156"/>
      <c r="X157" s="2156"/>
    </row>
    <row r="158" customFormat="false" ht="12" hidden="false" customHeight="true" outlineLevel="0" collapsed="false">
      <c r="A158" s="2152"/>
      <c r="B158" s="1997"/>
      <c r="C158" s="2111"/>
      <c r="D158" s="1435" t="s">
        <v>2949</v>
      </c>
      <c r="E158" s="2014"/>
      <c r="F158" s="2014" t="n">
        <f aca="false">IF('Saisie et Calculateur'!D653="oui",1,0)</f>
        <v>0</v>
      </c>
      <c r="G158" s="2109"/>
      <c r="H158" s="2124"/>
      <c r="I158" s="2008"/>
      <c r="J158" s="931"/>
      <c r="K158" s="2153"/>
      <c r="N158" s="2039" t="n">
        <v>4</v>
      </c>
      <c r="O158" s="2156" t="s">
        <v>2950</v>
      </c>
      <c r="P158" s="2156"/>
      <c r="Q158" s="2156"/>
      <c r="R158" s="2156"/>
      <c r="S158" s="2156"/>
      <c r="T158" s="2156"/>
      <c r="U158" s="2156"/>
      <c r="V158" s="2156"/>
      <c r="W158" s="2156"/>
      <c r="X158" s="2156"/>
    </row>
    <row r="159" customFormat="false" ht="12" hidden="false" customHeight="true" outlineLevel="0" collapsed="false">
      <c r="A159" s="2152"/>
      <c r="B159" s="1997"/>
      <c r="C159" s="2113" t="s">
        <v>2951</v>
      </c>
      <c r="D159" s="1435"/>
      <c r="E159" s="2014"/>
      <c r="F159" s="2014"/>
      <c r="G159" s="2114" t="n">
        <f aca="false">MIN(F160+F161,4)</f>
        <v>4</v>
      </c>
      <c r="H159" s="2124"/>
      <c r="I159" s="2008"/>
      <c r="J159" s="931"/>
      <c r="K159" s="2153"/>
    </row>
    <row r="160" customFormat="false" ht="14.1" hidden="false" customHeight="true" outlineLevel="0" collapsed="false">
      <c r="A160" s="2152"/>
      <c r="B160" s="1997"/>
      <c r="C160" s="2113"/>
      <c r="D160" s="1435" t="s">
        <v>2952</v>
      </c>
      <c r="E160" s="2014"/>
      <c r="F160" s="2014" t="n">
        <f aca="false">IF('Saisie et Calculateur'!D657="oui",2,0)</f>
        <v>2</v>
      </c>
      <c r="G160" s="2114"/>
      <c r="H160" s="2124"/>
      <c r="I160" s="2008"/>
      <c r="J160" s="931"/>
      <c r="K160" s="2153"/>
    </row>
    <row r="161" customFormat="false" ht="14.1" hidden="false" customHeight="true" outlineLevel="0" collapsed="false">
      <c r="A161" s="2152"/>
      <c r="B161" s="1997"/>
      <c r="C161" s="2111"/>
      <c r="D161" s="1435" t="s">
        <v>2953</v>
      </c>
      <c r="E161" s="2014"/>
      <c r="F161" s="2014" t="n">
        <f aca="false">'Saisie et Calculateur'!D659</f>
        <v>2</v>
      </c>
      <c r="G161" s="2114"/>
      <c r="H161" s="2124"/>
      <c r="I161" s="2008"/>
      <c r="J161" s="931"/>
      <c r="K161" s="2153"/>
    </row>
    <row r="162" customFormat="false" ht="15" hidden="false" customHeight="true" outlineLevel="0" collapsed="false">
      <c r="A162" s="2152"/>
      <c r="B162" s="1997"/>
      <c r="C162" s="2113" t="s">
        <v>2954</v>
      </c>
      <c r="D162" s="1435"/>
      <c r="E162" s="2014"/>
      <c r="F162" s="2014"/>
      <c r="G162" s="2115" t="n">
        <f aca="false">IF('Saisie et Calculateur'!H670="oui",4,0)</f>
        <v>4</v>
      </c>
      <c r="H162" s="2124"/>
      <c r="I162" s="2008"/>
      <c r="J162" s="931"/>
      <c r="K162" s="2153"/>
    </row>
    <row r="163" customFormat="false" ht="14.1" hidden="false" customHeight="true" outlineLevel="0" collapsed="false">
      <c r="A163" s="2152"/>
      <c r="B163" s="1997"/>
      <c r="C163" s="2140"/>
      <c r="D163" s="2159" t="s">
        <v>2955</v>
      </c>
      <c r="E163" s="2148"/>
      <c r="F163" s="2148"/>
      <c r="G163" s="2115"/>
      <c r="H163" s="2124"/>
      <c r="I163" s="2008"/>
      <c r="J163" s="931"/>
      <c r="K163" s="2153"/>
    </row>
    <row r="164" customFormat="false" ht="26.25" hidden="false" customHeight="true" outlineLevel="0" collapsed="false">
      <c r="A164" s="2152"/>
      <c r="B164" s="1997"/>
      <c r="C164" s="931"/>
      <c r="D164" s="931"/>
      <c r="E164" s="931"/>
      <c r="F164" s="931"/>
      <c r="G164" s="931"/>
      <c r="H164" s="931"/>
      <c r="I164" s="931"/>
      <c r="J164" s="931"/>
      <c r="K164" s="2153"/>
      <c r="M164" s="650"/>
    </row>
    <row r="165" customFormat="false" ht="12.75" hidden="false" customHeight="true" outlineLevel="0" collapsed="false">
      <c r="A165" s="2152"/>
      <c r="B165" s="1997"/>
      <c r="C165" s="931"/>
      <c r="D165" s="931"/>
      <c r="E165" s="931"/>
      <c r="F165" s="931"/>
      <c r="G165" s="931"/>
      <c r="H165" s="931"/>
      <c r="I165" s="931"/>
      <c r="J165" s="931"/>
      <c r="K165" s="2153"/>
      <c r="M165" s="650"/>
      <c r="N165" s="1999"/>
      <c r="O165" s="1999"/>
      <c r="P165" s="931"/>
      <c r="Q165" s="650"/>
    </row>
    <row r="166" customFormat="false" ht="14.1" hidden="false" customHeight="true" outlineLevel="0" collapsed="false">
      <c r="A166" s="2152"/>
      <c r="B166" s="2033" t="s">
        <v>519</v>
      </c>
      <c r="C166" s="2120" t="s">
        <v>2956</v>
      </c>
      <c r="D166" s="2120"/>
      <c r="E166" s="2120"/>
      <c r="F166" s="2120"/>
      <c r="G166" s="2120"/>
      <c r="H166" s="2120"/>
      <c r="I166" s="2121" t="s">
        <v>2913</v>
      </c>
      <c r="J166" s="931"/>
      <c r="K166" s="2153"/>
    </row>
    <row r="167" customFormat="false" ht="14.1" hidden="false" customHeight="true" outlineLevel="0" collapsed="false">
      <c r="A167" s="2152"/>
      <c r="B167" s="1997"/>
      <c r="C167" s="931"/>
      <c r="D167" s="931"/>
      <c r="E167" s="931"/>
      <c r="F167" s="931"/>
      <c r="G167" s="931"/>
      <c r="H167" s="931"/>
      <c r="I167" s="931"/>
      <c r="J167" s="931"/>
      <c r="K167" s="2153"/>
    </row>
    <row r="168" customFormat="false" ht="39" hidden="false" customHeight="true" outlineLevel="0" collapsed="false">
      <c r="A168" s="2152"/>
      <c r="B168" s="1997"/>
      <c r="C168" s="2000" t="s">
        <v>2822</v>
      </c>
      <c r="D168" s="2000"/>
      <c r="E168" s="2000"/>
      <c r="F168" s="2000"/>
      <c r="G168" s="2000"/>
      <c r="H168" s="2001" t="s">
        <v>2823</v>
      </c>
      <c r="I168" s="2001" t="s">
        <v>2824</v>
      </c>
      <c r="J168" s="931"/>
      <c r="K168" s="2153"/>
    </row>
    <row r="169" customFormat="false" ht="14.1" hidden="false" customHeight="true" outlineLevel="0" collapsed="false">
      <c r="A169" s="2152"/>
      <c r="B169" s="1997"/>
      <c r="C169" s="2145" t="s">
        <v>2957</v>
      </c>
      <c r="D169" s="2145"/>
      <c r="E169" s="2145"/>
      <c r="F169" s="2145"/>
      <c r="G169" s="2109" t="n">
        <f aca="false">MIN(4,F172+F170+F171)</f>
        <v>1</v>
      </c>
      <c r="H169" s="2124" t="n">
        <f aca="false">G169+G173+G182</f>
        <v>2</v>
      </c>
      <c r="I169" s="2008" t="n">
        <f aca="false">IF(H169&lt;0,0,MIN(8,H169))</f>
        <v>2</v>
      </c>
      <c r="J169" s="931"/>
      <c r="K169" s="2153"/>
      <c r="N169" s="1763" t="s">
        <v>2958</v>
      </c>
      <c r="O169" s="2160" t="n">
        <v>0.6</v>
      </c>
      <c r="P169" s="2160" t="n">
        <v>0.3</v>
      </c>
      <c r="Q169" s="1763" t="n">
        <v>0</v>
      </c>
      <c r="R169" s="2161" t="n">
        <f aca="false">'Saisie et Calculateur'!F676</f>
        <v>0.194805194805195</v>
      </c>
    </row>
    <row r="170" customFormat="false" ht="14.1" hidden="false" customHeight="true" outlineLevel="0" collapsed="false">
      <c r="A170" s="2152"/>
      <c r="B170" s="1997"/>
      <c r="C170" s="2113"/>
      <c r="D170" s="1435" t="s">
        <v>2959</v>
      </c>
      <c r="E170" s="2014"/>
      <c r="F170" s="2014" t="n">
        <f aca="false">IF(R169&lt;P169,Q170,IF(R169&lt;O169,P170,O170))</f>
        <v>0</v>
      </c>
      <c r="G170" s="2109"/>
      <c r="H170" s="2124"/>
      <c r="I170" s="2008"/>
      <c r="J170" s="931"/>
      <c r="K170" s="2153"/>
      <c r="N170" s="1763" t="s">
        <v>2855</v>
      </c>
      <c r="O170" s="1763" t="n">
        <v>3</v>
      </c>
      <c r="P170" s="1763" t="n">
        <v>2</v>
      </c>
      <c r="Q170" s="1763" t="n">
        <v>0</v>
      </c>
      <c r="S170" s="931"/>
    </row>
    <row r="171" customFormat="false" ht="14.1" hidden="false" customHeight="true" outlineLevel="0" collapsed="false">
      <c r="A171" s="2152"/>
      <c r="B171" s="1997"/>
      <c r="C171" s="2162"/>
      <c r="D171" s="1435" t="s">
        <v>2960</v>
      </c>
      <c r="E171" s="2163"/>
      <c r="F171" s="2014" t="n">
        <f aca="false">IF('Saisie et Calculateur'!D679="oui",-1,0)</f>
        <v>0</v>
      </c>
      <c r="G171" s="2109"/>
      <c r="H171" s="2124"/>
      <c r="I171" s="2008"/>
      <c r="J171" s="931"/>
      <c r="K171" s="2153"/>
      <c r="S171" s="1999"/>
    </row>
    <row r="172" customFormat="false" ht="25.5" hidden="false" customHeight="true" outlineLevel="0" collapsed="false">
      <c r="A172" s="2152"/>
      <c r="B172" s="1997"/>
      <c r="C172" s="2113"/>
      <c r="D172" s="1435" t="s">
        <v>2961</v>
      </c>
      <c r="E172" s="2014"/>
      <c r="F172" s="2014" t="n">
        <f aca="false">IF('Saisie et Calculateur'!D681="non",1,0)</f>
        <v>1</v>
      </c>
      <c r="G172" s="2109"/>
      <c r="H172" s="2124"/>
      <c r="I172" s="2008"/>
      <c r="J172" s="931"/>
      <c r="K172" s="2153"/>
      <c r="N172" s="1597" t="s">
        <v>2962</v>
      </c>
      <c r="O172" s="2026" t="n">
        <v>0.6</v>
      </c>
      <c r="P172" s="2026" t="n">
        <v>0.3</v>
      </c>
      <c r="Q172" s="2026"/>
      <c r="S172" s="1999"/>
    </row>
    <row r="173" customFormat="false" ht="12.75" hidden="false" customHeight="true" outlineLevel="0" collapsed="false">
      <c r="A173" s="2152"/>
      <c r="B173" s="1997"/>
      <c r="C173" s="2113" t="s">
        <v>2963</v>
      </c>
      <c r="D173" s="2113"/>
      <c r="E173" s="2113"/>
      <c r="F173" s="2113"/>
      <c r="G173" s="2164" t="n">
        <f aca="false">MIN(4,SUM(F174+F176+F178+F180))</f>
        <v>1</v>
      </c>
      <c r="H173" s="2124"/>
      <c r="I173" s="2008"/>
      <c r="J173" s="931"/>
      <c r="K173" s="2153"/>
      <c r="N173" s="1597" t="s">
        <v>2895</v>
      </c>
      <c r="O173" s="1597" t="n">
        <v>2</v>
      </c>
      <c r="P173" s="1597" t="n">
        <v>1</v>
      </c>
      <c r="Q173" s="1597" t="n">
        <v>0</v>
      </c>
      <c r="S173" s="931"/>
    </row>
    <row r="174" customFormat="false" ht="13.5" hidden="false" customHeight="true" outlineLevel="0" collapsed="false">
      <c r="A174" s="2152"/>
      <c r="B174" s="1997"/>
      <c r="C174" s="2113"/>
      <c r="D174" s="2065" t="s">
        <v>2964</v>
      </c>
      <c r="E174" s="2065"/>
      <c r="F174" s="2014" t="n">
        <f aca="false">IF(D175&gt;O172,O173,IF(D175&gt;P172,P173,Q173))</f>
        <v>1</v>
      </c>
      <c r="G174" s="2164"/>
      <c r="H174" s="2124"/>
      <c r="I174" s="2008"/>
      <c r="J174" s="931"/>
      <c r="K174" s="2153"/>
      <c r="R174" s="2165"/>
    </row>
    <row r="175" customFormat="false" ht="13.5" hidden="false" customHeight="true" outlineLevel="0" collapsed="false">
      <c r="A175" s="2152"/>
      <c r="B175" s="1997"/>
      <c r="C175" s="2111"/>
      <c r="D175" s="2050" t="n">
        <f aca="false">'Saisie et Calculateur'!H684</f>
        <v>0.506493506493506</v>
      </c>
      <c r="E175" s="2014"/>
      <c r="F175" s="2014"/>
      <c r="G175" s="2164"/>
      <c r="H175" s="2124"/>
      <c r="I175" s="2008"/>
      <c r="J175" s="931"/>
      <c r="K175" s="2153"/>
      <c r="N175" s="1597" t="s">
        <v>2965</v>
      </c>
      <c r="O175" s="2026" t="n">
        <v>0.6</v>
      </c>
      <c r="P175" s="2026" t="n">
        <v>0.3</v>
      </c>
      <c r="Q175" s="2026"/>
      <c r="R175" s="931"/>
    </row>
    <row r="176" customFormat="false" ht="13.5" hidden="false" customHeight="true" outlineLevel="0" collapsed="false">
      <c r="A176" s="2152"/>
      <c r="B176" s="1997"/>
      <c r="C176" s="2113"/>
      <c r="D176" s="2065" t="s">
        <v>2966</v>
      </c>
      <c r="E176" s="2065"/>
      <c r="F176" s="2014" t="n">
        <f aca="false">IF(D177&gt;O175,O176,IF(D177&gt;P175,P176,Q176))</f>
        <v>0</v>
      </c>
      <c r="G176" s="2164"/>
      <c r="H176" s="2124"/>
      <c r="I176" s="2008"/>
      <c r="J176" s="931"/>
      <c r="K176" s="2153"/>
      <c r="N176" s="1597" t="s">
        <v>2895</v>
      </c>
      <c r="O176" s="1597" t="n">
        <v>2</v>
      </c>
      <c r="P176" s="1597" t="n">
        <v>1</v>
      </c>
      <c r="Q176" s="1597" t="n">
        <v>0</v>
      </c>
      <c r="R176" s="2165"/>
    </row>
    <row r="177" customFormat="false" ht="14.1" hidden="false" customHeight="true" outlineLevel="0" collapsed="false">
      <c r="A177" s="2152"/>
      <c r="B177" s="1997"/>
      <c r="C177" s="2111"/>
      <c r="D177" s="2050" t="n">
        <f aca="false">'Saisie et Calculateur'!H685</f>
        <v>0.051948051948052</v>
      </c>
      <c r="E177" s="2014"/>
      <c r="F177" s="2014"/>
      <c r="G177" s="2164"/>
      <c r="H177" s="2124"/>
      <c r="I177" s="2008"/>
      <c r="J177" s="931"/>
      <c r="K177" s="2153"/>
    </row>
    <row r="178" customFormat="false" ht="14.1" hidden="false" customHeight="true" outlineLevel="0" collapsed="false">
      <c r="A178" s="2152"/>
      <c r="B178" s="1997"/>
      <c r="C178" s="2113"/>
      <c r="D178" s="2065" t="s">
        <v>2967</v>
      </c>
      <c r="E178" s="2065"/>
      <c r="F178" s="2014" t="n">
        <f aca="false">IF(D179&gt;O178,O179,IF(D179&gt;P178,P179,Q179))</f>
        <v>0</v>
      </c>
      <c r="G178" s="2164"/>
      <c r="H178" s="2124"/>
      <c r="I178" s="2008"/>
      <c r="J178" s="931"/>
      <c r="K178" s="2153"/>
      <c r="N178" s="1597" t="s">
        <v>2968</v>
      </c>
      <c r="O178" s="2026" t="n">
        <v>0.6</v>
      </c>
      <c r="P178" s="2026" t="n">
        <v>0.3</v>
      </c>
      <c r="Q178" s="2026"/>
    </row>
    <row r="179" customFormat="false" ht="15" hidden="false" customHeight="true" outlineLevel="0" collapsed="false">
      <c r="A179" s="2152"/>
      <c r="B179" s="1997"/>
      <c r="C179" s="2111"/>
      <c r="D179" s="2050" t="n">
        <f aca="false">'Saisie et Calculateur'!H686</f>
        <v>0.051948051948052</v>
      </c>
      <c r="E179" s="2014"/>
      <c r="F179" s="2014"/>
      <c r="G179" s="2164"/>
      <c r="H179" s="2124"/>
      <c r="I179" s="2008"/>
      <c r="J179" s="931"/>
      <c r="K179" s="2153"/>
      <c r="N179" s="1597" t="s">
        <v>2895</v>
      </c>
      <c r="O179" s="1597" t="n">
        <v>2</v>
      </c>
      <c r="P179" s="1597" t="n">
        <v>1</v>
      </c>
      <c r="Q179" s="1597" t="n">
        <v>0</v>
      </c>
    </row>
    <row r="180" customFormat="false" ht="15" hidden="false" customHeight="true" outlineLevel="0" collapsed="false">
      <c r="A180" s="2152"/>
      <c r="B180" s="1997"/>
      <c r="C180" s="2111"/>
      <c r="D180" s="2065" t="s">
        <v>2969</v>
      </c>
      <c r="E180" s="2065"/>
      <c r="F180" s="2166" t="n">
        <f aca="false">IF(D181=O181,O182,P182)</f>
        <v>0</v>
      </c>
      <c r="G180" s="2164"/>
      <c r="H180" s="2124"/>
      <c r="I180" s="2008"/>
      <c r="J180" s="931"/>
      <c r="K180" s="2153"/>
      <c r="N180" s="1529"/>
      <c r="O180" s="1529"/>
      <c r="P180" s="1529"/>
      <c r="Q180" s="1529"/>
    </row>
    <row r="181" customFormat="false" ht="15" hidden="false" customHeight="true" outlineLevel="0" collapsed="false">
      <c r="A181" s="2152"/>
      <c r="B181" s="1997"/>
      <c r="C181" s="2111"/>
      <c r="D181" s="2167" t="str">
        <f aca="false">'Saisie et Calculateur'!D688</f>
        <v>non</v>
      </c>
      <c r="E181" s="2014"/>
      <c r="F181" s="2167"/>
      <c r="G181" s="2164"/>
      <c r="H181" s="2124"/>
      <c r="I181" s="2008"/>
      <c r="J181" s="931"/>
      <c r="K181" s="2153"/>
      <c r="N181" s="1597" t="s">
        <v>2970</v>
      </c>
      <c r="O181" s="2026" t="s">
        <v>253</v>
      </c>
      <c r="P181" s="2026" t="s">
        <v>254</v>
      </c>
    </row>
    <row r="182" customFormat="false" ht="13.5" hidden="false" customHeight="true" outlineLevel="0" collapsed="false">
      <c r="A182" s="2152"/>
      <c r="B182" s="1997"/>
      <c r="C182" s="2111" t="s">
        <v>2971</v>
      </c>
      <c r="D182" s="2111"/>
      <c r="E182" s="2111"/>
      <c r="F182" s="2111"/>
      <c r="G182" s="2115" t="n">
        <f aca="false">IF(F183="oui",2,0)</f>
        <v>0</v>
      </c>
      <c r="H182" s="2124"/>
      <c r="I182" s="2008"/>
      <c r="J182" s="931"/>
      <c r="K182" s="2153"/>
      <c r="N182" s="1597" t="s">
        <v>2895</v>
      </c>
      <c r="O182" s="1597" t="n">
        <v>-1</v>
      </c>
      <c r="P182" s="1597" t="n">
        <v>0</v>
      </c>
    </row>
    <row r="183" customFormat="false" ht="15" hidden="false" customHeight="true" outlineLevel="0" collapsed="false">
      <c r="A183" s="2152"/>
      <c r="B183" s="1997"/>
      <c r="C183" s="2140"/>
      <c r="D183" s="2148" t="s">
        <v>2972</v>
      </c>
      <c r="E183" s="2118"/>
      <c r="F183" s="2148" t="str">
        <f aca="false">'Saisie et Calculateur'!E691</f>
        <v>non</v>
      </c>
      <c r="G183" s="2115"/>
      <c r="H183" s="2124"/>
      <c r="I183" s="2008"/>
      <c r="J183" s="931"/>
      <c r="K183" s="2153"/>
    </row>
    <row r="184" customFormat="false" ht="12" hidden="false" customHeight="true" outlineLevel="0" collapsed="false">
      <c r="A184" s="2152"/>
      <c r="J184" s="931"/>
      <c r="K184" s="2153"/>
    </row>
    <row r="185" customFormat="false" ht="25.5" hidden="false" customHeight="true" outlineLevel="0" collapsed="false">
      <c r="A185" s="2152"/>
      <c r="J185" s="931"/>
      <c r="K185" s="2153"/>
    </row>
    <row r="186" customFormat="false" ht="12.95" hidden="false" customHeight="true" outlineLevel="0" collapsed="false">
      <c r="A186" s="2152"/>
      <c r="B186" s="2033" t="s">
        <v>267</v>
      </c>
      <c r="C186" s="2120" t="s">
        <v>2973</v>
      </c>
      <c r="D186" s="2120"/>
      <c r="E186" s="2120"/>
      <c r="F186" s="2120"/>
      <c r="G186" s="2120"/>
      <c r="H186" s="2120"/>
      <c r="I186" s="2121" t="s">
        <v>2974</v>
      </c>
      <c r="J186" s="931"/>
      <c r="K186" s="2153"/>
    </row>
    <row r="187" customFormat="false" ht="12" hidden="false" customHeight="true" outlineLevel="0" collapsed="false">
      <c r="A187" s="2152"/>
      <c r="B187" s="1997"/>
      <c r="C187" s="931"/>
      <c r="D187" s="931"/>
      <c r="E187" s="931"/>
      <c r="F187" s="931"/>
      <c r="G187" s="931"/>
      <c r="H187" s="931"/>
      <c r="I187" s="931"/>
      <c r="J187" s="931"/>
      <c r="K187" s="2153"/>
    </row>
    <row r="188" customFormat="false" ht="39" hidden="false" customHeight="true" outlineLevel="0" collapsed="false">
      <c r="A188" s="2152"/>
      <c r="B188" s="1997"/>
      <c r="C188" s="1597" t="s">
        <v>2822</v>
      </c>
      <c r="D188" s="1597"/>
      <c r="E188" s="1597"/>
      <c r="F188" s="1597"/>
      <c r="G188" s="1597"/>
      <c r="H188" s="2001" t="s">
        <v>2823</v>
      </c>
      <c r="I188" s="1810" t="s">
        <v>2824</v>
      </c>
      <c r="J188" s="931"/>
      <c r="K188" s="2153"/>
    </row>
    <row r="189" customFormat="false" ht="12" hidden="false" customHeight="true" outlineLevel="0" collapsed="false">
      <c r="A189" s="2152"/>
      <c r="B189" s="1997"/>
      <c r="C189" s="2168" t="s">
        <v>2975</v>
      </c>
      <c r="D189" s="2169"/>
      <c r="E189" s="2169"/>
      <c r="H189" s="2124" t="n">
        <f aca="false">IF(D190=U192,4,IF(D190=R192,G193,IF(D190=O192,G191,MIN(G191,G193))))</f>
        <v>2</v>
      </c>
      <c r="I189" s="2008" t="n">
        <f aca="false">MIN(4,H189)</f>
        <v>2</v>
      </c>
      <c r="J189" s="931"/>
      <c r="K189" s="2153"/>
      <c r="O189" s="1572" t="s">
        <v>490</v>
      </c>
      <c r="P189" s="1572"/>
      <c r="Q189" s="1572" t="s">
        <v>491</v>
      </c>
      <c r="R189" s="1572"/>
      <c r="S189" s="1572" t="s">
        <v>492</v>
      </c>
      <c r="T189" s="1572"/>
    </row>
    <row r="190" customFormat="false" ht="12" hidden="false" customHeight="true" outlineLevel="0" collapsed="false">
      <c r="A190" s="2152"/>
      <c r="B190" s="1997"/>
      <c r="C190" s="2170"/>
      <c r="D190" s="2171" t="str">
        <f aca="false">'Saisie et Calculateur'!D698</f>
        <v>Oui les 2</v>
      </c>
      <c r="E190" s="2171"/>
      <c r="F190" s="2171"/>
      <c r="G190" s="2172"/>
      <c r="H190" s="2124"/>
      <c r="I190" s="2008"/>
      <c r="J190" s="931"/>
      <c r="K190" s="2153"/>
      <c r="N190" s="1746" t="s">
        <v>2976</v>
      </c>
      <c r="O190" s="1572" t="n">
        <v>4</v>
      </c>
      <c r="P190" s="1572"/>
      <c r="Q190" s="1572" t="n">
        <v>2</v>
      </c>
      <c r="R190" s="1572"/>
      <c r="S190" s="1572" t="n">
        <v>0</v>
      </c>
      <c r="T190" s="1572"/>
    </row>
    <row r="191" customFormat="false" ht="12" hidden="false" customHeight="true" outlineLevel="0" collapsed="false">
      <c r="A191" s="2152"/>
      <c r="B191" s="1997"/>
      <c r="C191" s="2173" t="s">
        <v>2977</v>
      </c>
      <c r="D191" s="2173"/>
      <c r="E191" s="2173"/>
      <c r="F191" s="2173"/>
      <c r="G191" s="2114" t="n">
        <f aca="false">IF(D192=O189,O190,IF(D192=Q189,Q190,0))</f>
        <v>2</v>
      </c>
      <c r="H191" s="2124"/>
      <c r="I191" s="2008"/>
      <c r="J191" s="931"/>
      <c r="K191" s="2153"/>
    </row>
    <row r="192" customFormat="false" ht="15" hidden="false" customHeight="true" outlineLevel="0" collapsed="false">
      <c r="A192" s="2152"/>
      <c r="B192" s="1997"/>
      <c r="C192" s="2111"/>
      <c r="D192" s="2174" t="str">
        <f aca="false">'Saisie et Calculateur'!D700</f>
        <v>Partielle ou occasionnelle</v>
      </c>
      <c r="E192" s="2174"/>
      <c r="F192" s="2174"/>
      <c r="G192" s="2114"/>
      <c r="H192" s="2124"/>
      <c r="I192" s="2008"/>
      <c r="J192" s="931"/>
      <c r="K192" s="2153"/>
      <c r="N192" s="2010" t="s">
        <v>1472</v>
      </c>
      <c r="O192" s="2062" t="s">
        <v>2978</v>
      </c>
      <c r="P192" s="2062"/>
      <c r="Q192" s="2062"/>
      <c r="R192" s="2062" t="s">
        <v>2979</v>
      </c>
      <c r="S192" s="2062"/>
      <c r="T192" s="2062"/>
      <c r="U192" s="2010" t="s">
        <v>1346</v>
      </c>
    </row>
    <row r="193" customFormat="false" ht="12" hidden="false" customHeight="true" outlineLevel="0" collapsed="false">
      <c r="A193" s="2152"/>
      <c r="B193" s="1997"/>
      <c r="C193" s="2175" t="s">
        <v>2980</v>
      </c>
      <c r="D193" s="2175"/>
      <c r="E193" s="2175"/>
      <c r="F193" s="2175"/>
      <c r="G193" s="2176" t="n">
        <f aca="false">'Saisie et Calculateur'!H706</f>
        <v>2</v>
      </c>
      <c r="H193" s="2124"/>
      <c r="I193" s="2008"/>
      <c r="J193" s="931"/>
      <c r="K193" s="2153"/>
      <c r="N193" s="1753"/>
      <c r="O193" s="1753"/>
      <c r="S193" s="931"/>
    </row>
    <row r="194" customFormat="false" ht="25.5" hidden="false" customHeight="true" outlineLevel="0" collapsed="false">
      <c r="A194" s="2152"/>
      <c r="B194" s="1997"/>
      <c r="C194" s="931"/>
      <c r="D194" s="931"/>
      <c r="E194" s="931"/>
      <c r="F194" s="931"/>
      <c r="G194" s="931"/>
      <c r="H194" s="931"/>
      <c r="I194" s="931"/>
      <c r="J194" s="931"/>
      <c r="K194" s="2153"/>
    </row>
    <row r="195" customFormat="false" ht="13.5" hidden="false" customHeight="true" outlineLevel="0" collapsed="false">
      <c r="A195" s="2152"/>
      <c r="B195" s="2033" t="s">
        <v>248</v>
      </c>
      <c r="C195" s="2120" t="s">
        <v>2981</v>
      </c>
      <c r="D195" s="2120"/>
      <c r="E195" s="2120"/>
      <c r="F195" s="2120"/>
      <c r="G195" s="2120"/>
      <c r="H195" s="2120"/>
      <c r="I195" s="2121" t="s">
        <v>2974</v>
      </c>
      <c r="J195" s="931"/>
      <c r="K195" s="2153"/>
    </row>
    <row r="196" customFormat="false" ht="13.5" hidden="false" customHeight="true" outlineLevel="0" collapsed="false">
      <c r="A196" s="2152"/>
      <c r="B196" s="1997"/>
      <c r="C196" s="931"/>
      <c r="D196" s="931"/>
      <c r="E196" s="931"/>
      <c r="F196" s="931"/>
      <c r="G196" s="931"/>
      <c r="H196" s="931"/>
      <c r="I196" s="931"/>
      <c r="J196" s="931"/>
      <c r="K196" s="2153"/>
      <c r="M196" s="931"/>
      <c r="N196" s="1746" t="s">
        <v>2982</v>
      </c>
      <c r="O196" s="1572" t="n">
        <v>1</v>
      </c>
      <c r="P196" s="1746" t="n">
        <v>0</v>
      </c>
      <c r="Q196" s="1746"/>
      <c r="T196" s="1753"/>
    </row>
    <row r="197" customFormat="false" ht="39" hidden="false" customHeight="true" outlineLevel="0" collapsed="false">
      <c r="A197" s="2152"/>
      <c r="B197" s="1997"/>
      <c r="C197" s="2000" t="s">
        <v>2822</v>
      </c>
      <c r="D197" s="2000"/>
      <c r="E197" s="2000"/>
      <c r="F197" s="2000"/>
      <c r="G197" s="2000"/>
      <c r="H197" s="2001" t="s">
        <v>2823</v>
      </c>
      <c r="I197" s="1810" t="s">
        <v>2824</v>
      </c>
      <c r="J197" s="931"/>
      <c r="K197" s="2153"/>
      <c r="M197" s="931"/>
      <c r="N197" s="1746" t="s">
        <v>2855</v>
      </c>
      <c r="O197" s="1572" t="n">
        <v>0</v>
      </c>
      <c r="P197" s="1746" t="n">
        <v>-1</v>
      </c>
      <c r="Q197" s="1746" t="n">
        <v>-2</v>
      </c>
      <c r="T197" s="1753"/>
    </row>
    <row r="198" customFormat="false" ht="15.75" hidden="false" customHeight="true" outlineLevel="0" collapsed="false">
      <c r="A198" s="2152"/>
      <c r="B198" s="1997"/>
      <c r="C198" s="2005" t="s">
        <v>2983</v>
      </c>
      <c r="D198" s="2005"/>
      <c r="E198" s="2005"/>
      <c r="F198" s="2005"/>
      <c r="G198" s="2177" t="n">
        <f aca="false">IF(D199=N199,N202,IF(D199=O199,O202,IF(D199=Q199,Q202,P202)))</f>
        <v>2</v>
      </c>
      <c r="H198" s="2007" t="n">
        <f aca="false">SUM(G198,G200,G202)</f>
        <v>4</v>
      </c>
      <c r="I198" s="2008" t="n">
        <f aca="false">IF(H198&lt;0,0,MIN(4,H198))</f>
        <v>4</v>
      </c>
      <c r="J198" s="931"/>
      <c r="K198" s="2153"/>
      <c r="M198" s="931"/>
      <c r="N198" s="2178"/>
      <c r="O198" s="2178"/>
      <c r="P198" s="2178"/>
      <c r="Q198" s="28"/>
      <c r="T198" s="1753"/>
    </row>
    <row r="199" customFormat="false" ht="15" hidden="false" customHeight="true" outlineLevel="0" collapsed="false">
      <c r="A199" s="2152"/>
      <c r="B199" s="1997"/>
      <c r="C199" s="2013"/>
      <c r="D199" s="1435" t="str">
        <f aca="false">'Saisie et Calculateur'!F713</f>
        <v>Aucun problème</v>
      </c>
      <c r="E199" s="2014"/>
      <c r="F199" s="2014"/>
      <c r="G199" s="2177"/>
      <c r="H199" s="2007"/>
      <c r="I199" s="2008"/>
      <c r="J199" s="931"/>
      <c r="K199" s="2153"/>
      <c r="M199" s="931"/>
      <c r="N199" s="2179" t="s">
        <v>645</v>
      </c>
      <c r="O199" s="2179" t="s">
        <v>647</v>
      </c>
      <c r="P199" s="2179" t="s">
        <v>649</v>
      </c>
      <c r="Q199" s="2179" t="s">
        <v>651</v>
      </c>
      <c r="T199" s="1753"/>
    </row>
    <row r="200" customFormat="false" ht="12" hidden="false" customHeight="true" outlineLevel="0" collapsed="false">
      <c r="A200" s="2152"/>
      <c r="B200" s="1997"/>
      <c r="C200" s="2013" t="s">
        <v>2984</v>
      </c>
      <c r="D200" s="2013"/>
      <c r="E200" s="2013"/>
      <c r="F200" s="2013"/>
      <c r="G200" s="2180" t="n">
        <f aca="false">IF(D201=N199,N202,IF(D201=O199,O202,IF(D201=Q199,Q202,P202)))</f>
        <v>2</v>
      </c>
      <c r="H200" s="2007"/>
      <c r="I200" s="2008"/>
      <c r="J200" s="931"/>
      <c r="K200" s="2153"/>
      <c r="M200" s="931"/>
      <c r="N200" s="2179"/>
      <c r="O200" s="2179"/>
      <c r="P200" s="2179"/>
      <c r="Q200" s="2179"/>
      <c r="T200" s="1753"/>
    </row>
    <row r="201" customFormat="false" ht="15" hidden="false" customHeight="true" outlineLevel="0" collapsed="false">
      <c r="A201" s="2152"/>
      <c r="B201" s="1997"/>
      <c r="C201" s="2013"/>
      <c r="D201" s="1435" t="str">
        <f aca="false">'Saisie et Calculateur'!F720</f>
        <v>Aucun problème</v>
      </c>
      <c r="E201" s="2014"/>
      <c r="F201" s="2014"/>
      <c r="G201" s="2180"/>
      <c r="H201" s="2007"/>
      <c r="I201" s="2008"/>
      <c r="J201" s="931"/>
      <c r="K201" s="2153"/>
      <c r="M201" s="931"/>
      <c r="N201" s="2179"/>
      <c r="O201" s="2179"/>
      <c r="P201" s="2179"/>
      <c r="Q201" s="2179"/>
      <c r="T201" s="1753"/>
    </row>
    <row r="202" customFormat="false" ht="12" hidden="false" customHeight="true" outlineLevel="0" collapsed="false">
      <c r="A202" s="2152"/>
      <c r="B202" s="1997"/>
      <c r="C202" s="2074" t="s">
        <v>2985</v>
      </c>
      <c r="D202" s="2074"/>
      <c r="E202" s="2074"/>
      <c r="F202" s="2074"/>
      <c r="G202" s="2181" t="n">
        <f aca="false">IF(D203="NC",0,IF(D203&gt;O196,O197,IF(E192&gt;P196,P197,Q197)))</f>
        <v>0</v>
      </c>
      <c r="H202" s="2007"/>
      <c r="I202" s="2008"/>
      <c r="J202" s="931"/>
      <c r="K202" s="2153"/>
      <c r="M202" s="931"/>
      <c r="N202" s="2182" t="n">
        <v>2</v>
      </c>
      <c r="O202" s="2182" t="n">
        <v>1</v>
      </c>
      <c r="P202" s="2182" t="n">
        <v>0</v>
      </c>
      <c r="Q202" s="2183" t="n">
        <v>-1</v>
      </c>
      <c r="R202" s="1753"/>
    </row>
    <row r="203" customFormat="false" ht="12" hidden="false" customHeight="true" outlineLevel="0" collapsed="false">
      <c r="A203" s="2152"/>
      <c r="B203" s="1997"/>
      <c r="C203" s="2184"/>
      <c r="D203" s="2185" t="str">
        <f aca="false">'Saisie et Calculateur'!J728</f>
        <v>NC</v>
      </c>
      <c r="E203" s="2186" t="s">
        <v>2986</v>
      </c>
      <c r="F203" s="2032"/>
      <c r="G203" s="2181"/>
      <c r="H203" s="2007"/>
      <c r="I203" s="2008"/>
      <c r="J203" s="931"/>
      <c r="K203" s="2153"/>
    </row>
    <row r="204" customFormat="false" ht="12" hidden="false" customHeight="true" outlineLevel="0" collapsed="false">
      <c r="A204" s="2152"/>
      <c r="B204" s="2095"/>
      <c r="C204" s="2133"/>
      <c r="D204" s="2133"/>
      <c r="E204" s="2133"/>
      <c r="F204" s="2133"/>
      <c r="G204" s="2134"/>
      <c r="H204" s="2134"/>
      <c r="I204" s="2134"/>
      <c r="J204" s="2134"/>
      <c r="K204" s="2153"/>
    </row>
    <row r="205" customFormat="false" ht="12" hidden="false" customHeight="true" outlineLevel="0" collapsed="false">
      <c r="S205" s="931"/>
    </row>
    <row r="206" customFormat="false" ht="15" hidden="false" customHeight="true" outlineLevel="0" collapsed="false">
      <c r="A206" s="2187" t="s">
        <v>2987</v>
      </c>
      <c r="B206" s="2188" t="s">
        <v>594</v>
      </c>
      <c r="C206" s="2189" t="s">
        <v>2988</v>
      </c>
      <c r="D206" s="2189"/>
      <c r="E206" s="2189"/>
      <c r="F206" s="2189"/>
      <c r="G206" s="2189"/>
      <c r="H206" s="2189"/>
      <c r="I206" s="2190" t="s">
        <v>2989</v>
      </c>
      <c r="J206" s="2191"/>
      <c r="K206" s="2192" t="n">
        <f aca="false">MIN(20,SUM(I209,I229,I240,I247,I259))</f>
        <v>12</v>
      </c>
      <c r="N206" s="1763" t="s">
        <v>2990</v>
      </c>
      <c r="O206" s="1763" t="n">
        <v>20</v>
      </c>
      <c r="P206" s="1763" t="n">
        <v>40</v>
      </c>
      <c r="Q206" s="1763"/>
    </row>
    <row r="207" customFormat="false" ht="15.75" hidden="false" customHeight="true" outlineLevel="0" collapsed="false">
      <c r="A207" s="2187"/>
      <c r="B207" s="931"/>
      <c r="C207" s="2014"/>
      <c r="D207" s="2014"/>
      <c r="E207" s="2014"/>
      <c r="F207" s="2014"/>
      <c r="G207" s="2080"/>
      <c r="H207" s="1999"/>
      <c r="I207" s="2079"/>
      <c r="J207" s="931"/>
      <c r="K207" s="2192"/>
      <c r="N207" s="1763" t="s">
        <v>2855</v>
      </c>
      <c r="O207" s="1763" t="n">
        <v>2</v>
      </c>
      <c r="P207" s="1763" t="n">
        <v>1</v>
      </c>
      <c r="Q207" s="1763" t="n">
        <v>0</v>
      </c>
    </row>
    <row r="208" customFormat="false" ht="39" hidden="false" customHeight="true" outlineLevel="0" collapsed="false">
      <c r="A208" s="2187"/>
      <c r="B208" s="931"/>
      <c r="C208" s="2000" t="s">
        <v>2822</v>
      </c>
      <c r="D208" s="2000"/>
      <c r="E208" s="2000"/>
      <c r="F208" s="2000"/>
      <c r="G208" s="2000"/>
      <c r="H208" s="2001" t="s">
        <v>2823</v>
      </c>
      <c r="I208" s="2001" t="s">
        <v>2824</v>
      </c>
      <c r="J208" s="931"/>
      <c r="K208" s="2192"/>
    </row>
    <row r="209" customFormat="false" ht="12" hidden="false" customHeight="true" outlineLevel="0" collapsed="false">
      <c r="A209" s="2187"/>
      <c r="B209" s="931"/>
      <c r="C209" s="2055" t="s">
        <v>2991</v>
      </c>
      <c r="D209" s="2055"/>
      <c r="E209" s="2055"/>
      <c r="F209" s="2055"/>
      <c r="G209" s="2193" t="n">
        <f aca="false">F211+F212</f>
        <v>0</v>
      </c>
      <c r="H209" s="2194" t="n">
        <f aca="false">G209+G216+G219</f>
        <v>1</v>
      </c>
      <c r="I209" s="2072" t="n">
        <f aca="false">MIN(6,H209)</f>
        <v>1</v>
      </c>
      <c r="J209" s="931"/>
      <c r="K209" s="2192"/>
      <c r="O209" s="1746" t="n">
        <v>2</v>
      </c>
      <c r="P209" s="1746" t="s">
        <v>2992</v>
      </c>
    </row>
    <row r="210" customFormat="false" ht="12.75" hidden="false" customHeight="true" outlineLevel="0" collapsed="false">
      <c r="A210" s="2187"/>
      <c r="B210" s="931"/>
      <c r="C210" s="2195"/>
      <c r="D210" s="2014" t="s">
        <v>2993</v>
      </c>
      <c r="E210" s="2014"/>
      <c r="F210" s="2014"/>
      <c r="G210" s="2193"/>
      <c r="H210" s="2194"/>
      <c r="I210" s="2072"/>
      <c r="J210" s="931"/>
      <c r="K210" s="2192"/>
      <c r="N210" s="1554" t="s">
        <v>2994</v>
      </c>
      <c r="O210" s="1746" t="s">
        <v>2995</v>
      </c>
      <c r="P210" s="1746" t="n">
        <v>0</v>
      </c>
    </row>
    <row r="211" customFormat="false" ht="12" hidden="false" customHeight="true" outlineLevel="0" collapsed="false">
      <c r="A211" s="2187"/>
      <c r="B211" s="931"/>
      <c r="C211" s="2195"/>
      <c r="D211" s="2196" t="n">
        <f aca="false">'Saisie et Calculateur'!D735</f>
        <v>53.4684374380027</v>
      </c>
      <c r="E211" s="931"/>
      <c r="F211" s="2014" t="n">
        <f aca="false">IF(D211&lt;O206,O207,IF(D211&lt;P206,P207,Q207))</f>
        <v>0</v>
      </c>
      <c r="G211" s="2193"/>
      <c r="H211" s="2194"/>
      <c r="I211" s="2072"/>
      <c r="J211" s="931"/>
      <c r="K211" s="2192"/>
    </row>
    <row r="212" customFormat="false" ht="12" hidden="false" customHeight="true" outlineLevel="0" collapsed="false">
      <c r="A212" s="2187"/>
      <c r="B212" s="931"/>
      <c r="C212" s="2197"/>
      <c r="D212" s="2041" t="s">
        <v>2996</v>
      </c>
      <c r="E212" s="2014"/>
      <c r="F212" s="2198" t="n">
        <f aca="false">MAX(E213+E215,-2)</f>
        <v>0</v>
      </c>
      <c r="G212" s="2193"/>
      <c r="H212" s="2194"/>
      <c r="I212" s="2072"/>
      <c r="J212" s="931"/>
      <c r="K212" s="2192"/>
      <c r="O212" s="1746" t="s">
        <v>253</v>
      </c>
      <c r="P212" s="1746" t="s">
        <v>254</v>
      </c>
    </row>
    <row r="213" customFormat="false" ht="12" hidden="false" customHeight="true" outlineLevel="0" collapsed="false">
      <c r="A213" s="2187"/>
      <c r="B213" s="931"/>
      <c r="C213" s="2197"/>
      <c r="D213" s="2014" t="n">
        <f aca="false">'Saisie et Calculateur'!D737</f>
        <v>0.779220779220779</v>
      </c>
      <c r="E213" s="2014" t="n">
        <f aca="false">IF(D213&gt;=O209,O210,P210)</f>
        <v>0</v>
      </c>
      <c r="F213" s="2198"/>
      <c r="G213" s="2193"/>
      <c r="H213" s="2194"/>
      <c r="I213" s="2072"/>
      <c r="J213" s="931"/>
      <c r="K213" s="2192"/>
      <c r="N213" s="1554" t="s">
        <v>2997</v>
      </c>
      <c r="O213" s="1746" t="s">
        <v>2995</v>
      </c>
      <c r="P213" s="1746" t="n">
        <v>0</v>
      </c>
    </row>
    <row r="214" customFormat="false" ht="15" hidden="false" customHeight="true" outlineLevel="0" collapsed="false">
      <c r="A214" s="2187"/>
      <c r="B214" s="931"/>
      <c r="C214" s="2197"/>
      <c r="D214" s="2199" t="s">
        <v>2998</v>
      </c>
      <c r="E214" s="2080"/>
      <c r="F214" s="2198"/>
      <c r="G214" s="2193"/>
      <c r="H214" s="2194"/>
      <c r="I214" s="2072"/>
      <c r="J214" s="931"/>
      <c r="K214" s="2192"/>
    </row>
    <row r="215" customFormat="false" ht="12" hidden="false" customHeight="true" outlineLevel="0" collapsed="false">
      <c r="A215" s="2187"/>
      <c r="B215" s="931"/>
      <c r="C215" s="2011"/>
      <c r="D215" s="2014" t="str">
        <f aca="false">'Saisie et Calculateur'!D738</f>
        <v>non</v>
      </c>
      <c r="E215" s="2014" t="n">
        <f aca="false">IF(D215="oui",-2,0)</f>
        <v>0</v>
      </c>
      <c r="F215" s="2198"/>
      <c r="G215" s="2193"/>
      <c r="H215" s="2194"/>
      <c r="I215" s="2072"/>
      <c r="J215" s="931"/>
      <c r="K215" s="2192"/>
      <c r="N215" s="1763" t="s">
        <v>2999</v>
      </c>
      <c r="O215" s="1763" t="n">
        <v>0</v>
      </c>
      <c r="P215" s="1763" t="n">
        <v>1</v>
      </c>
      <c r="Q215" s="2009" t="n">
        <v>2</v>
      </c>
      <c r="R215" s="2039"/>
    </row>
    <row r="216" customFormat="false" ht="17.25" hidden="false" customHeight="true" outlineLevel="0" collapsed="false">
      <c r="A216" s="2187"/>
      <c r="B216" s="931"/>
      <c r="C216" s="2027" t="s">
        <v>3000</v>
      </c>
      <c r="D216" s="2027"/>
      <c r="E216" s="2027"/>
      <c r="F216" s="2027"/>
      <c r="G216" s="2200" t="n">
        <f aca="false">F218</f>
        <v>1</v>
      </c>
      <c r="H216" s="2194"/>
      <c r="I216" s="2072"/>
      <c r="J216" s="931"/>
      <c r="K216" s="2192"/>
      <c r="N216" s="1763" t="s">
        <v>2855</v>
      </c>
      <c r="O216" s="1763" t="n">
        <v>3</v>
      </c>
      <c r="P216" s="1763" t="n">
        <v>2</v>
      </c>
      <c r="Q216" s="2009" t="n">
        <v>1</v>
      </c>
      <c r="R216" s="2039" t="n">
        <v>0</v>
      </c>
    </row>
    <row r="217" customFormat="false" ht="12" hidden="false" customHeight="true" outlineLevel="0" collapsed="false">
      <c r="A217" s="2187"/>
      <c r="B217" s="931"/>
      <c r="C217" s="2011"/>
      <c r="D217" s="1662" t="s">
        <v>3001</v>
      </c>
      <c r="E217" s="931"/>
      <c r="F217" s="2201"/>
      <c r="G217" s="2200"/>
      <c r="H217" s="2194"/>
      <c r="I217" s="2072"/>
      <c r="J217" s="931"/>
      <c r="K217" s="2192"/>
    </row>
    <row r="218" customFormat="false" ht="12" hidden="false" customHeight="true" outlineLevel="0" collapsed="false">
      <c r="A218" s="2187"/>
      <c r="B218" s="931"/>
      <c r="C218" s="2011"/>
      <c r="D218" s="2201" t="n">
        <f aca="false">'Saisie et Calculateur'!D741</f>
        <v>1.33</v>
      </c>
      <c r="E218" s="2201"/>
      <c r="F218" s="982" t="n">
        <f aca="false">IF(D218=O215,O216,IF(D218&lt;=P215,P216,IF(D218&lt;=Q215,Q216,R216)))</f>
        <v>1</v>
      </c>
      <c r="G218" s="2200"/>
      <c r="H218" s="2194"/>
      <c r="I218" s="2072"/>
      <c r="J218" s="931"/>
      <c r="K218" s="2192"/>
      <c r="N218" s="1763" t="s">
        <v>3002</v>
      </c>
      <c r="O218" s="2026" t="n">
        <v>0.6</v>
      </c>
      <c r="P218" s="2026" t="n">
        <v>0.3</v>
      </c>
      <c r="Q218" s="1763"/>
    </row>
    <row r="219" customFormat="false" ht="12" hidden="false" customHeight="true" outlineLevel="0" collapsed="false">
      <c r="A219" s="2187"/>
      <c r="B219" s="931"/>
      <c r="C219" s="2027" t="s">
        <v>3003</v>
      </c>
      <c r="D219" s="2027"/>
      <c r="E219" s="2027"/>
      <c r="F219" s="2027"/>
      <c r="G219" s="2202" t="n">
        <f aca="false">MIN(2,F221+F223)</f>
        <v>0</v>
      </c>
      <c r="H219" s="2194"/>
      <c r="I219" s="2072"/>
      <c r="J219" s="931"/>
      <c r="K219" s="2192"/>
      <c r="N219" s="1763" t="s">
        <v>2855</v>
      </c>
      <c r="O219" s="1763" t="n">
        <v>2</v>
      </c>
      <c r="P219" s="1763" t="n">
        <v>1</v>
      </c>
      <c r="Q219" s="1763" t="n">
        <v>0</v>
      </c>
    </row>
    <row r="220" customFormat="false" ht="12" hidden="false" customHeight="true" outlineLevel="0" collapsed="false">
      <c r="A220" s="2187"/>
      <c r="B220" s="931"/>
      <c r="C220" s="2011"/>
      <c r="D220" s="931" t="s">
        <v>3004</v>
      </c>
      <c r="E220" s="931"/>
      <c r="F220" s="931"/>
      <c r="G220" s="2202"/>
      <c r="H220" s="2194"/>
      <c r="I220" s="2072"/>
      <c r="J220" s="931"/>
      <c r="K220" s="2192"/>
    </row>
    <row r="221" customFormat="false" ht="12" hidden="false" customHeight="true" outlineLevel="0" collapsed="false">
      <c r="A221" s="2187"/>
      <c r="B221" s="931"/>
      <c r="C221" s="2203"/>
      <c r="D221" s="2014" t="str">
        <f aca="false">'Saisie et Calculateur'!D743</f>
        <v>non</v>
      </c>
      <c r="E221" s="2014"/>
      <c r="F221" s="2014" t="n">
        <f aca="false">IF(D221="oui",1,0)</f>
        <v>0</v>
      </c>
      <c r="G221" s="2202"/>
      <c r="H221" s="2194"/>
      <c r="I221" s="2072"/>
      <c r="J221" s="931"/>
      <c r="K221" s="2192"/>
    </row>
    <row r="222" customFormat="false" ht="12" hidden="false" customHeight="true" outlineLevel="0" collapsed="false">
      <c r="A222" s="2187"/>
      <c r="B222" s="931"/>
      <c r="C222" s="2013"/>
      <c r="D222" s="2041" t="s">
        <v>3005</v>
      </c>
      <c r="E222" s="2014"/>
      <c r="F222" s="2014"/>
      <c r="G222" s="2202"/>
      <c r="H222" s="2194"/>
      <c r="I222" s="2072"/>
      <c r="J222" s="931"/>
      <c r="K222" s="2192"/>
    </row>
    <row r="223" customFormat="false" ht="12" hidden="false" customHeight="true" outlineLevel="0" collapsed="false">
      <c r="A223" s="2187"/>
      <c r="B223" s="931"/>
      <c r="C223" s="2029"/>
      <c r="D223" s="2204" t="n">
        <f aca="false">'Saisie et Calculateur'!J747</f>
        <v>0.246753246753247</v>
      </c>
      <c r="E223" s="2032"/>
      <c r="F223" s="2205" t="n">
        <f aca="false">IF(D223&gt;O218,O219,IF(D223&gt;P218,P219,Q219))</f>
        <v>0</v>
      </c>
      <c r="G223" s="2202"/>
      <c r="H223" s="2194"/>
      <c r="I223" s="2072"/>
      <c r="J223" s="931"/>
      <c r="K223" s="2192"/>
    </row>
    <row r="224" customFormat="false" ht="12" hidden="false" customHeight="true" outlineLevel="0" collapsed="false">
      <c r="A224" s="2187"/>
      <c r="B224" s="931"/>
      <c r="C224" s="931"/>
      <c r="D224" s="931"/>
      <c r="E224" s="931"/>
      <c r="F224" s="931"/>
      <c r="G224" s="931"/>
      <c r="H224" s="931"/>
      <c r="I224" s="931"/>
      <c r="J224" s="931"/>
      <c r="K224" s="2192"/>
    </row>
    <row r="225" customFormat="false" ht="12.75" hidden="false" customHeight="true" outlineLevel="0" collapsed="false">
      <c r="A225" s="2187"/>
      <c r="B225" s="931"/>
      <c r="C225" s="931"/>
      <c r="D225" s="931"/>
      <c r="E225" s="931"/>
      <c r="F225" s="931"/>
      <c r="G225" s="931"/>
      <c r="H225" s="931"/>
      <c r="I225" s="931"/>
      <c r="J225" s="931"/>
      <c r="K225" s="2192"/>
    </row>
    <row r="226" customFormat="false" ht="15" hidden="false" customHeight="true" outlineLevel="0" collapsed="false">
      <c r="A226" s="2187"/>
      <c r="B226" s="1647" t="s">
        <v>493</v>
      </c>
      <c r="C226" s="2120" t="s">
        <v>3006</v>
      </c>
      <c r="D226" s="2120"/>
      <c r="E226" s="2120"/>
      <c r="F226" s="2120"/>
      <c r="G226" s="2120"/>
      <c r="H226" s="2120"/>
      <c r="I226" s="2121" t="s">
        <v>2989</v>
      </c>
      <c r="J226" s="931"/>
      <c r="K226" s="2192"/>
    </row>
    <row r="227" customFormat="false" ht="15" hidden="false" customHeight="true" outlineLevel="0" collapsed="false">
      <c r="A227" s="2187"/>
      <c r="B227" s="931"/>
      <c r="C227" s="931"/>
      <c r="D227" s="931"/>
      <c r="E227" s="931"/>
      <c r="F227" s="931"/>
      <c r="G227" s="931"/>
      <c r="H227" s="931"/>
      <c r="I227" s="931"/>
      <c r="J227" s="931"/>
      <c r="K227" s="2192"/>
    </row>
    <row r="228" customFormat="false" ht="25.5" hidden="false" customHeight="true" outlineLevel="0" collapsed="false">
      <c r="A228" s="2187"/>
      <c r="B228" s="931"/>
      <c r="C228" s="2000" t="s">
        <v>2822</v>
      </c>
      <c r="D228" s="2000"/>
      <c r="E228" s="2000"/>
      <c r="F228" s="2000"/>
      <c r="G228" s="2000"/>
      <c r="H228" s="2001" t="s">
        <v>2823</v>
      </c>
      <c r="I228" s="2001" t="s">
        <v>2824</v>
      </c>
      <c r="J228" s="931"/>
      <c r="K228" s="2192"/>
    </row>
    <row r="229" customFormat="false" ht="12.95" hidden="false" customHeight="true" outlineLevel="0" collapsed="false">
      <c r="A229" s="2187"/>
      <c r="B229" s="931"/>
      <c r="C229" s="2108" t="s">
        <v>3007</v>
      </c>
      <c r="D229" s="2108"/>
      <c r="E229" s="2108"/>
      <c r="F229" s="2108"/>
      <c r="G229" s="2109" t="n">
        <f aca="false">MIN(3,F231+F233)</f>
        <v>2</v>
      </c>
      <c r="H229" s="1856" t="n">
        <f aca="false">G229+G234</f>
        <v>3</v>
      </c>
      <c r="I229" s="2206" t="n">
        <f aca="false">MIN(6,H229)</f>
        <v>3</v>
      </c>
      <c r="J229" s="931"/>
      <c r="K229" s="2192"/>
      <c r="N229" s="1554" t="s">
        <v>3008</v>
      </c>
      <c r="O229" s="1746" t="n">
        <v>4</v>
      </c>
      <c r="P229" s="1746" t="n">
        <v>2</v>
      </c>
      <c r="Q229" s="1746" t="s">
        <v>3009</v>
      </c>
    </row>
    <row r="230" customFormat="false" ht="12.95" hidden="false" customHeight="true" outlineLevel="0" collapsed="false">
      <c r="A230" s="2187"/>
      <c r="B230" s="931"/>
      <c r="C230" s="2111"/>
      <c r="D230" s="2199" t="s">
        <v>3010</v>
      </c>
      <c r="E230" s="2014"/>
      <c r="F230" s="2014"/>
      <c r="G230" s="2109"/>
      <c r="H230" s="1856"/>
      <c r="I230" s="2206"/>
      <c r="J230" s="931"/>
      <c r="K230" s="2192"/>
      <c r="N230" s="1554" t="s">
        <v>2905</v>
      </c>
      <c r="O230" s="1746" t="n">
        <v>0</v>
      </c>
      <c r="P230" s="1746" t="n">
        <v>1</v>
      </c>
      <c r="Q230" s="1746" t="n">
        <v>2</v>
      </c>
      <c r="R230" s="1504" t="s">
        <v>3011</v>
      </c>
      <c r="W230" s="2207"/>
    </row>
    <row r="231" customFormat="false" ht="12.95" hidden="false" customHeight="true" outlineLevel="0" collapsed="false">
      <c r="A231" s="2187"/>
      <c r="B231" s="931"/>
      <c r="C231" s="2208"/>
      <c r="D231" s="2209" t="n">
        <f aca="false">'Saisie et Calculateur'!E759</f>
        <v>3</v>
      </c>
      <c r="E231" s="2210" t="s">
        <v>3012</v>
      </c>
      <c r="F231" s="2041" t="n">
        <f aca="false">IF(D231=",",R230,IF(D231&gt;=O229,O230,IF(D231&gt;=P229,P230,Q230)))</f>
        <v>1</v>
      </c>
      <c r="G231" s="2109"/>
      <c r="H231" s="1856"/>
      <c r="I231" s="2206"/>
      <c r="J231" s="931"/>
      <c r="K231" s="2192"/>
    </row>
    <row r="232" customFormat="false" ht="12.95" hidden="false" customHeight="true" outlineLevel="0" collapsed="false">
      <c r="A232" s="2187"/>
      <c r="B232" s="931"/>
      <c r="C232" s="2208"/>
      <c r="D232" s="2199" t="s">
        <v>3013</v>
      </c>
      <c r="E232" s="931"/>
      <c r="F232" s="2211"/>
      <c r="G232" s="2109"/>
      <c r="H232" s="1856"/>
      <c r="I232" s="2206"/>
      <c r="J232" s="931"/>
      <c r="K232" s="2192"/>
    </row>
    <row r="233" customFormat="false" ht="12.95" hidden="false" customHeight="true" outlineLevel="0" collapsed="false">
      <c r="A233" s="2187"/>
      <c r="B233" s="931"/>
      <c r="C233" s="2111"/>
      <c r="D233" s="2212" t="n">
        <f aca="false">'Saisie et Calculateur'!E763</f>
        <v>1</v>
      </c>
      <c r="E233" s="2163" t="s">
        <v>3014</v>
      </c>
      <c r="F233" s="2041" t="n">
        <f aca="false">IF(D233&gt;1,2,IF(D233=0,0,1))</f>
        <v>1</v>
      </c>
      <c r="G233" s="2109"/>
      <c r="H233" s="1856"/>
      <c r="I233" s="2206"/>
      <c r="J233" s="931"/>
      <c r="K233" s="2192"/>
    </row>
    <row r="234" customFormat="false" ht="12" hidden="false" customHeight="true" outlineLevel="0" collapsed="false">
      <c r="A234" s="2187"/>
      <c r="B234" s="931"/>
      <c r="C234" s="2150" t="s">
        <v>3015</v>
      </c>
      <c r="D234" s="2148"/>
      <c r="E234" s="2148"/>
      <c r="F234" s="2148"/>
      <c r="G234" s="2213" t="n">
        <f aca="false">'Saisie et Calculateur'!J770</f>
        <v>1</v>
      </c>
      <c r="H234" s="1856"/>
      <c r="I234" s="2206"/>
      <c r="J234" s="931"/>
      <c r="K234" s="2192"/>
    </row>
    <row r="235" customFormat="false" ht="12" hidden="false" customHeight="true" outlineLevel="0" collapsed="false">
      <c r="A235" s="2187"/>
      <c r="B235" s="931"/>
      <c r="C235" s="931"/>
      <c r="D235" s="931"/>
      <c r="E235" s="931"/>
      <c r="F235" s="931"/>
      <c r="G235" s="931"/>
      <c r="H235" s="931"/>
      <c r="I235" s="931"/>
      <c r="J235" s="931"/>
      <c r="K235" s="2192"/>
    </row>
    <row r="236" customFormat="false" ht="12.75" hidden="false" customHeight="true" outlineLevel="0" collapsed="false">
      <c r="A236" s="2187"/>
      <c r="B236" s="931"/>
      <c r="C236" s="931"/>
      <c r="D236" s="931"/>
      <c r="E236" s="931"/>
      <c r="F236" s="931"/>
      <c r="G236" s="931"/>
      <c r="H236" s="931"/>
      <c r="I236" s="931"/>
      <c r="J236" s="931"/>
      <c r="K236" s="2192"/>
    </row>
    <row r="237" customFormat="false" ht="12" hidden="false" customHeight="true" outlineLevel="0" collapsed="false">
      <c r="A237" s="2187"/>
      <c r="B237" s="1647" t="s">
        <v>559</v>
      </c>
      <c r="C237" s="2120" t="s">
        <v>3016</v>
      </c>
      <c r="D237" s="2120"/>
      <c r="E237" s="2120"/>
      <c r="F237" s="2120"/>
      <c r="G237" s="2120"/>
      <c r="H237" s="2120"/>
      <c r="I237" s="2121" t="s">
        <v>2989</v>
      </c>
      <c r="J237" s="931"/>
      <c r="K237" s="2192"/>
    </row>
    <row r="238" customFormat="false" ht="12.75" hidden="false" customHeight="true" outlineLevel="0" collapsed="false">
      <c r="A238" s="2187"/>
      <c r="B238" s="1647"/>
      <c r="C238" s="931"/>
      <c r="D238" s="931"/>
      <c r="E238" s="931"/>
      <c r="F238" s="931"/>
      <c r="G238" s="931"/>
      <c r="H238" s="931"/>
      <c r="I238" s="931"/>
      <c r="J238" s="931"/>
      <c r="K238" s="2192"/>
    </row>
    <row r="239" customFormat="false" ht="39" hidden="false" customHeight="true" outlineLevel="0" collapsed="false">
      <c r="A239" s="2187"/>
      <c r="B239" s="931"/>
      <c r="C239" s="2214" t="s">
        <v>2822</v>
      </c>
      <c r="D239" s="2214"/>
      <c r="E239" s="2214"/>
      <c r="F239" s="2214"/>
      <c r="G239" s="2214"/>
      <c r="H239" s="2001" t="s">
        <v>2823</v>
      </c>
      <c r="I239" s="2215" t="s">
        <v>2824</v>
      </c>
      <c r="J239" s="931"/>
      <c r="K239" s="2192"/>
      <c r="T239" s="931"/>
      <c r="U239" s="931"/>
    </row>
    <row r="240" customFormat="false" ht="12" hidden="false" customHeight="true" outlineLevel="0" collapsed="false">
      <c r="A240" s="2187"/>
      <c r="B240" s="931"/>
      <c r="C240" s="2055" t="s">
        <v>3017</v>
      </c>
      <c r="D240" s="2055"/>
      <c r="E240" s="2055"/>
      <c r="F240" s="2216"/>
      <c r="G240" s="2217" t="n">
        <f aca="false">IF(E241&lt;O240,O241,IF(E241&lt;P240,P241,IF(E241&lt;Q240,Q241,IF(E241&lt;R240,R241,IF(E241&lt;S240,S241,IF(E241&lt;T240,T241,U241))))))</f>
        <v>5</v>
      </c>
      <c r="H240" s="2218" t="n">
        <f aca="false">G240</f>
        <v>5</v>
      </c>
      <c r="I240" s="2219" t="n">
        <f aca="false">MIN(6,H240)</f>
        <v>5</v>
      </c>
      <c r="J240" s="931"/>
      <c r="K240" s="2192"/>
      <c r="N240" s="1763" t="s">
        <v>3018</v>
      </c>
      <c r="O240" s="1763" t="n">
        <v>200</v>
      </c>
      <c r="P240" s="1763" t="n">
        <v>400</v>
      </c>
      <c r="Q240" s="1763" t="n">
        <v>600</v>
      </c>
      <c r="R240" s="1763" t="n">
        <v>800</v>
      </c>
      <c r="S240" s="2009" t="n">
        <v>1000</v>
      </c>
      <c r="T240" s="2039" t="n">
        <v>1200</v>
      </c>
      <c r="U240" s="2039"/>
    </row>
    <row r="241" customFormat="false" ht="12" hidden="false" customHeight="true" outlineLevel="0" collapsed="false">
      <c r="A241" s="2187"/>
      <c r="B241" s="931"/>
      <c r="C241" s="2220"/>
      <c r="D241" s="2221" t="s">
        <v>3019</v>
      </c>
      <c r="E241" s="2222" t="n">
        <f aca="false">'Saisie et Calculateur'!H796</f>
        <v>311.91804</v>
      </c>
      <c r="F241" s="2030"/>
      <c r="G241" s="2223"/>
      <c r="H241" s="2218"/>
      <c r="I241" s="2219"/>
      <c r="J241" s="931"/>
      <c r="K241" s="2192"/>
      <c r="N241" s="1763" t="s">
        <v>2855</v>
      </c>
      <c r="O241" s="1763" t="n">
        <v>6</v>
      </c>
      <c r="P241" s="1763" t="n">
        <v>5</v>
      </c>
      <c r="Q241" s="1763" t="n">
        <v>4</v>
      </c>
      <c r="R241" s="1763" t="n">
        <v>3</v>
      </c>
      <c r="S241" s="2009" t="n">
        <v>2</v>
      </c>
      <c r="T241" s="2039" t="n">
        <v>1</v>
      </c>
      <c r="U241" s="2039" t="n">
        <v>0</v>
      </c>
    </row>
    <row r="242" customFormat="false" ht="12" hidden="false" customHeight="true" outlineLevel="0" collapsed="false">
      <c r="A242" s="2187"/>
      <c r="B242" s="931"/>
      <c r="C242" s="931"/>
      <c r="D242" s="931"/>
      <c r="E242" s="931"/>
      <c r="F242" s="931"/>
      <c r="G242" s="931"/>
      <c r="H242" s="931"/>
      <c r="I242" s="931"/>
      <c r="J242" s="931"/>
      <c r="K242" s="2192"/>
    </row>
    <row r="243" customFormat="false" ht="12" hidden="false" customHeight="true" outlineLevel="0" collapsed="false">
      <c r="A243" s="2187"/>
      <c r="B243" s="931"/>
      <c r="C243" s="931"/>
      <c r="D243" s="931"/>
      <c r="E243" s="931"/>
      <c r="F243" s="931"/>
      <c r="G243" s="931"/>
      <c r="H243" s="931"/>
      <c r="I243" s="931"/>
      <c r="J243" s="931"/>
      <c r="K243" s="2192"/>
    </row>
    <row r="244" customFormat="false" ht="28.5" hidden="false" customHeight="true" outlineLevel="0" collapsed="false">
      <c r="A244" s="2187"/>
      <c r="B244" s="1647" t="s">
        <v>260</v>
      </c>
      <c r="C244" s="2224" t="s">
        <v>3020</v>
      </c>
      <c r="D244" s="2224"/>
      <c r="E244" s="2224"/>
      <c r="F244" s="2224"/>
      <c r="G244" s="2224"/>
      <c r="H244" s="2224"/>
      <c r="I244" s="2225" t="s">
        <v>2989</v>
      </c>
      <c r="J244" s="931"/>
      <c r="K244" s="2192"/>
      <c r="T244" s="931"/>
      <c r="U244" s="1529"/>
      <c r="V244" s="931"/>
    </row>
    <row r="245" customFormat="false" ht="12.75" hidden="false" customHeight="true" outlineLevel="0" collapsed="false">
      <c r="A245" s="2187"/>
      <c r="B245" s="931"/>
      <c r="C245" s="931"/>
      <c r="D245" s="931"/>
      <c r="E245" s="931"/>
      <c r="F245" s="931"/>
      <c r="G245" s="931"/>
      <c r="H245" s="931"/>
      <c r="I245" s="931"/>
      <c r="J245" s="931"/>
      <c r="K245" s="2192"/>
    </row>
    <row r="246" customFormat="false" ht="25.5" hidden="false" customHeight="true" outlineLevel="0" collapsed="false">
      <c r="A246" s="2187"/>
      <c r="B246" s="931"/>
      <c r="C246" s="2226" t="s">
        <v>2822</v>
      </c>
      <c r="D246" s="2226"/>
      <c r="E246" s="2226"/>
      <c r="F246" s="2226"/>
      <c r="G246" s="2226"/>
      <c r="H246" s="2001" t="s">
        <v>2823</v>
      </c>
      <c r="I246" s="2215" t="s">
        <v>2824</v>
      </c>
      <c r="J246" s="931"/>
      <c r="K246" s="2192"/>
      <c r="Q246" s="931"/>
      <c r="R246" s="931"/>
      <c r="S246" s="931"/>
      <c r="T246" s="931"/>
    </row>
    <row r="247" customFormat="false" ht="13.5" hidden="false" customHeight="true" outlineLevel="0" collapsed="false">
      <c r="A247" s="2187"/>
      <c r="B247" s="931"/>
      <c r="C247" s="2227" t="s">
        <v>3021</v>
      </c>
      <c r="D247" s="2228"/>
      <c r="E247" s="2228"/>
      <c r="F247" s="2228"/>
      <c r="G247" s="2057" t="n">
        <f aca="false">MIN(6,SUM(F249,F251,F252))</f>
        <v>3</v>
      </c>
      <c r="H247" s="2194" t="n">
        <f aca="false">IF(E260="Pas d'UGB",G247,MIN(G247,G258))</f>
        <v>3</v>
      </c>
      <c r="I247" s="2229" t="n">
        <f aca="false">IF(H247&lt;0,0,MIN(6,H247))</f>
        <v>3</v>
      </c>
      <c r="J247" s="931"/>
      <c r="K247" s="2192"/>
      <c r="Q247" s="931"/>
      <c r="R247" s="931"/>
      <c r="S247" s="931"/>
      <c r="T247" s="931"/>
    </row>
    <row r="248" customFormat="false" ht="12.95" hidden="false" customHeight="true" outlineLevel="0" collapsed="false">
      <c r="A248" s="2187"/>
      <c r="B248" s="931"/>
      <c r="C248" s="2013" t="s">
        <v>3022</v>
      </c>
      <c r="D248" s="2013"/>
      <c r="E248" s="2013"/>
      <c r="F248" s="2013"/>
      <c r="G248" s="2057"/>
      <c r="H248" s="2194"/>
      <c r="I248" s="2229"/>
      <c r="J248" s="931"/>
      <c r="K248" s="2192"/>
      <c r="N248" s="1763" t="s">
        <v>3023</v>
      </c>
      <c r="O248" s="1763" t="n">
        <v>1</v>
      </c>
      <c r="P248" s="1763" t="n">
        <v>2</v>
      </c>
      <c r="Q248" s="1763" t="n">
        <v>4</v>
      </c>
      <c r="R248" s="1597" t="n">
        <v>6</v>
      </c>
      <c r="S248" s="1597" t="n">
        <v>10</v>
      </c>
      <c r="T248" s="2053" t="n">
        <v>15</v>
      </c>
      <c r="U248" s="2070"/>
    </row>
    <row r="249" customFormat="false" ht="12.95" hidden="false" customHeight="true" outlineLevel="0" collapsed="false">
      <c r="A249" s="2187"/>
      <c r="B249" s="931"/>
      <c r="C249" s="2027"/>
      <c r="D249" s="2014"/>
      <c r="E249" s="2014" t="n">
        <f aca="false">'Saisie et Calculateur'!D817</f>
        <v>4.17</v>
      </c>
      <c r="F249" s="2014" t="n">
        <f aca="false">IF(E249&lt;O248,O249,IF(E249&lt;=P248,P249,IF(E249&lt;=Q248,Q249,IF(E249&lt;=R248,R249,IF(E249&lt;=S248,S249,IF(E249&lt;=T248,T249,U249))))))</f>
        <v>3</v>
      </c>
      <c r="G249" s="2057"/>
      <c r="H249" s="2194"/>
      <c r="I249" s="2229"/>
      <c r="J249" s="931"/>
      <c r="K249" s="2192"/>
      <c r="N249" s="1763" t="s">
        <v>2855</v>
      </c>
      <c r="O249" s="1763" t="n">
        <v>6</v>
      </c>
      <c r="P249" s="1763" t="n">
        <v>5</v>
      </c>
      <c r="Q249" s="1597" t="n">
        <v>4</v>
      </c>
      <c r="R249" s="1597" t="n">
        <v>3</v>
      </c>
      <c r="S249" s="1597" t="n">
        <v>2</v>
      </c>
      <c r="T249" s="2053" t="n">
        <v>1</v>
      </c>
      <c r="U249" s="2039" t="n">
        <v>0</v>
      </c>
    </row>
    <row r="250" customFormat="false" ht="12.95" hidden="false" customHeight="true" outlineLevel="0" collapsed="false">
      <c r="A250" s="2187"/>
      <c r="B250" s="931"/>
      <c r="C250" s="2027" t="s">
        <v>3024</v>
      </c>
      <c r="D250" s="2027"/>
      <c r="E250" s="2027"/>
      <c r="F250" s="2027"/>
      <c r="G250" s="2057"/>
      <c r="H250" s="2194"/>
      <c r="I250" s="2229"/>
      <c r="J250" s="931"/>
      <c r="K250" s="2192"/>
      <c r="U250" s="931"/>
    </row>
    <row r="251" customFormat="false" ht="12.95" hidden="false" customHeight="true" outlineLevel="0" collapsed="false">
      <c r="A251" s="2187"/>
      <c r="B251" s="931"/>
      <c r="C251" s="2230"/>
      <c r="D251" s="1662"/>
      <c r="E251" s="1662"/>
      <c r="F251" s="2092" t="n">
        <f aca="false">IF('Saisie et Calculateur'!F819="oui",-1,0)</f>
        <v>-1</v>
      </c>
      <c r="G251" s="2057"/>
      <c r="H251" s="2194"/>
      <c r="I251" s="2229"/>
      <c r="J251" s="931"/>
      <c r="K251" s="2192"/>
    </row>
    <row r="252" customFormat="false" ht="12.95" hidden="false" customHeight="true" outlineLevel="0" collapsed="false">
      <c r="A252" s="2187"/>
      <c r="B252" s="931"/>
      <c r="C252" s="2230" t="s">
        <v>3025</v>
      </c>
      <c r="D252" s="1662"/>
      <c r="E252" s="1662"/>
      <c r="F252" s="2092" t="n">
        <f aca="false">IF(SUM(F253:F256)&gt;2,1,0)</f>
        <v>1</v>
      </c>
      <c r="G252" s="2057"/>
      <c r="H252" s="2194"/>
      <c r="I252" s="2229"/>
      <c r="J252" s="931"/>
      <c r="K252" s="2192"/>
    </row>
    <row r="253" customFormat="false" ht="12.95" hidden="false" customHeight="true" outlineLevel="0" collapsed="false">
      <c r="A253" s="2187"/>
      <c r="B253" s="931"/>
      <c r="C253" s="2231" t="s">
        <v>3026</v>
      </c>
      <c r="D253" s="2231"/>
      <c r="E253" s="2232" t="str">
        <f aca="false">'Saisie et Calculateur'!E823</f>
        <v>oui</v>
      </c>
      <c r="F253" s="2233" t="n">
        <f aca="false">IF(E253="oui",1,0)</f>
        <v>1</v>
      </c>
      <c r="G253" s="2057"/>
      <c r="H253" s="2194"/>
      <c r="I253" s="2229"/>
      <c r="J253" s="931"/>
      <c r="K253" s="2192"/>
    </row>
    <row r="254" customFormat="false" ht="12.95" hidden="false" customHeight="true" outlineLevel="0" collapsed="false">
      <c r="A254" s="2187"/>
      <c r="B254" s="931"/>
      <c r="C254" s="2231" t="s">
        <v>3027</v>
      </c>
      <c r="D254" s="2231"/>
      <c r="E254" s="2232" t="str">
        <f aca="false">'Saisie et Calculateur'!E824</f>
        <v>oui</v>
      </c>
      <c r="F254" s="2233" t="n">
        <f aca="false">IF(E254="oui",1,0)</f>
        <v>1</v>
      </c>
      <c r="G254" s="2057"/>
      <c r="H254" s="2194"/>
      <c r="I254" s="2229"/>
      <c r="J254" s="931"/>
      <c r="K254" s="2192"/>
    </row>
    <row r="255" customFormat="false" ht="12.95" hidden="false" customHeight="true" outlineLevel="0" collapsed="false">
      <c r="A255" s="2187"/>
      <c r="B255" s="931"/>
      <c r="C255" s="2231" t="s">
        <v>3028</v>
      </c>
      <c r="D255" s="2231"/>
      <c r="E255" s="2232" t="str">
        <f aca="false">'Saisie et Calculateur'!E825</f>
        <v>oui</v>
      </c>
      <c r="F255" s="2233" t="n">
        <f aca="false">IF(E255="oui",1,0)</f>
        <v>1</v>
      </c>
      <c r="G255" s="2057"/>
      <c r="H255" s="2194"/>
      <c r="I255" s="2229"/>
      <c r="J255" s="931"/>
      <c r="K255" s="2192"/>
    </row>
    <row r="256" customFormat="false" ht="12.95" hidden="false" customHeight="true" outlineLevel="0" collapsed="false">
      <c r="A256" s="2187"/>
      <c r="B256" s="931"/>
      <c r="C256" s="2231" t="s">
        <v>3029</v>
      </c>
      <c r="D256" s="2231"/>
      <c r="E256" s="2232" t="str">
        <f aca="false">'Saisie et Calculateur'!E826</f>
        <v>oui</v>
      </c>
      <c r="F256" s="2233" t="n">
        <f aca="false">IF(E256="oui",1,0)</f>
        <v>1</v>
      </c>
      <c r="G256" s="2057"/>
      <c r="H256" s="2194"/>
      <c r="I256" s="2229"/>
      <c r="J256" s="931"/>
      <c r="K256" s="2192"/>
    </row>
    <row r="257" customFormat="false" ht="12.95" hidden="false" customHeight="true" outlineLevel="0" collapsed="false">
      <c r="A257" s="2187"/>
      <c r="B257" s="931"/>
      <c r="C257" s="2230"/>
      <c r="D257" s="1662"/>
      <c r="E257" s="1662"/>
      <c r="F257" s="2092"/>
      <c r="G257" s="2234"/>
      <c r="H257" s="2194"/>
      <c r="I257" s="2229"/>
      <c r="J257" s="931"/>
      <c r="K257" s="2192"/>
    </row>
    <row r="258" customFormat="false" ht="12.95" hidden="false" customHeight="true" outlineLevel="0" collapsed="false">
      <c r="A258" s="2187"/>
      <c r="B258" s="931"/>
      <c r="C258" s="2235" t="s">
        <v>3030</v>
      </c>
      <c r="D258" s="1662"/>
      <c r="E258" s="1662"/>
      <c r="F258" s="1662"/>
      <c r="G258" s="2236" t="n">
        <f aca="false">IF(SUM(F260,F261,F264)&lt;0,0,MIN(6,SUM(F260,F261,F264)))</f>
        <v>6</v>
      </c>
      <c r="H258" s="2194"/>
      <c r="I258" s="2229"/>
      <c r="J258" s="931"/>
      <c r="K258" s="2192"/>
    </row>
    <row r="259" customFormat="false" ht="12.75" hidden="false" customHeight="true" outlineLevel="0" collapsed="false">
      <c r="A259" s="2187"/>
      <c r="B259" s="931"/>
      <c r="C259" s="2013" t="s">
        <v>3031</v>
      </c>
      <c r="D259" s="2013"/>
      <c r="E259" s="2013"/>
      <c r="F259" s="2013"/>
      <c r="G259" s="2236"/>
      <c r="H259" s="2194"/>
      <c r="I259" s="2229"/>
      <c r="J259" s="931"/>
      <c r="K259" s="2192"/>
      <c r="N259" s="1763" t="s">
        <v>3032</v>
      </c>
      <c r="O259" s="2237" t="n">
        <v>0.4</v>
      </c>
      <c r="P259" s="2237" t="n">
        <v>0.8</v>
      </c>
      <c r="Q259" s="2237" t="n">
        <v>1.2</v>
      </c>
      <c r="R259" s="2237" t="n">
        <v>1.6</v>
      </c>
      <c r="S259" s="2237" t="n">
        <v>2</v>
      </c>
      <c r="T259" s="2070"/>
    </row>
    <row r="260" customFormat="false" ht="13.5" hidden="false" customHeight="true" outlineLevel="0" collapsed="false">
      <c r="A260" s="2187"/>
      <c r="B260" s="931"/>
      <c r="C260" s="2027"/>
      <c r="D260" s="931" t="s">
        <v>3033</v>
      </c>
      <c r="E260" s="2238" t="n">
        <f aca="false">'Saisie et Calculateur'!G831</f>
        <v>0.166666666666667</v>
      </c>
      <c r="F260" s="2042" t="n">
        <f aca="false">IF(E260="Pas d'UGB","XXXX",IF(E260&lt;=O259,O260,IF(E260&lt;=P259,P260,IF(E260&lt;=Q259,Q260,IF(E260&lt;=R259,R260,IF(E260&lt;=S259,S260,T260))))))</f>
        <v>5</v>
      </c>
      <c r="G260" s="2236"/>
      <c r="H260" s="2194"/>
      <c r="I260" s="2229"/>
      <c r="J260" s="931"/>
      <c r="K260" s="2192"/>
      <c r="N260" s="1763" t="s">
        <v>2855</v>
      </c>
      <c r="O260" s="2237" t="n">
        <v>5</v>
      </c>
      <c r="P260" s="2237" t="n">
        <v>4</v>
      </c>
      <c r="Q260" s="2237" t="n">
        <v>3</v>
      </c>
      <c r="R260" s="2070" t="n">
        <v>2</v>
      </c>
      <c r="S260" s="2070" t="n">
        <v>1</v>
      </c>
      <c r="T260" s="2070" t="n">
        <v>0</v>
      </c>
    </row>
    <row r="261" customFormat="false" ht="14.1" hidden="false" customHeight="true" outlineLevel="0" collapsed="false">
      <c r="A261" s="2187"/>
      <c r="B261" s="931"/>
      <c r="C261" s="2013" t="s">
        <v>3034</v>
      </c>
      <c r="D261" s="2013"/>
      <c r="E261" s="2013"/>
      <c r="F261" s="2080" t="n">
        <f aca="false">MIN(1,SUM(E262:E263))</f>
        <v>1</v>
      </c>
      <c r="G261" s="2236"/>
      <c r="H261" s="2194"/>
      <c r="I261" s="2229"/>
      <c r="J261" s="931"/>
      <c r="K261" s="2192"/>
    </row>
    <row r="262" customFormat="false" ht="14.1" hidden="false" customHeight="true" outlineLevel="0" collapsed="false">
      <c r="A262" s="2187"/>
      <c r="B262" s="931"/>
      <c r="C262" s="2027"/>
      <c r="D262" s="1435" t="s">
        <v>3035</v>
      </c>
      <c r="E262" s="2155" t="n">
        <f aca="false">IF('Saisie et Calculateur'!F833="oui",1,0)</f>
        <v>0</v>
      </c>
      <c r="F262" s="931"/>
      <c r="G262" s="2236"/>
      <c r="H262" s="2194"/>
      <c r="I262" s="2229"/>
      <c r="J262" s="931"/>
      <c r="K262" s="2192"/>
    </row>
    <row r="263" customFormat="false" ht="14.1" hidden="false" customHeight="true" outlineLevel="0" collapsed="false">
      <c r="A263" s="2187"/>
      <c r="B263" s="931"/>
      <c r="C263" s="2027"/>
      <c r="D263" s="1435" t="s">
        <v>3036</v>
      </c>
      <c r="E263" s="2155" t="n">
        <f aca="false">IF('Saisie et Calculateur'!F834="oui",1,0)</f>
        <v>1</v>
      </c>
      <c r="F263" s="931"/>
      <c r="G263" s="2236"/>
      <c r="H263" s="2194"/>
      <c r="I263" s="2229"/>
      <c r="J263" s="931"/>
      <c r="K263" s="2192"/>
    </row>
    <row r="264" customFormat="false" ht="12.95" hidden="false" customHeight="true" outlineLevel="0" collapsed="false">
      <c r="A264" s="2187"/>
      <c r="B264" s="931"/>
      <c r="C264" s="2013" t="s">
        <v>3037</v>
      </c>
      <c r="D264" s="2013"/>
      <c r="E264" s="2013"/>
      <c r="F264" s="931" t="n">
        <f aca="false">SUM(F266:F267)</f>
        <v>0</v>
      </c>
      <c r="G264" s="2236"/>
      <c r="H264" s="2194"/>
      <c r="I264" s="2229"/>
      <c r="J264" s="931"/>
      <c r="K264" s="2192"/>
    </row>
    <row r="265" customFormat="false" ht="12.95" hidden="false" customHeight="true" outlineLevel="0" collapsed="false">
      <c r="A265" s="2187"/>
      <c r="B265" s="931"/>
      <c r="C265" s="2027"/>
      <c r="D265" s="2014" t="s">
        <v>3038</v>
      </c>
      <c r="E265" s="2014"/>
      <c r="F265" s="1435"/>
      <c r="G265" s="2236"/>
      <c r="H265" s="2194"/>
      <c r="I265" s="2229"/>
      <c r="J265" s="931"/>
      <c r="K265" s="2192"/>
    </row>
    <row r="266" customFormat="false" ht="12.95" hidden="false" customHeight="true" outlineLevel="0" collapsed="false">
      <c r="A266" s="2187"/>
      <c r="B266" s="931"/>
      <c r="C266" s="2027"/>
      <c r="D266" s="2014"/>
      <c r="E266" s="2014"/>
      <c r="F266" s="650" t="n">
        <f aca="false">IF('Saisie et Calculateur'!F836="oui",-1,0)</f>
        <v>0</v>
      </c>
      <c r="G266" s="2236"/>
      <c r="H266" s="2194"/>
      <c r="I266" s="2229"/>
      <c r="J266" s="931"/>
      <c r="K266" s="2192"/>
    </row>
    <row r="267" customFormat="false" ht="12.95" hidden="false" customHeight="true" outlineLevel="0" collapsed="false">
      <c r="A267" s="2187"/>
      <c r="B267" s="931"/>
      <c r="C267" s="2066"/>
      <c r="D267" s="2186" t="s">
        <v>3039</v>
      </c>
      <c r="E267" s="2186"/>
      <c r="F267" s="2239" t="n">
        <f aca="false">IF('Saisie et Calculateur'!F837="oui",-1,0)</f>
        <v>0</v>
      </c>
      <c r="G267" s="2236"/>
      <c r="H267" s="2194"/>
      <c r="I267" s="2229"/>
      <c r="J267" s="931"/>
      <c r="K267" s="2192"/>
    </row>
    <row r="268" customFormat="false" ht="12.95" hidden="false" customHeight="true" outlineLevel="0" collapsed="false">
      <c r="A268" s="2187"/>
      <c r="B268" s="2240"/>
      <c r="C268" s="2241"/>
      <c r="D268" s="2241"/>
      <c r="E268" s="2241"/>
      <c r="F268" s="2241"/>
      <c r="G268" s="2240"/>
      <c r="H268" s="2240"/>
      <c r="I268" s="2240"/>
      <c r="J268" s="2240"/>
      <c r="K268" s="2192"/>
    </row>
    <row r="269" customFormat="false" ht="13.5" hidden="false" customHeight="true" outlineLevel="0" collapsed="false"/>
    <row r="270" customFormat="false" ht="34.5" hidden="false" customHeight="true" outlineLevel="0" collapsed="false">
      <c r="A270" s="2242" t="s">
        <v>3040</v>
      </c>
      <c r="B270" s="2242"/>
      <c r="C270" s="2242"/>
      <c r="D270" s="2242"/>
      <c r="E270" s="2242"/>
      <c r="F270" s="2242"/>
      <c r="G270" s="2242"/>
      <c r="H270" s="2242"/>
      <c r="I270" s="2242"/>
      <c r="J270" s="2242"/>
      <c r="K270" s="2243" t="n">
        <f aca="false">SUM(K3,K97,K151,K129,K206)</f>
        <v>52</v>
      </c>
    </row>
  </sheetData>
  <mergeCells count="278">
    <mergeCell ref="A1:K1"/>
    <mergeCell ref="A3:A95"/>
    <mergeCell ref="C3:H3"/>
    <mergeCell ref="K3:K95"/>
    <mergeCell ref="C5:G5"/>
    <mergeCell ref="C6:F6"/>
    <mergeCell ref="G6:G14"/>
    <mergeCell ref="H6:H16"/>
    <mergeCell ref="I6:I16"/>
    <mergeCell ref="D7:F7"/>
    <mergeCell ref="D9:E9"/>
    <mergeCell ref="O9:P10"/>
    <mergeCell ref="Q9:Q10"/>
    <mergeCell ref="F11:F13"/>
    <mergeCell ref="O11:P11"/>
    <mergeCell ref="C12:D12"/>
    <mergeCell ref="O12:P12"/>
    <mergeCell ref="D14:E14"/>
    <mergeCell ref="C15:F15"/>
    <mergeCell ref="G15:G16"/>
    <mergeCell ref="C19:H19"/>
    <mergeCell ref="C21:G21"/>
    <mergeCell ref="C22:F22"/>
    <mergeCell ref="G22:G23"/>
    <mergeCell ref="H22:H39"/>
    <mergeCell ref="I22:I39"/>
    <mergeCell ref="C24:F24"/>
    <mergeCell ref="G24:G34"/>
    <mergeCell ref="O24:P24"/>
    <mergeCell ref="O25:P25"/>
    <mergeCell ref="O26:P26"/>
    <mergeCell ref="O27:P27"/>
    <mergeCell ref="C35:F35"/>
    <mergeCell ref="G35:G39"/>
    <mergeCell ref="O38:Q38"/>
    <mergeCell ref="R38:S38"/>
    <mergeCell ref="D39:E39"/>
    <mergeCell ref="O39:Q39"/>
    <mergeCell ref="R39:S39"/>
    <mergeCell ref="C42:H42"/>
    <mergeCell ref="C44:G44"/>
    <mergeCell ref="G45:G49"/>
    <mergeCell ref="H45:H63"/>
    <mergeCell ref="I45:I63"/>
    <mergeCell ref="N49:O49"/>
    <mergeCell ref="Q49:S49"/>
    <mergeCell ref="U49:V49"/>
    <mergeCell ref="C50:F50"/>
    <mergeCell ref="G50:G56"/>
    <mergeCell ref="N50:O50"/>
    <mergeCell ref="Q50:S50"/>
    <mergeCell ref="U50:V50"/>
    <mergeCell ref="D51:F51"/>
    <mergeCell ref="N51:O51"/>
    <mergeCell ref="Q51:S51"/>
    <mergeCell ref="U51:V51"/>
    <mergeCell ref="N52:O52"/>
    <mergeCell ref="Q52:S52"/>
    <mergeCell ref="U52:V52"/>
    <mergeCell ref="D53:F53"/>
    <mergeCell ref="N53:O53"/>
    <mergeCell ref="Q53:S53"/>
    <mergeCell ref="D55:F55"/>
    <mergeCell ref="N55:O55"/>
    <mergeCell ref="R55:S55"/>
    <mergeCell ref="U55:V55"/>
    <mergeCell ref="D56:E56"/>
    <mergeCell ref="N56:O56"/>
    <mergeCell ref="C57:F57"/>
    <mergeCell ref="G57:G63"/>
    <mergeCell ref="N57:O57"/>
    <mergeCell ref="D58:F58"/>
    <mergeCell ref="N58:O58"/>
    <mergeCell ref="D59:E59"/>
    <mergeCell ref="N59:O59"/>
    <mergeCell ref="D60:F60"/>
    <mergeCell ref="D61:E61"/>
    <mergeCell ref="O61:P61"/>
    <mergeCell ref="Q61:R61"/>
    <mergeCell ref="D62:F62"/>
    <mergeCell ref="O62:P62"/>
    <mergeCell ref="Q62:R62"/>
    <mergeCell ref="D63:E63"/>
    <mergeCell ref="O63:P63"/>
    <mergeCell ref="Q63:R63"/>
    <mergeCell ref="C66:H66"/>
    <mergeCell ref="C68:G68"/>
    <mergeCell ref="C69:F69"/>
    <mergeCell ref="G69:G77"/>
    <mergeCell ref="H69:H79"/>
    <mergeCell ref="I69:I79"/>
    <mergeCell ref="D70:F70"/>
    <mergeCell ref="O71:P71"/>
    <mergeCell ref="S71:T71"/>
    <mergeCell ref="O72:P72"/>
    <mergeCell ref="O73:P73"/>
    <mergeCell ref="S73:T73"/>
    <mergeCell ref="O74:P74"/>
    <mergeCell ref="S74:T74"/>
    <mergeCell ref="C78:F78"/>
    <mergeCell ref="G78:G79"/>
    <mergeCell ref="C82:H82"/>
    <mergeCell ref="C84:G84"/>
    <mergeCell ref="H85:H94"/>
    <mergeCell ref="I85:I94"/>
    <mergeCell ref="O85:P85"/>
    <mergeCell ref="Q85:R85"/>
    <mergeCell ref="S85:T85"/>
    <mergeCell ref="U85:V85"/>
    <mergeCell ref="C86:E86"/>
    <mergeCell ref="G86:G87"/>
    <mergeCell ref="O86:P86"/>
    <mergeCell ref="Q86:R86"/>
    <mergeCell ref="S86:T86"/>
    <mergeCell ref="U86:V86"/>
    <mergeCell ref="C87:D87"/>
    <mergeCell ref="E87:F87"/>
    <mergeCell ref="C88:F88"/>
    <mergeCell ref="G88:G92"/>
    <mergeCell ref="D89:F89"/>
    <mergeCell ref="D91:F91"/>
    <mergeCell ref="C93:F93"/>
    <mergeCell ref="G93:G94"/>
    <mergeCell ref="A97:A127"/>
    <mergeCell ref="C97:H97"/>
    <mergeCell ref="K97:K127"/>
    <mergeCell ref="C99:G99"/>
    <mergeCell ref="O99:P99"/>
    <mergeCell ref="Q99:S99"/>
    <mergeCell ref="C100:F100"/>
    <mergeCell ref="G100:G101"/>
    <mergeCell ref="H100:H105"/>
    <mergeCell ref="I100:I105"/>
    <mergeCell ref="O100:P100"/>
    <mergeCell ref="Q100:S100"/>
    <mergeCell ref="G102:G103"/>
    <mergeCell ref="N102:N103"/>
    <mergeCell ref="O102:O103"/>
    <mergeCell ref="G104:G105"/>
    <mergeCell ref="C108:H108"/>
    <mergeCell ref="C110:G110"/>
    <mergeCell ref="C111:D111"/>
    <mergeCell ref="E111:G111"/>
    <mergeCell ref="H111:H115"/>
    <mergeCell ref="I111:I115"/>
    <mergeCell ref="G112:G113"/>
    <mergeCell ref="C114:F114"/>
    <mergeCell ref="G114:G115"/>
    <mergeCell ref="C118:H118"/>
    <mergeCell ref="C120:G120"/>
    <mergeCell ref="C121:F121"/>
    <mergeCell ref="G121:G122"/>
    <mergeCell ref="H121:H124"/>
    <mergeCell ref="I121:I124"/>
    <mergeCell ref="C123:F123"/>
    <mergeCell ref="G123:G124"/>
    <mergeCell ref="A129:A149"/>
    <mergeCell ref="C129:H129"/>
    <mergeCell ref="K129:K149"/>
    <mergeCell ref="C131:G131"/>
    <mergeCell ref="C132:E132"/>
    <mergeCell ref="H132:H134"/>
    <mergeCell ref="I132:I134"/>
    <mergeCell ref="C133:F134"/>
    <mergeCell ref="G133:G134"/>
    <mergeCell ref="C137:H137"/>
    <mergeCell ref="C139:G139"/>
    <mergeCell ref="C140:F140"/>
    <mergeCell ref="G140:G141"/>
    <mergeCell ref="H140:H141"/>
    <mergeCell ref="I140:I141"/>
    <mergeCell ref="C144:H144"/>
    <mergeCell ref="C146:G146"/>
    <mergeCell ref="C147:F147"/>
    <mergeCell ref="G147:G148"/>
    <mergeCell ref="H147:H148"/>
    <mergeCell ref="I147:I148"/>
    <mergeCell ref="A151:A204"/>
    <mergeCell ref="C151:H151"/>
    <mergeCell ref="K151:K204"/>
    <mergeCell ref="C153:G153"/>
    <mergeCell ref="C154:F154"/>
    <mergeCell ref="G154:G158"/>
    <mergeCell ref="H154:H163"/>
    <mergeCell ref="I154:I163"/>
    <mergeCell ref="O154:X154"/>
    <mergeCell ref="O155:X155"/>
    <mergeCell ref="O156:X156"/>
    <mergeCell ref="O157:X157"/>
    <mergeCell ref="O158:X158"/>
    <mergeCell ref="G159:G161"/>
    <mergeCell ref="G162:G163"/>
    <mergeCell ref="C166:H166"/>
    <mergeCell ref="C168:G168"/>
    <mergeCell ref="C169:F169"/>
    <mergeCell ref="G169:G172"/>
    <mergeCell ref="H169:H183"/>
    <mergeCell ref="I169:I183"/>
    <mergeCell ref="C173:F173"/>
    <mergeCell ref="G173:G181"/>
    <mergeCell ref="D174:E174"/>
    <mergeCell ref="D176:E176"/>
    <mergeCell ref="D178:E178"/>
    <mergeCell ref="D180:E180"/>
    <mergeCell ref="C182:F182"/>
    <mergeCell ref="G182:G183"/>
    <mergeCell ref="C186:H186"/>
    <mergeCell ref="C188:G188"/>
    <mergeCell ref="H189:H193"/>
    <mergeCell ref="I189:I193"/>
    <mergeCell ref="O189:P189"/>
    <mergeCell ref="Q189:R189"/>
    <mergeCell ref="S189:T189"/>
    <mergeCell ref="O190:P190"/>
    <mergeCell ref="Q190:R190"/>
    <mergeCell ref="S190:T190"/>
    <mergeCell ref="C191:F191"/>
    <mergeCell ref="G191:G192"/>
    <mergeCell ref="D192:F192"/>
    <mergeCell ref="O192:Q192"/>
    <mergeCell ref="R192:T192"/>
    <mergeCell ref="C193:F193"/>
    <mergeCell ref="C195:H195"/>
    <mergeCell ref="C197:G197"/>
    <mergeCell ref="C198:F198"/>
    <mergeCell ref="G198:G199"/>
    <mergeCell ref="H198:H203"/>
    <mergeCell ref="I198:I203"/>
    <mergeCell ref="N199:N201"/>
    <mergeCell ref="O199:O201"/>
    <mergeCell ref="P199:P201"/>
    <mergeCell ref="Q199:Q201"/>
    <mergeCell ref="C200:F200"/>
    <mergeCell ref="G200:G201"/>
    <mergeCell ref="C202:F202"/>
    <mergeCell ref="G202:G203"/>
    <mergeCell ref="A206:A268"/>
    <mergeCell ref="C206:H206"/>
    <mergeCell ref="K206:K268"/>
    <mergeCell ref="C208:G208"/>
    <mergeCell ref="C209:F209"/>
    <mergeCell ref="G209:G215"/>
    <mergeCell ref="H209:H223"/>
    <mergeCell ref="I209:I223"/>
    <mergeCell ref="F212:F215"/>
    <mergeCell ref="C216:F216"/>
    <mergeCell ref="G216:G218"/>
    <mergeCell ref="C219:F219"/>
    <mergeCell ref="G219:G223"/>
    <mergeCell ref="C226:H226"/>
    <mergeCell ref="C228:G228"/>
    <mergeCell ref="C229:F229"/>
    <mergeCell ref="G229:G233"/>
    <mergeCell ref="H229:H234"/>
    <mergeCell ref="I229:I234"/>
    <mergeCell ref="C237:H237"/>
    <mergeCell ref="C239:G239"/>
    <mergeCell ref="C240:E240"/>
    <mergeCell ref="H240:H241"/>
    <mergeCell ref="I240:I241"/>
    <mergeCell ref="C244:H244"/>
    <mergeCell ref="C246:G246"/>
    <mergeCell ref="G247:G256"/>
    <mergeCell ref="H247:H267"/>
    <mergeCell ref="I247:I267"/>
    <mergeCell ref="C248:F248"/>
    <mergeCell ref="C250:F250"/>
    <mergeCell ref="C253:D253"/>
    <mergeCell ref="C254:D254"/>
    <mergeCell ref="C255:D255"/>
    <mergeCell ref="C256:D256"/>
    <mergeCell ref="G258:G267"/>
    <mergeCell ref="C259:F259"/>
    <mergeCell ref="C261:E261"/>
    <mergeCell ref="C264:E264"/>
    <mergeCell ref="D265:E266"/>
    <mergeCell ref="D267:E267"/>
    <mergeCell ref="A270:J270"/>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tabColor rgb="FF33CCCC"/>
    <pageSetUpPr fitToPage="false"/>
  </sheetPr>
  <dimension ref="A1:X308"/>
  <sheetViews>
    <sheetView showFormulas="false" showGridLines="true" showRowColHeaders="true" showZeros="true" rightToLeft="false" tabSelected="false" showOutlineSymbols="true" defaultGridColor="true" view="normal" topLeftCell="A271" colorId="64" zoomScale="100" zoomScaleNormal="100" zoomScalePageLayoutView="100" workbookViewId="0">
      <selection pane="topLeft" activeCell="G279" activeCellId="0" sqref="G279"/>
    </sheetView>
  </sheetViews>
  <sheetFormatPr defaultRowHeight="12.75" zeroHeight="false" outlineLevelRow="0" outlineLevelCol="0"/>
  <cols>
    <col collapsed="false" customWidth="true" hidden="false" outlineLevel="0" max="1" min="1" style="0" width="10.69"/>
    <col collapsed="false" customWidth="true" hidden="false" outlineLevel="0" max="2" min="2" style="0" width="5.28"/>
    <col collapsed="false" customWidth="true" hidden="false" outlineLevel="0" max="3" min="3" style="0" width="20.54"/>
    <col collapsed="false" customWidth="true" hidden="false" outlineLevel="0" max="4" min="4" style="0" width="16.4"/>
    <col collapsed="false" customWidth="true" hidden="false" outlineLevel="0" max="5" min="5" style="0" width="13.28"/>
    <col collapsed="false" customWidth="true" hidden="false" outlineLevel="0" max="6" min="6" style="0" width="7.98"/>
    <col collapsed="false" customWidth="true" hidden="false" outlineLevel="0" max="7" min="7" style="2244" width="8.98"/>
    <col collapsed="false" customWidth="true" hidden="false" outlineLevel="0" max="9" min="8" style="0" width="10.69"/>
    <col collapsed="false" customWidth="true" hidden="false" outlineLevel="0" max="10" min="10" style="0" width="5.13"/>
    <col collapsed="false" customWidth="true" hidden="false" outlineLevel="0" max="11" min="11" style="0" width="16.97"/>
    <col collapsed="false" customWidth="true" hidden="false" outlineLevel="0" max="12" min="12" style="0" width="10.69"/>
    <col collapsed="false" customWidth="true" hidden="false" outlineLevel="0" max="13" min="13" style="0" width="17.83"/>
    <col collapsed="false" customWidth="true" hidden="false" outlineLevel="0" max="14" min="14" style="0" width="11.12"/>
    <col collapsed="false" customWidth="true" hidden="false" outlineLevel="0" max="15" min="15" style="0" width="10.69"/>
    <col collapsed="false" customWidth="true" hidden="false" outlineLevel="0" max="16" min="16" style="0" width="12.69"/>
    <col collapsed="false" customWidth="true" hidden="false" outlineLevel="0" max="1025" min="17" style="0" width="10.69"/>
  </cols>
  <sheetData>
    <row r="1" customFormat="false" ht="60" hidden="false" customHeight="true" outlineLevel="0" collapsed="false">
      <c r="A1" s="2245" t="s">
        <v>3041</v>
      </c>
      <c r="B1" s="2245"/>
      <c r="C1" s="2245"/>
      <c r="D1" s="2245"/>
      <c r="E1" s="2245"/>
      <c r="F1" s="2245"/>
      <c r="G1" s="2245"/>
      <c r="H1" s="2245"/>
      <c r="I1" s="2245"/>
      <c r="J1" s="2245"/>
      <c r="K1" s="2245"/>
    </row>
    <row r="2" customFormat="false" ht="15.75" hidden="false" customHeight="true" outlineLevel="0" collapsed="false">
      <c r="A2" s="1990"/>
      <c r="B2" s="1990"/>
      <c r="C2" s="1990"/>
      <c r="G2" s="0"/>
    </row>
    <row r="3" customFormat="false" ht="13.5" hidden="false" customHeight="true" outlineLevel="0" collapsed="false">
      <c r="G3" s="0"/>
    </row>
    <row r="4" customFormat="false" ht="15" hidden="false" customHeight="true" outlineLevel="0" collapsed="false">
      <c r="A4" s="2246" t="s">
        <v>3042</v>
      </c>
      <c r="B4" s="1992" t="s">
        <v>3043</v>
      </c>
      <c r="C4" s="2247" t="s">
        <v>3044</v>
      </c>
      <c r="D4" s="2247"/>
      <c r="E4" s="2247"/>
      <c r="F4" s="2247"/>
      <c r="G4" s="2247"/>
      <c r="H4" s="2247"/>
      <c r="I4" s="2248" t="s">
        <v>2989</v>
      </c>
      <c r="J4" s="2104"/>
      <c r="K4" s="2249" t="s">
        <v>3045</v>
      </c>
    </row>
    <row r="5" customFormat="false" ht="13.5" hidden="false" customHeight="true" outlineLevel="0" collapsed="false">
      <c r="A5" s="2246"/>
      <c r="B5" s="1997"/>
      <c r="C5" s="931"/>
      <c r="D5" s="931"/>
      <c r="E5" s="931"/>
      <c r="F5" s="931"/>
      <c r="G5" s="2232"/>
      <c r="H5" s="931"/>
      <c r="I5" s="931"/>
      <c r="J5" s="931"/>
      <c r="K5" s="2249"/>
    </row>
    <row r="6" customFormat="false" ht="25.5" hidden="false" customHeight="true" outlineLevel="0" collapsed="false">
      <c r="A6" s="2246"/>
      <c r="B6" s="1997"/>
      <c r="C6" s="1597" t="s">
        <v>2822</v>
      </c>
      <c r="D6" s="1597"/>
      <c r="E6" s="1597"/>
      <c r="F6" s="1597"/>
      <c r="G6" s="1597"/>
      <c r="H6" s="2001" t="s">
        <v>2823</v>
      </c>
      <c r="I6" s="2001" t="s">
        <v>2824</v>
      </c>
      <c r="J6" s="931"/>
      <c r="K6" s="2250" t="n">
        <f aca="false">MIN(25,SUM(I7,I19,I30,I45,I52))</f>
        <v>17</v>
      </c>
      <c r="M6" s="2251" t="s">
        <v>3046</v>
      </c>
      <c r="N6" s="2251"/>
      <c r="O6" s="2251" t="s">
        <v>2895</v>
      </c>
    </row>
    <row r="7" customFormat="false" ht="15.75" hidden="false" customHeight="true" outlineLevel="0" collapsed="false">
      <c r="A7" s="2246"/>
      <c r="B7" s="1997"/>
      <c r="C7" s="2108" t="s">
        <v>3047</v>
      </c>
      <c r="D7" s="2108"/>
      <c r="E7" s="2108"/>
      <c r="F7" s="2108"/>
      <c r="G7" s="2109" t="n">
        <f aca="false">IF(E8&gt;=M10,O10,IF(E8&gt;=M9,O9,IF(E8&gt;M8,O8,O7)))</f>
        <v>6</v>
      </c>
      <c r="H7" s="2252" t="n">
        <f aca="false">G7+G10+G12</f>
        <v>9</v>
      </c>
      <c r="I7" s="2253" t="n">
        <f aca="false">MIN(6,H7)</f>
        <v>6</v>
      </c>
      <c r="J7" s="931"/>
      <c r="K7" s="2250"/>
      <c r="M7" s="1572"/>
      <c r="N7" s="1572"/>
      <c r="O7" s="2251" t="n">
        <v>0</v>
      </c>
    </row>
    <row r="8" customFormat="false" ht="15" hidden="false" customHeight="true" outlineLevel="0" collapsed="false">
      <c r="A8" s="2246"/>
      <c r="B8" s="1997"/>
      <c r="C8" s="1769" t="s">
        <v>3048</v>
      </c>
      <c r="D8" s="931" t="s">
        <v>1130</v>
      </c>
      <c r="E8" s="2254" t="n">
        <f aca="false">'Saisie et Calculateur'!J845</f>
        <v>0.948051948051948</v>
      </c>
      <c r="F8" s="931"/>
      <c r="G8" s="2109"/>
      <c r="H8" s="2252"/>
      <c r="I8" s="2253"/>
      <c r="J8" s="931"/>
      <c r="K8" s="2250"/>
      <c r="M8" s="2255" t="n">
        <v>0</v>
      </c>
      <c r="N8" s="2255"/>
      <c r="O8" s="2251" t="n">
        <v>2</v>
      </c>
    </row>
    <row r="9" customFormat="false" ht="15" hidden="false" customHeight="true" outlineLevel="0" collapsed="false">
      <c r="A9" s="2246"/>
      <c r="B9" s="1997"/>
      <c r="C9" s="1769"/>
      <c r="D9" s="931"/>
      <c r="E9" s="2077"/>
      <c r="F9" s="931"/>
      <c r="G9" s="2109"/>
      <c r="H9" s="2252"/>
      <c r="I9" s="2253"/>
      <c r="J9" s="931"/>
      <c r="K9" s="2250"/>
      <c r="M9" s="2255" t="n">
        <v>0.45</v>
      </c>
      <c r="N9" s="2255"/>
      <c r="O9" s="2251" t="n">
        <v>4</v>
      </c>
    </row>
    <row r="10" customFormat="false" ht="12.75" hidden="false" customHeight="true" outlineLevel="0" collapsed="false">
      <c r="A10" s="2246"/>
      <c r="B10" s="1997"/>
      <c r="C10" s="2126" t="s">
        <v>3049</v>
      </c>
      <c r="D10" s="2126"/>
      <c r="E10" s="2126"/>
      <c r="F10" s="2126"/>
      <c r="G10" s="2256" t="n">
        <f aca="false">IF(E11=M13,N13,N14)</f>
        <v>0</v>
      </c>
      <c r="H10" s="2252"/>
      <c r="I10" s="2253"/>
      <c r="J10" s="931"/>
      <c r="K10" s="2250"/>
      <c r="M10" s="2255" t="n">
        <v>0.85</v>
      </c>
      <c r="N10" s="2255"/>
      <c r="O10" s="2251" t="n">
        <v>6</v>
      </c>
      <c r="P10" s="2257"/>
    </row>
    <row r="11" customFormat="false" ht="15" hidden="false" customHeight="true" outlineLevel="0" collapsed="false">
      <c r="A11" s="2246"/>
      <c r="B11" s="1997"/>
      <c r="C11" s="2111"/>
      <c r="D11" s="2014" t="s">
        <v>2843</v>
      </c>
      <c r="E11" s="2042" t="str">
        <f aca="false">'Saisie et Calculateur'!J847</f>
        <v>non</v>
      </c>
      <c r="F11" s="931"/>
      <c r="G11" s="2256"/>
      <c r="H11" s="2252"/>
      <c r="I11" s="2253"/>
      <c r="J11" s="931"/>
      <c r="K11" s="2250"/>
    </row>
    <row r="12" customFormat="false" ht="15" hidden="false" customHeight="true" outlineLevel="0" collapsed="false">
      <c r="A12" s="2246"/>
      <c r="B12" s="1997"/>
      <c r="C12" s="2111" t="s">
        <v>3050</v>
      </c>
      <c r="D12" s="2111"/>
      <c r="E12" s="2111"/>
      <c r="F12" s="2111"/>
      <c r="G12" s="2127" t="n">
        <f aca="false">IF(E13=M13,O13,O14)</f>
        <v>3</v>
      </c>
      <c r="H12" s="2252"/>
      <c r="I12" s="2253"/>
      <c r="J12" s="931"/>
      <c r="K12" s="2250"/>
      <c r="N12" s="1746" t="s">
        <v>3051</v>
      </c>
      <c r="O12" s="1746" t="s">
        <v>3052</v>
      </c>
    </row>
    <row r="13" customFormat="false" ht="15" hidden="false" customHeight="true" outlineLevel="0" collapsed="false">
      <c r="A13" s="2246"/>
      <c r="B13" s="1997"/>
      <c r="C13" s="2117"/>
      <c r="D13" s="2128" t="s">
        <v>2843</v>
      </c>
      <c r="E13" s="2258" t="str">
        <f aca="false">'Saisie et Calculateur'!J849</f>
        <v>oui</v>
      </c>
      <c r="F13" s="2118"/>
      <c r="G13" s="2127"/>
      <c r="H13" s="2252"/>
      <c r="I13" s="2253"/>
      <c r="J13" s="931"/>
      <c r="K13" s="2250"/>
      <c r="M13" s="2053" t="s">
        <v>253</v>
      </c>
      <c r="N13" s="1763" t="n">
        <v>3</v>
      </c>
      <c r="O13" s="1763" t="n">
        <v>3</v>
      </c>
    </row>
    <row r="14" customFormat="false" ht="12.75" hidden="false" customHeight="true" outlineLevel="0" collapsed="false">
      <c r="A14" s="2246"/>
      <c r="B14" s="1997"/>
      <c r="C14" s="931"/>
      <c r="D14" s="931"/>
      <c r="E14" s="931"/>
      <c r="F14" s="931"/>
      <c r="G14" s="2232"/>
      <c r="H14" s="931"/>
      <c r="I14" s="931"/>
      <c r="J14" s="931"/>
      <c r="K14" s="2250"/>
      <c r="M14" s="1763" t="s">
        <v>254</v>
      </c>
      <c r="N14" s="1763" t="n">
        <v>0</v>
      </c>
      <c r="O14" s="1763" t="n">
        <v>0</v>
      </c>
    </row>
    <row r="15" customFormat="false" ht="12.75" hidden="false" customHeight="true" outlineLevel="0" collapsed="false">
      <c r="A15" s="2246"/>
      <c r="B15" s="1997"/>
      <c r="C15" s="931"/>
      <c r="D15" s="931"/>
      <c r="E15" s="931"/>
      <c r="F15" s="931"/>
      <c r="G15" s="2232"/>
      <c r="H15" s="931"/>
      <c r="I15" s="931"/>
      <c r="J15" s="931"/>
      <c r="K15" s="2250"/>
    </row>
    <row r="16" customFormat="false" ht="15" hidden="false" customHeight="true" outlineLevel="0" collapsed="false">
      <c r="A16" s="2246"/>
      <c r="B16" s="1997" t="s">
        <v>230</v>
      </c>
      <c r="C16" s="2259" t="s">
        <v>3053</v>
      </c>
      <c r="D16" s="2259"/>
      <c r="E16" s="2259"/>
      <c r="F16" s="2259"/>
      <c r="G16" s="2259"/>
      <c r="H16" s="2259"/>
      <c r="I16" s="2260" t="s">
        <v>2989</v>
      </c>
      <c r="J16" s="931"/>
      <c r="K16" s="2250"/>
      <c r="M16" s="2261"/>
    </row>
    <row r="17" customFormat="false" ht="12.75" hidden="false" customHeight="true" outlineLevel="0" collapsed="false">
      <c r="A17" s="2246"/>
      <c r="B17" s="1997"/>
      <c r="C17" s="931"/>
      <c r="D17" s="931"/>
      <c r="E17" s="931"/>
      <c r="F17" s="931"/>
      <c r="G17" s="2232"/>
      <c r="H17" s="931"/>
      <c r="I17" s="931"/>
      <c r="J17" s="931"/>
      <c r="K17" s="2250"/>
      <c r="M17" s="1810" t="s">
        <v>3054</v>
      </c>
      <c r="N17" s="1810" t="s">
        <v>2895</v>
      </c>
      <c r="P17" s="2000" t="s">
        <v>3055</v>
      </c>
      <c r="Q17" s="2000" t="s">
        <v>2855</v>
      </c>
    </row>
    <row r="18" customFormat="false" ht="25.5" hidden="false" customHeight="true" outlineLevel="0" collapsed="false">
      <c r="A18" s="2246"/>
      <c r="B18" s="1997"/>
      <c r="C18" s="1597" t="s">
        <v>2822</v>
      </c>
      <c r="D18" s="1597"/>
      <c r="E18" s="1597"/>
      <c r="F18" s="1597"/>
      <c r="G18" s="1597"/>
      <c r="H18" s="2001" t="s">
        <v>2823</v>
      </c>
      <c r="I18" s="2001" t="s">
        <v>2824</v>
      </c>
      <c r="J18" s="931"/>
      <c r="K18" s="2250"/>
      <c r="M18" s="2002" t="n">
        <v>0.1</v>
      </c>
      <c r="N18" s="1810" t="n">
        <v>6</v>
      </c>
      <c r="O18" s="2257"/>
      <c r="P18" s="2262" t="n">
        <v>0.3</v>
      </c>
      <c r="Q18" s="2263" t="n">
        <v>6</v>
      </c>
    </row>
    <row r="19" customFormat="false" ht="12.75" hidden="false" customHeight="true" outlineLevel="0" collapsed="false">
      <c r="A19" s="2246"/>
      <c r="B19" s="1997"/>
      <c r="C19" s="2108" t="s">
        <v>3056</v>
      </c>
      <c r="D19" s="2108"/>
      <c r="E19" s="2108"/>
      <c r="F19" s="2108"/>
      <c r="G19" s="2109" t="n">
        <f aca="false">IF(E20&lt;=M18,N18,IF(E20&lt;=M19,N19,IF(E20&lt;=M20,N20,N21)))</f>
        <v>6</v>
      </c>
      <c r="H19" s="2252" t="n">
        <f aca="false">IF(OR('Saisie et Calculateur'!B854="1 - monogastrique",'Saisie et Calculateur'!B854="2 - herbivore")=TRUE(),G19,G22)</f>
        <v>6</v>
      </c>
      <c r="I19" s="2253" t="n">
        <f aca="false">MIN(6,H19)</f>
        <v>6</v>
      </c>
      <c r="J19" s="931"/>
      <c r="K19" s="2250"/>
      <c r="M19" s="2002" t="n">
        <v>0.3</v>
      </c>
      <c r="N19" s="1810" t="n">
        <v>4</v>
      </c>
      <c r="O19" s="2257"/>
      <c r="P19" s="2116" t="n">
        <v>0.15</v>
      </c>
      <c r="Q19" s="2010" t="n">
        <v>4</v>
      </c>
    </row>
    <row r="20" customFormat="false" ht="12.75" hidden="false" customHeight="true" outlineLevel="0" collapsed="false">
      <c r="A20" s="2246"/>
      <c r="B20" s="1997"/>
      <c r="C20" s="1769" t="s">
        <v>3057</v>
      </c>
      <c r="D20" s="931" t="s">
        <v>1130</v>
      </c>
      <c r="E20" s="2077" t="n">
        <f aca="false">'Saisie et Calculateur'!J856</f>
        <v>0</v>
      </c>
      <c r="F20" s="931"/>
      <c r="G20" s="2109"/>
      <c r="H20" s="2252"/>
      <c r="I20" s="2253"/>
      <c r="J20" s="931"/>
      <c r="K20" s="2250"/>
      <c r="M20" s="2002" t="n">
        <v>0.6</v>
      </c>
      <c r="N20" s="1810" t="n">
        <v>2</v>
      </c>
      <c r="O20" s="2257"/>
      <c r="P20" s="2116" t="n">
        <v>0.05</v>
      </c>
      <c r="Q20" s="2010" t="n">
        <v>2</v>
      </c>
    </row>
    <row r="21" customFormat="false" ht="12.75" hidden="false" customHeight="true" outlineLevel="0" collapsed="false">
      <c r="A21" s="2246"/>
      <c r="B21" s="1997"/>
      <c r="C21" s="1769"/>
      <c r="F21" s="931"/>
      <c r="G21" s="2109"/>
      <c r="H21" s="2252"/>
      <c r="I21" s="2253"/>
      <c r="J21" s="931"/>
      <c r="K21" s="2250"/>
      <c r="M21" s="2264"/>
      <c r="N21" s="2001" t="n">
        <v>0</v>
      </c>
      <c r="O21" s="2265"/>
      <c r="P21" s="2116"/>
      <c r="Q21" s="2010" t="n">
        <v>0</v>
      </c>
    </row>
    <row r="22" customFormat="false" ht="12.75" hidden="false" customHeight="true" outlineLevel="0" collapsed="false">
      <c r="A22" s="2246"/>
      <c r="B22" s="1997"/>
      <c r="C22" s="2126" t="s">
        <v>3058</v>
      </c>
      <c r="D22" s="2126"/>
      <c r="E22" s="2126"/>
      <c r="F22" s="2126"/>
      <c r="G22" s="2127" t="n">
        <f aca="false">IF(E24&gt;=P18,Q18,IF(E24&gt;=P19,Q19,IF(E24&gt;=P20,Q20,Q21)))</f>
        <v>0</v>
      </c>
      <c r="H22" s="2252"/>
      <c r="I22" s="2253"/>
      <c r="J22" s="931"/>
      <c r="K22" s="2250"/>
      <c r="M22" s="2266"/>
      <c r="N22" s="2266"/>
      <c r="O22" s="2265"/>
    </row>
    <row r="23" customFormat="false" ht="15" hidden="false" customHeight="true" outlineLevel="0" collapsed="false">
      <c r="A23" s="2246"/>
      <c r="B23" s="1997"/>
      <c r="C23" s="2113" t="s">
        <v>3059</v>
      </c>
      <c r="D23" s="2014"/>
      <c r="E23" s="2042"/>
      <c r="F23" s="931"/>
      <c r="G23" s="2127"/>
      <c r="H23" s="2252"/>
      <c r="I23" s="2253"/>
      <c r="J23" s="931"/>
      <c r="K23" s="2250"/>
      <c r="M23" s="2267"/>
      <c r="N23" s="2267"/>
    </row>
    <row r="24" customFormat="false" ht="12.75" hidden="false" customHeight="true" outlineLevel="0" collapsed="false">
      <c r="A24" s="2246"/>
      <c r="B24" s="1997"/>
      <c r="C24" s="2117"/>
      <c r="D24" s="2128" t="s">
        <v>1130</v>
      </c>
      <c r="E24" s="2268" t="n">
        <f aca="false">'Saisie et Calculateur'!J860</f>
        <v>0</v>
      </c>
      <c r="F24" s="2118"/>
      <c r="G24" s="2127"/>
      <c r="H24" s="2252"/>
      <c r="I24" s="2253"/>
      <c r="J24" s="931"/>
      <c r="K24" s="2250"/>
    </row>
    <row r="25" customFormat="false" ht="12.75" hidden="false" customHeight="true" outlineLevel="0" collapsed="false">
      <c r="A25" s="2246"/>
      <c r="B25" s="1997"/>
      <c r="C25" s="931"/>
      <c r="D25" s="931"/>
      <c r="E25" s="931"/>
      <c r="F25" s="931"/>
      <c r="G25" s="2232"/>
      <c r="H25" s="931"/>
      <c r="I25" s="931"/>
      <c r="J25" s="931"/>
      <c r="K25" s="2250"/>
    </row>
    <row r="26" customFormat="false" ht="12.75" hidden="false" customHeight="true" outlineLevel="0" collapsed="false">
      <c r="A26" s="2246"/>
      <c r="B26" s="1997"/>
      <c r="C26" s="931"/>
      <c r="D26" s="931"/>
      <c r="E26" s="931"/>
      <c r="F26" s="931"/>
      <c r="G26" s="2232"/>
      <c r="H26" s="931"/>
      <c r="I26" s="931"/>
      <c r="J26" s="931"/>
      <c r="K26" s="2250"/>
    </row>
    <row r="27" customFormat="false" ht="15" hidden="false" customHeight="true" outlineLevel="0" collapsed="false">
      <c r="A27" s="2246"/>
      <c r="B27" s="1997" t="s">
        <v>673</v>
      </c>
      <c r="C27" s="2259" t="s">
        <v>3060</v>
      </c>
      <c r="D27" s="2259"/>
      <c r="E27" s="2259"/>
      <c r="F27" s="2259"/>
      <c r="G27" s="2259"/>
      <c r="H27" s="2259"/>
      <c r="I27" s="2260" t="s">
        <v>2989</v>
      </c>
      <c r="J27" s="931"/>
      <c r="K27" s="2250"/>
    </row>
    <row r="28" customFormat="false" ht="12.75" hidden="false" customHeight="true" outlineLevel="0" collapsed="false">
      <c r="A28" s="2246"/>
      <c r="B28" s="1997"/>
      <c r="C28" s="931"/>
      <c r="D28" s="931"/>
      <c r="E28" s="931"/>
      <c r="F28" s="931"/>
      <c r="G28" s="2232"/>
      <c r="H28" s="931"/>
      <c r="I28" s="931"/>
      <c r="J28" s="931"/>
      <c r="K28" s="2250"/>
    </row>
    <row r="29" customFormat="false" ht="25.5" hidden="false" customHeight="true" outlineLevel="0" collapsed="false">
      <c r="A29" s="2246"/>
      <c r="B29" s="1997"/>
      <c r="C29" s="1597" t="s">
        <v>2822</v>
      </c>
      <c r="D29" s="1597"/>
      <c r="E29" s="1597"/>
      <c r="F29" s="1597"/>
      <c r="G29" s="1597"/>
      <c r="H29" s="2001" t="s">
        <v>2823</v>
      </c>
      <c r="I29" s="2001" t="s">
        <v>2824</v>
      </c>
      <c r="J29" s="931"/>
      <c r="K29" s="2250"/>
      <c r="M29" s="2261"/>
    </row>
    <row r="30" customFormat="false" ht="15" hidden="false" customHeight="true" outlineLevel="0" collapsed="false">
      <c r="A30" s="2246"/>
      <c r="B30" s="1997"/>
      <c r="C30" s="2108" t="s">
        <v>3061</v>
      </c>
      <c r="D30" s="2108"/>
      <c r="E30" s="2108"/>
      <c r="F30" s="2108"/>
      <c r="G30" s="2109" t="n">
        <f aca="false">MIN(4,SUM(F31:F33))</f>
        <v>0</v>
      </c>
      <c r="H30" s="2252" t="n">
        <f aca="false">G30+G35+G38</f>
        <v>0</v>
      </c>
      <c r="I30" s="2253" t="n">
        <f aca="false">MIN(6,H30)</f>
        <v>0</v>
      </c>
      <c r="J30" s="931"/>
      <c r="K30" s="2250"/>
      <c r="M30" s="1810" t="s">
        <v>3062</v>
      </c>
      <c r="N30" s="1810" t="s">
        <v>253</v>
      </c>
      <c r="O30" s="1746" t="s">
        <v>254</v>
      </c>
    </row>
    <row r="31" customFormat="false" ht="12.75" hidden="false" customHeight="true" outlineLevel="0" collapsed="false">
      <c r="A31" s="2246"/>
      <c r="B31" s="1997"/>
      <c r="C31" s="1769" t="s">
        <v>3063</v>
      </c>
      <c r="D31" s="931" t="s">
        <v>2843</v>
      </c>
      <c r="E31" s="1312" t="str">
        <f aca="false">'Saisie et Calculateur'!D867</f>
        <v>non</v>
      </c>
      <c r="F31" s="931" t="n">
        <f aca="false">IF(E31=N$30,N31,O31)</f>
        <v>0</v>
      </c>
      <c r="G31" s="2109"/>
      <c r="H31" s="2252"/>
      <c r="I31" s="2253"/>
      <c r="J31" s="931"/>
      <c r="K31" s="2250"/>
      <c r="M31" s="1810" t="s">
        <v>3063</v>
      </c>
      <c r="N31" s="1810" t="n">
        <v>2</v>
      </c>
      <c r="O31" s="1746" t="n">
        <v>0</v>
      </c>
    </row>
    <row r="32" customFormat="false" ht="12.75" hidden="false" customHeight="true" outlineLevel="0" collapsed="false">
      <c r="A32" s="2246"/>
      <c r="B32" s="1997"/>
      <c r="C32" s="1769" t="s">
        <v>3064</v>
      </c>
      <c r="D32" s="931" t="s">
        <v>2843</v>
      </c>
      <c r="E32" s="1312" t="str">
        <f aca="false">'Saisie et Calculateur'!D868</f>
        <v>non</v>
      </c>
      <c r="F32" s="931" t="n">
        <f aca="false">IF(E32=N$30,N32,O32)</f>
        <v>0</v>
      </c>
      <c r="G32" s="2109"/>
      <c r="H32" s="2252"/>
      <c r="I32" s="2253"/>
      <c r="J32" s="931"/>
      <c r="K32" s="2250"/>
      <c r="M32" s="1746" t="s">
        <v>3064</v>
      </c>
      <c r="N32" s="1746" t="n">
        <v>4</v>
      </c>
      <c r="O32" s="1746" t="n">
        <v>0</v>
      </c>
    </row>
    <row r="33" customFormat="false" ht="12.75" hidden="false" customHeight="true" outlineLevel="0" collapsed="false">
      <c r="A33" s="2246"/>
      <c r="B33" s="1997"/>
      <c r="C33" s="1769" t="s">
        <v>3065</v>
      </c>
      <c r="D33" s="931" t="s">
        <v>2843</v>
      </c>
      <c r="E33" s="650" t="str">
        <f aca="false">'Saisie et Calculateur'!D869</f>
        <v>non</v>
      </c>
      <c r="F33" s="931" t="n">
        <f aca="false">IF(E33=N$30,N33,O33)</f>
        <v>0</v>
      </c>
      <c r="G33" s="2109"/>
      <c r="H33" s="2252"/>
      <c r="I33" s="2253"/>
      <c r="J33" s="931"/>
      <c r="K33" s="2250"/>
      <c r="M33" s="2060" t="s">
        <v>3065</v>
      </c>
      <c r="N33" s="2001" t="n">
        <v>2</v>
      </c>
      <c r="O33" s="2060" t="n">
        <v>0</v>
      </c>
    </row>
    <row r="34" customFormat="false" ht="12.75" hidden="false" customHeight="true" outlineLevel="0" collapsed="false">
      <c r="A34" s="2246"/>
      <c r="B34" s="1997"/>
      <c r="C34" s="1769"/>
      <c r="D34" s="931"/>
      <c r="E34" s="931"/>
      <c r="F34" s="931"/>
      <c r="G34" s="2109"/>
      <c r="H34" s="2252"/>
      <c r="I34" s="2253"/>
      <c r="J34" s="931"/>
      <c r="K34" s="2250"/>
      <c r="M34" s="2070" t="s">
        <v>3066</v>
      </c>
      <c r="N34" s="1746" t="n">
        <v>2</v>
      </c>
      <c r="O34" s="1746" t="n">
        <v>0</v>
      </c>
    </row>
    <row r="35" customFormat="false" ht="12.75" hidden="false" customHeight="true" outlineLevel="0" collapsed="false">
      <c r="A35" s="2246"/>
      <c r="B35" s="1997"/>
      <c r="C35" s="2126" t="s">
        <v>3067</v>
      </c>
      <c r="D35" s="2126"/>
      <c r="E35" s="2126"/>
      <c r="F35" s="2126"/>
      <c r="G35" s="2269" t="n">
        <f aca="false">IF(E36=N30,N34,O34)</f>
        <v>0</v>
      </c>
      <c r="H35" s="2252"/>
      <c r="I35" s="2253"/>
      <c r="J35" s="931"/>
      <c r="K35" s="2250"/>
      <c r="M35" s="2270" t="s">
        <v>3068</v>
      </c>
      <c r="N35" s="2270" t="n">
        <v>6</v>
      </c>
      <c r="O35" s="2270" t="n">
        <v>0</v>
      </c>
    </row>
    <row r="36" customFormat="false" ht="12.75" hidden="false" customHeight="true" outlineLevel="0" collapsed="false">
      <c r="A36" s="2246"/>
      <c r="B36" s="1997"/>
      <c r="C36" s="2113"/>
      <c r="D36" s="2014" t="s">
        <v>2843</v>
      </c>
      <c r="E36" s="2042" t="str">
        <f aca="false">'Saisie et Calculateur'!D870</f>
        <v>non</v>
      </c>
      <c r="F36" s="931"/>
      <c r="G36" s="2269"/>
      <c r="H36" s="2252"/>
      <c r="I36" s="2253"/>
      <c r="J36" s="931"/>
      <c r="K36" s="2250"/>
    </row>
    <row r="37" customFormat="false" ht="12.75" hidden="false" customHeight="true" outlineLevel="0" collapsed="false">
      <c r="A37" s="2246"/>
      <c r="B37" s="1997"/>
      <c r="C37" s="2113"/>
      <c r="D37" s="2014"/>
      <c r="E37" s="2042"/>
      <c r="F37" s="931"/>
      <c r="G37" s="2269"/>
      <c r="H37" s="2252"/>
      <c r="I37" s="2253"/>
      <c r="J37" s="931"/>
      <c r="K37" s="2250"/>
    </row>
    <row r="38" customFormat="false" ht="12.75" hidden="false" customHeight="true" outlineLevel="0" collapsed="false">
      <c r="A38" s="2246"/>
      <c r="B38" s="1997"/>
      <c r="C38" s="2113" t="s">
        <v>3069</v>
      </c>
      <c r="D38" s="2014"/>
      <c r="E38" s="2042"/>
      <c r="F38" s="931"/>
      <c r="G38" s="2271" t="n">
        <f aca="false">IF(E39=N30,N35,O35)</f>
        <v>0</v>
      </c>
      <c r="H38" s="2252"/>
      <c r="I38" s="2253"/>
      <c r="J38" s="931"/>
      <c r="K38" s="2250"/>
    </row>
    <row r="39" customFormat="false" ht="12.75" hidden="false" customHeight="true" outlineLevel="0" collapsed="false">
      <c r="A39" s="2246"/>
      <c r="B39" s="1997"/>
      <c r="C39" s="2150" t="s">
        <v>3070</v>
      </c>
      <c r="D39" s="2148" t="s">
        <v>2843</v>
      </c>
      <c r="E39" s="2272" t="str">
        <f aca="false">'Saisie et Calculateur'!D871</f>
        <v>non</v>
      </c>
      <c r="F39" s="2118"/>
      <c r="G39" s="2271"/>
      <c r="H39" s="2252"/>
      <c r="I39" s="2253"/>
      <c r="J39" s="931"/>
      <c r="K39" s="2250"/>
    </row>
    <row r="40" customFormat="false" ht="12.75" hidden="false" customHeight="true" outlineLevel="0" collapsed="false">
      <c r="A40" s="2246"/>
      <c r="B40" s="1997"/>
      <c r="C40" s="931"/>
      <c r="D40" s="931"/>
      <c r="E40" s="931"/>
      <c r="F40" s="931"/>
      <c r="G40" s="2232"/>
      <c r="H40" s="931"/>
      <c r="I40" s="931"/>
      <c r="J40" s="931"/>
      <c r="K40" s="2250"/>
    </row>
    <row r="41" customFormat="false" ht="12.75" hidden="false" customHeight="true" outlineLevel="0" collapsed="false">
      <c r="A41" s="2246"/>
      <c r="B41" s="1997"/>
      <c r="C41" s="931"/>
      <c r="D41" s="931"/>
      <c r="E41" s="931"/>
      <c r="F41" s="931"/>
      <c r="G41" s="2232"/>
      <c r="H41" s="931"/>
      <c r="I41" s="931"/>
      <c r="J41" s="931"/>
      <c r="K41" s="2250"/>
    </row>
    <row r="42" customFormat="false" ht="15" hidden="false" customHeight="true" outlineLevel="0" collapsed="false">
      <c r="A42" s="2246"/>
      <c r="B42" s="2033" t="s">
        <v>688</v>
      </c>
      <c r="C42" s="2259" t="s">
        <v>3071</v>
      </c>
      <c r="D42" s="2259"/>
      <c r="E42" s="2259"/>
      <c r="F42" s="2259"/>
      <c r="G42" s="2259"/>
      <c r="H42" s="2259"/>
      <c r="I42" s="2260" t="s">
        <v>2989</v>
      </c>
      <c r="J42" s="931"/>
      <c r="K42" s="2250"/>
    </row>
    <row r="43" customFormat="false" ht="12.75" hidden="false" customHeight="true" outlineLevel="0" collapsed="false">
      <c r="A43" s="2246"/>
      <c r="B43" s="1997"/>
      <c r="C43" s="931"/>
      <c r="D43" s="931"/>
      <c r="E43" s="931"/>
      <c r="F43" s="931"/>
      <c r="G43" s="2232"/>
      <c r="H43" s="931"/>
      <c r="I43" s="931"/>
      <c r="J43" s="931"/>
      <c r="K43" s="2250"/>
      <c r="R43" s="2233"/>
    </row>
    <row r="44" customFormat="false" ht="25.5" hidden="false" customHeight="true" outlineLevel="0" collapsed="false">
      <c r="A44" s="2246"/>
      <c r="B44" s="1997"/>
      <c r="C44" s="1597" t="s">
        <v>2822</v>
      </c>
      <c r="D44" s="1597"/>
      <c r="E44" s="1597"/>
      <c r="F44" s="1597"/>
      <c r="G44" s="1597"/>
      <c r="H44" s="2001" t="s">
        <v>2823</v>
      </c>
      <c r="I44" s="2001" t="s">
        <v>2824</v>
      </c>
      <c r="J44" s="931"/>
      <c r="K44" s="2250"/>
    </row>
    <row r="45" customFormat="false" ht="12.75" hidden="false" customHeight="true" outlineLevel="0" collapsed="false">
      <c r="A45" s="2246"/>
      <c r="B45" s="1997"/>
      <c r="C45" s="2273" t="s">
        <v>3072</v>
      </c>
      <c r="D45" s="2273"/>
      <c r="E45" s="2273"/>
      <c r="F45" s="2273"/>
      <c r="G45" s="2273"/>
      <c r="H45" s="1597" t="n">
        <f aca="false">D46</f>
        <v>2</v>
      </c>
      <c r="I45" s="2253" t="n">
        <f aca="false">MIN(6,H45)</f>
        <v>2</v>
      </c>
      <c r="J45" s="931"/>
      <c r="K45" s="2250"/>
    </row>
    <row r="46" customFormat="false" ht="12.75" hidden="false" customHeight="true" outlineLevel="0" collapsed="false">
      <c r="A46" s="2246"/>
      <c r="B46" s="1997"/>
      <c r="C46" s="2150"/>
      <c r="D46" s="2148" t="n">
        <f aca="false">'Saisie et Calculateur'!F885</f>
        <v>2</v>
      </c>
      <c r="E46" s="2272"/>
      <c r="F46" s="2118"/>
      <c r="G46" s="2274"/>
      <c r="H46" s="1597"/>
      <c r="I46" s="2253"/>
      <c r="J46" s="931"/>
      <c r="K46" s="2250"/>
    </row>
    <row r="47" customFormat="false" ht="12.75" hidden="false" customHeight="true" outlineLevel="0" collapsed="false">
      <c r="A47" s="2246"/>
      <c r="B47" s="1997"/>
      <c r="C47" s="931"/>
      <c r="D47" s="931"/>
      <c r="E47" s="931"/>
      <c r="F47" s="931"/>
      <c r="G47" s="2232"/>
      <c r="H47" s="931"/>
      <c r="I47" s="931"/>
      <c r="J47" s="931"/>
      <c r="K47" s="2250"/>
    </row>
    <row r="48" customFormat="false" ht="12.75" hidden="false" customHeight="true" outlineLevel="0" collapsed="false">
      <c r="A48" s="2246"/>
      <c r="B48" s="1997"/>
      <c r="C48" s="931"/>
      <c r="D48" s="931"/>
      <c r="E48" s="931"/>
      <c r="F48" s="931"/>
      <c r="G48" s="2232"/>
      <c r="H48" s="931"/>
      <c r="I48" s="931"/>
      <c r="J48" s="931"/>
      <c r="K48" s="2250"/>
    </row>
    <row r="49" customFormat="false" ht="15.75" hidden="false" customHeight="true" outlineLevel="0" collapsed="false">
      <c r="A49" s="2246"/>
      <c r="B49" s="2033" t="s">
        <v>740</v>
      </c>
      <c r="C49" s="2259" t="s">
        <v>3073</v>
      </c>
      <c r="D49" s="2259"/>
      <c r="E49" s="2259"/>
      <c r="F49" s="2259"/>
      <c r="G49" s="2259"/>
      <c r="H49" s="2259"/>
      <c r="I49" s="2260" t="s">
        <v>2989</v>
      </c>
      <c r="J49" s="931"/>
      <c r="K49" s="2250"/>
    </row>
    <row r="50" customFormat="false" ht="12.75" hidden="false" customHeight="true" outlineLevel="0" collapsed="false">
      <c r="A50" s="2246"/>
      <c r="B50" s="1997"/>
      <c r="C50" s="931"/>
      <c r="D50" s="931"/>
      <c r="E50" s="931"/>
      <c r="F50" s="931"/>
      <c r="G50" s="2232"/>
      <c r="H50" s="931"/>
      <c r="I50" s="931"/>
      <c r="J50" s="931"/>
      <c r="K50" s="2250"/>
    </row>
    <row r="51" customFormat="false" ht="25.5" hidden="false" customHeight="true" outlineLevel="0" collapsed="false">
      <c r="A51" s="2246"/>
      <c r="B51" s="1997"/>
      <c r="C51" s="2000" t="s">
        <v>2822</v>
      </c>
      <c r="D51" s="2000"/>
      <c r="E51" s="2000"/>
      <c r="F51" s="2000"/>
      <c r="G51" s="2000"/>
      <c r="H51" s="2001" t="s">
        <v>2823</v>
      </c>
      <c r="I51" s="2001" t="s">
        <v>2824</v>
      </c>
      <c r="J51" s="931"/>
      <c r="K51" s="2250"/>
    </row>
    <row r="52" customFormat="false" ht="15" hidden="false" customHeight="true" outlineLevel="0" collapsed="false">
      <c r="A52" s="2246"/>
      <c r="B52" s="1997"/>
      <c r="C52" s="2275" t="s">
        <v>3074</v>
      </c>
      <c r="D52" s="2275"/>
      <c r="E52" s="2275"/>
      <c r="F52" s="2275"/>
      <c r="G52" s="2109" t="n">
        <f aca="false">IF(E54=N52,N53,O53)</f>
        <v>0</v>
      </c>
      <c r="H52" s="2124" t="n">
        <f aca="false">G52+G56+G60</f>
        <v>3</v>
      </c>
      <c r="I52" s="2253" t="n">
        <f aca="false">MIN(6,H52)</f>
        <v>3</v>
      </c>
      <c r="J52" s="931"/>
      <c r="K52" s="2250"/>
      <c r="M52" s="1810" t="s">
        <v>3062</v>
      </c>
      <c r="N52" s="1810" t="s">
        <v>1627</v>
      </c>
      <c r="O52" s="1746" t="s">
        <v>254</v>
      </c>
    </row>
    <row r="53" customFormat="false" ht="12.75" hidden="false" customHeight="true" outlineLevel="0" collapsed="false">
      <c r="A53" s="2246"/>
      <c r="B53" s="1997"/>
      <c r="C53" s="2275"/>
      <c r="D53" s="2275"/>
      <c r="E53" s="2275"/>
      <c r="F53" s="2275"/>
      <c r="G53" s="2109"/>
      <c r="H53" s="2124"/>
      <c r="I53" s="2253"/>
      <c r="J53" s="931"/>
      <c r="K53" s="2250"/>
      <c r="M53" s="1810" t="s">
        <v>3075</v>
      </c>
      <c r="N53" s="1810" t="n">
        <v>3</v>
      </c>
      <c r="O53" s="1746" t="n">
        <v>0</v>
      </c>
    </row>
    <row r="54" customFormat="false" ht="12.75" hidden="false" customHeight="true" outlineLevel="0" collapsed="false">
      <c r="A54" s="2246"/>
      <c r="B54" s="1997"/>
      <c r="C54" s="1769"/>
      <c r="D54" s="931" t="s">
        <v>2843</v>
      </c>
      <c r="E54" s="2276" t="str">
        <f aca="false">'Saisie et Calculateur'!E890</f>
        <v>non</v>
      </c>
      <c r="F54" s="931"/>
      <c r="G54" s="2109"/>
      <c r="H54" s="2124"/>
      <c r="I54" s="2253"/>
      <c r="J54" s="931"/>
      <c r="K54" s="2250"/>
      <c r="M54" s="1746" t="s">
        <v>2861</v>
      </c>
      <c r="N54" s="1746" t="n">
        <v>3</v>
      </c>
      <c r="O54" s="1746" t="n">
        <v>0</v>
      </c>
    </row>
    <row r="55" customFormat="false" ht="12.75" hidden="false" customHeight="true" outlineLevel="0" collapsed="false">
      <c r="A55" s="2246"/>
      <c r="B55" s="1997"/>
      <c r="C55" s="1769"/>
      <c r="D55" s="931"/>
      <c r="E55" s="2276"/>
      <c r="F55" s="931"/>
      <c r="G55" s="2109"/>
      <c r="H55" s="2124"/>
      <c r="I55" s="2253"/>
      <c r="J55" s="931"/>
      <c r="K55" s="2250"/>
      <c r="M55" s="1746" t="s">
        <v>3076</v>
      </c>
      <c r="N55" s="1746" t="n">
        <v>3</v>
      </c>
      <c r="O55" s="1746" t="n">
        <v>0</v>
      </c>
    </row>
    <row r="56" customFormat="false" ht="15" hidden="false" customHeight="true" outlineLevel="0" collapsed="false">
      <c r="A56" s="2246"/>
      <c r="B56" s="1997"/>
      <c r="C56" s="2111" t="s">
        <v>3077</v>
      </c>
      <c r="D56" s="2111"/>
      <c r="E56" s="2111"/>
      <c r="F56" s="2111"/>
      <c r="G56" s="2256" t="n">
        <f aca="false">IF(E58=N52,N54,O54)</f>
        <v>0</v>
      </c>
      <c r="H56" s="2124"/>
      <c r="I56" s="2253"/>
      <c r="J56" s="931"/>
      <c r="K56" s="2250"/>
    </row>
    <row r="57" customFormat="false" ht="12.75" hidden="false" customHeight="true" outlineLevel="0" collapsed="false">
      <c r="A57" s="2246"/>
      <c r="B57" s="1997"/>
      <c r="C57" s="2111"/>
      <c r="D57" s="2111"/>
      <c r="E57" s="2111"/>
      <c r="F57" s="2111"/>
      <c r="G57" s="2256"/>
      <c r="H57" s="2124"/>
      <c r="I57" s="2253"/>
      <c r="J57" s="931"/>
      <c r="K57" s="2250"/>
    </row>
    <row r="58" customFormat="false" ht="12.75" hidden="false" customHeight="true" outlineLevel="0" collapsed="false">
      <c r="A58" s="2246"/>
      <c r="B58" s="1997"/>
      <c r="C58" s="2111"/>
      <c r="D58" s="2014" t="s">
        <v>2843</v>
      </c>
      <c r="E58" s="2014" t="str">
        <f aca="false">'Saisie et Calculateur'!E893</f>
        <v>non</v>
      </c>
      <c r="F58" s="2014"/>
      <c r="G58" s="2256"/>
      <c r="H58" s="2124"/>
      <c r="I58" s="2253"/>
      <c r="J58" s="931"/>
      <c r="K58" s="2250"/>
    </row>
    <row r="59" customFormat="false" ht="12.75" hidden="false" customHeight="true" outlineLevel="0" collapsed="false">
      <c r="A59" s="2246"/>
      <c r="B59" s="1997"/>
      <c r="C59" s="2111"/>
      <c r="D59" s="2014"/>
      <c r="E59" s="2014"/>
      <c r="F59" s="2014"/>
      <c r="G59" s="2256"/>
      <c r="H59" s="2124"/>
      <c r="I59" s="2253"/>
      <c r="J59" s="931"/>
      <c r="K59" s="2250"/>
    </row>
    <row r="60" customFormat="false" ht="15" hidden="false" customHeight="true" outlineLevel="0" collapsed="false">
      <c r="A60" s="2246"/>
      <c r="B60" s="1997"/>
      <c r="C60" s="2111" t="s">
        <v>3078</v>
      </c>
      <c r="D60" s="2111"/>
      <c r="E60" s="2111"/>
      <c r="F60" s="2111"/>
      <c r="G60" s="2277" t="n">
        <f aca="false">IF(E62=N52,N55,O55)</f>
        <v>3</v>
      </c>
      <c r="H60" s="2124"/>
      <c r="I60" s="2253"/>
      <c r="J60" s="931"/>
      <c r="K60" s="2250"/>
    </row>
    <row r="61" customFormat="false" ht="29.25" hidden="false" customHeight="true" outlineLevel="0" collapsed="false">
      <c r="A61" s="2246"/>
      <c r="B61" s="1997"/>
      <c r="C61" s="2111"/>
      <c r="D61" s="2111"/>
      <c r="E61" s="2111"/>
      <c r="F61" s="2111"/>
      <c r="G61" s="2277"/>
      <c r="H61" s="2124"/>
      <c r="I61" s="2253"/>
      <c r="J61" s="931"/>
      <c r="K61" s="2250"/>
    </row>
    <row r="62" customFormat="false" ht="12.75" hidden="false" customHeight="true" outlineLevel="0" collapsed="false">
      <c r="A62" s="2246"/>
      <c r="B62" s="1997"/>
      <c r="C62" s="2278"/>
      <c r="D62" s="2148" t="s">
        <v>2843</v>
      </c>
      <c r="E62" s="2148" t="str">
        <f aca="false">'Saisie et Calculateur'!E897</f>
        <v>oui</v>
      </c>
      <c r="F62" s="2148"/>
      <c r="G62" s="2277"/>
      <c r="H62" s="2124"/>
      <c r="I62" s="2253"/>
      <c r="J62" s="931"/>
      <c r="K62" s="2250"/>
    </row>
    <row r="63" customFormat="false" ht="13.5" hidden="false" customHeight="true" outlineLevel="0" collapsed="false">
      <c r="A63" s="2246"/>
      <c r="B63" s="2095"/>
      <c r="C63" s="2133"/>
      <c r="D63" s="2133"/>
      <c r="E63" s="2133"/>
      <c r="F63" s="2133"/>
      <c r="G63" s="2279"/>
      <c r="H63" s="2134"/>
      <c r="I63" s="2134"/>
      <c r="J63" s="2134"/>
      <c r="K63" s="2250"/>
    </row>
    <row r="65" customFormat="false" ht="29.25" hidden="false" customHeight="true" outlineLevel="0" collapsed="false">
      <c r="A65" s="2280" t="s">
        <v>3079</v>
      </c>
      <c r="B65" s="2281" t="s">
        <v>680</v>
      </c>
      <c r="C65" s="2282" t="s">
        <v>3080</v>
      </c>
      <c r="D65" s="2282"/>
      <c r="E65" s="2282"/>
      <c r="F65" s="2282"/>
      <c r="G65" s="2282"/>
      <c r="H65" s="2282"/>
      <c r="I65" s="2283" t="s">
        <v>2821</v>
      </c>
      <c r="J65" s="2104"/>
      <c r="K65" s="2284" t="n">
        <f aca="false">MIN(25,SUM(I68,I78,I89,I102,I125,I141,I154,I162))</f>
        <v>16</v>
      </c>
      <c r="M65" s="931"/>
      <c r="N65" s="931"/>
      <c r="O65" s="931"/>
      <c r="P65" s="931"/>
      <c r="Q65" s="931"/>
      <c r="R65" s="931"/>
    </row>
    <row r="66" customFormat="false" ht="12.75" hidden="false" customHeight="true" outlineLevel="0" collapsed="false">
      <c r="A66" s="2280"/>
      <c r="B66" s="931"/>
      <c r="C66" s="931"/>
      <c r="D66" s="931"/>
      <c r="E66" s="931"/>
      <c r="F66" s="931"/>
      <c r="G66" s="2232"/>
      <c r="H66" s="931"/>
      <c r="I66" s="931"/>
      <c r="J66" s="931"/>
      <c r="K66" s="2284"/>
      <c r="M66" s="931"/>
      <c r="N66" s="1999"/>
      <c r="O66" s="1999"/>
      <c r="P66" s="1999"/>
      <c r="Q66" s="1529"/>
      <c r="R66" s="931"/>
    </row>
    <row r="67" customFormat="false" ht="25.5" hidden="false" customHeight="true" outlineLevel="0" collapsed="false">
      <c r="A67" s="2280"/>
      <c r="B67" s="931"/>
      <c r="C67" s="1597" t="s">
        <v>2822</v>
      </c>
      <c r="D67" s="1597"/>
      <c r="E67" s="1597"/>
      <c r="F67" s="1597"/>
      <c r="G67" s="1597"/>
      <c r="H67" s="2001" t="s">
        <v>2823</v>
      </c>
      <c r="I67" s="2001" t="s">
        <v>2824</v>
      </c>
      <c r="J67" s="931"/>
      <c r="K67" s="2284"/>
      <c r="M67" s="1529"/>
      <c r="N67" s="1529"/>
      <c r="O67" s="1529"/>
      <c r="P67" s="1529"/>
      <c r="Q67" s="2063" t="s">
        <v>3081</v>
      </c>
      <c r="R67" s="2063"/>
    </row>
    <row r="68" customFormat="false" ht="12.75" hidden="false" customHeight="true" outlineLevel="0" collapsed="false">
      <c r="A68" s="2280"/>
      <c r="B68" s="931"/>
      <c r="C68" s="2126" t="s">
        <v>3082</v>
      </c>
      <c r="D68" s="2126"/>
      <c r="E68" s="2126"/>
      <c r="F68" s="2126"/>
      <c r="G68" s="2256" t="n">
        <f aca="false">IF(E69=M68,O68,IF(E69=M69,O69,O70))</f>
        <v>0</v>
      </c>
      <c r="H68" s="2124" t="n">
        <f aca="false">G68+G71</f>
        <v>0</v>
      </c>
      <c r="I68" s="2253" t="n">
        <f aca="false">MIN(5,H68)</f>
        <v>0</v>
      </c>
      <c r="J68" s="931"/>
      <c r="K68" s="2284"/>
      <c r="M68" s="2039" t="s">
        <v>3083</v>
      </c>
      <c r="N68" s="2039"/>
      <c r="O68" s="2285" t="n">
        <v>5</v>
      </c>
      <c r="Q68" s="2063"/>
      <c r="R68" s="2063"/>
    </row>
    <row r="69" customFormat="false" ht="12.75" hidden="false" customHeight="true" outlineLevel="0" collapsed="false">
      <c r="A69" s="2280"/>
      <c r="B69" s="931"/>
      <c r="C69" s="2113"/>
      <c r="D69" s="2014" t="s">
        <v>2843</v>
      </c>
      <c r="E69" s="2014" t="str">
        <f aca="false">'Saisie et Calculateur'!E901</f>
        <v>Non</v>
      </c>
      <c r="F69" s="2041"/>
      <c r="G69" s="2256"/>
      <c r="H69" s="2124"/>
      <c r="I69" s="2253"/>
      <c r="J69" s="931"/>
      <c r="K69" s="2284"/>
      <c r="M69" s="2039" t="s">
        <v>3084</v>
      </c>
      <c r="N69" s="2039"/>
      <c r="O69" s="2285" t="n">
        <v>3</v>
      </c>
      <c r="Q69" s="2039" t="s">
        <v>253</v>
      </c>
      <c r="R69" s="2039" t="n">
        <v>3</v>
      </c>
    </row>
    <row r="70" customFormat="false" ht="12.75" hidden="false" customHeight="true" outlineLevel="0" collapsed="false">
      <c r="A70" s="2280"/>
      <c r="B70" s="931"/>
      <c r="C70" s="2113"/>
      <c r="D70" s="2014"/>
      <c r="E70" s="2042"/>
      <c r="F70" s="931"/>
      <c r="G70" s="2256"/>
      <c r="H70" s="2124"/>
      <c r="I70" s="2253"/>
      <c r="J70" s="931"/>
      <c r="K70" s="2284"/>
      <c r="M70" s="2286" t="s">
        <v>1346</v>
      </c>
      <c r="N70" s="2286"/>
      <c r="O70" s="2285" t="n">
        <v>0</v>
      </c>
      <c r="Q70" s="2039" t="s">
        <v>254</v>
      </c>
      <c r="R70" s="2039" t="n">
        <v>0</v>
      </c>
    </row>
    <row r="71" customFormat="false" ht="12.75" hidden="false" customHeight="true" outlineLevel="0" collapsed="false">
      <c r="A71" s="2280"/>
      <c r="B71" s="931"/>
      <c r="C71" s="2113" t="s">
        <v>3085</v>
      </c>
      <c r="D71" s="2113"/>
      <c r="E71" s="2113"/>
      <c r="F71" s="2113"/>
      <c r="G71" s="2277" t="n">
        <f aca="false">IF(E72=Q69,R69,R70)</f>
        <v>0</v>
      </c>
      <c r="H71" s="2124"/>
      <c r="I71" s="2253"/>
      <c r="J71" s="931"/>
      <c r="K71" s="2284"/>
    </row>
    <row r="72" customFormat="false" ht="12.75" hidden="false" customHeight="true" outlineLevel="0" collapsed="false">
      <c r="A72" s="2280"/>
      <c r="B72" s="931"/>
      <c r="C72" s="2287"/>
      <c r="D72" s="2128" t="s">
        <v>2843</v>
      </c>
      <c r="E72" s="2159" t="str">
        <f aca="false">'Saisie et Calculateur'!E905</f>
        <v>non</v>
      </c>
      <c r="F72" s="2118"/>
      <c r="G72" s="2277"/>
      <c r="H72" s="2124"/>
      <c r="I72" s="2253"/>
      <c r="J72" s="931"/>
      <c r="K72" s="2284"/>
    </row>
    <row r="73" customFormat="false" ht="12.75" hidden="false" customHeight="true" outlineLevel="0" collapsed="false">
      <c r="A73" s="2280"/>
      <c r="B73" s="931"/>
      <c r="C73" s="931"/>
      <c r="D73" s="931"/>
      <c r="E73" s="931"/>
      <c r="F73" s="931"/>
      <c r="G73" s="2232"/>
      <c r="H73" s="931"/>
      <c r="I73" s="931"/>
      <c r="J73" s="931"/>
      <c r="K73" s="2284"/>
    </row>
    <row r="74" customFormat="false" ht="12.75" hidden="false" customHeight="true" outlineLevel="0" collapsed="false">
      <c r="A74" s="2280"/>
      <c r="B74" s="931"/>
      <c r="C74" s="931"/>
      <c r="D74" s="931"/>
      <c r="E74" s="931"/>
      <c r="F74" s="931"/>
      <c r="G74" s="2232"/>
      <c r="H74" s="931"/>
      <c r="I74" s="931"/>
      <c r="J74" s="931"/>
      <c r="K74" s="2284"/>
    </row>
    <row r="75" customFormat="false" ht="12.75" hidden="false" customHeight="true" outlineLevel="0" collapsed="false">
      <c r="A75" s="2280"/>
      <c r="B75" s="931" t="s">
        <v>716</v>
      </c>
      <c r="C75" s="2259" t="s">
        <v>3086</v>
      </c>
      <c r="D75" s="2259"/>
      <c r="E75" s="2259"/>
      <c r="F75" s="2259"/>
      <c r="G75" s="2259"/>
      <c r="H75" s="2259"/>
      <c r="I75" s="2260" t="s">
        <v>3087</v>
      </c>
      <c r="J75" s="931"/>
      <c r="K75" s="2284"/>
    </row>
    <row r="76" customFormat="false" ht="12.75" hidden="false" customHeight="true" outlineLevel="0" collapsed="false">
      <c r="A76" s="2280"/>
      <c r="B76" s="931"/>
      <c r="C76" s="931"/>
      <c r="D76" s="931"/>
      <c r="E76" s="931"/>
      <c r="F76" s="931"/>
      <c r="G76" s="2232"/>
      <c r="H76" s="931"/>
      <c r="I76" s="931"/>
      <c r="J76" s="931"/>
      <c r="K76" s="2284"/>
    </row>
    <row r="77" customFormat="false" ht="25.5" hidden="false" customHeight="true" outlineLevel="0" collapsed="false">
      <c r="A77" s="2280"/>
      <c r="B77" s="931"/>
      <c r="C77" s="1597" t="s">
        <v>2822</v>
      </c>
      <c r="D77" s="1597"/>
      <c r="E77" s="1597"/>
      <c r="F77" s="1597"/>
      <c r="G77" s="1597"/>
      <c r="H77" s="2001" t="s">
        <v>2823</v>
      </c>
      <c r="I77" s="2001" t="s">
        <v>2824</v>
      </c>
      <c r="J77" s="931"/>
      <c r="K77" s="2284"/>
    </row>
    <row r="78" customFormat="false" ht="12.75" hidden="false" customHeight="true" outlineLevel="0" collapsed="false">
      <c r="A78" s="2280"/>
      <c r="B78" s="931"/>
      <c r="C78" s="2137" t="s">
        <v>3088</v>
      </c>
      <c r="D78" s="2137"/>
      <c r="E78" s="2137"/>
      <c r="F78" s="2137"/>
      <c r="G78" s="2109" t="n">
        <f aca="false">IF(E79=M79,N79,N80)</f>
        <v>0</v>
      </c>
      <c r="H78" s="2007" t="n">
        <f aca="false">G78+G80+G82</f>
        <v>0</v>
      </c>
      <c r="I78" s="2253" t="n">
        <f aca="false">MIN(3,H78)</f>
        <v>0</v>
      </c>
      <c r="J78" s="931"/>
      <c r="K78" s="2284"/>
      <c r="M78" s="1746" t="s">
        <v>3062</v>
      </c>
      <c r="N78" s="1746" t="s">
        <v>3075</v>
      </c>
      <c r="O78" s="1746" t="s">
        <v>2861</v>
      </c>
      <c r="P78" s="1763" t="s">
        <v>3089</v>
      </c>
    </row>
    <row r="79" customFormat="false" ht="12.75" hidden="false" customHeight="true" outlineLevel="0" collapsed="false">
      <c r="A79" s="2280"/>
      <c r="B79" s="931"/>
      <c r="C79" s="1769"/>
      <c r="D79" s="931" t="s">
        <v>2843</v>
      </c>
      <c r="E79" s="931" t="str">
        <f aca="false">'Saisie et Calculateur'!C912</f>
        <v>non</v>
      </c>
      <c r="F79" s="931"/>
      <c r="G79" s="2109"/>
      <c r="H79" s="2007"/>
      <c r="I79" s="2253"/>
      <c r="J79" s="931"/>
      <c r="K79" s="2284"/>
      <c r="M79" s="1762" t="s">
        <v>253</v>
      </c>
      <c r="N79" s="1762" t="n">
        <v>2</v>
      </c>
      <c r="O79" s="1762" t="n">
        <v>2</v>
      </c>
      <c r="P79" s="1763" t="n">
        <v>2</v>
      </c>
    </row>
    <row r="80" customFormat="false" ht="12.75" hidden="false" customHeight="true" outlineLevel="0" collapsed="false">
      <c r="A80" s="2280"/>
      <c r="B80" s="931"/>
      <c r="C80" s="2126" t="s">
        <v>3090</v>
      </c>
      <c r="D80" s="2126"/>
      <c r="E80" s="2126"/>
      <c r="F80" s="2126"/>
      <c r="G80" s="2114" t="n">
        <f aca="false">IF(E81=M79,O79,O80)</f>
        <v>0</v>
      </c>
      <c r="H80" s="2007"/>
      <c r="I80" s="2253"/>
      <c r="J80" s="931"/>
      <c r="K80" s="2284"/>
      <c r="M80" s="1763" t="s">
        <v>254</v>
      </c>
      <c r="N80" s="1763" t="n">
        <v>0</v>
      </c>
      <c r="O80" s="1763" t="n">
        <v>0</v>
      </c>
      <c r="P80" s="1763" t="n">
        <v>0</v>
      </c>
    </row>
    <row r="81" customFormat="false" ht="12.75" hidden="false" customHeight="true" outlineLevel="0" collapsed="false">
      <c r="A81" s="2280"/>
      <c r="B81" s="931"/>
      <c r="C81" s="2113"/>
      <c r="D81" s="931" t="s">
        <v>2843</v>
      </c>
      <c r="E81" s="2042" t="str">
        <f aca="false">'Saisie et Calculateur'!C914</f>
        <v>non</v>
      </c>
      <c r="F81" s="931"/>
      <c r="G81" s="2114"/>
      <c r="H81" s="2007"/>
      <c r="I81" s="2253"/>
      <c r="J81" s="931"/>
      <c r="K81" s="2284"/>
    </row>
    <row r="82" customFormat="false" ht="12.75" hidden="false" customHeight="true" outlineLevel="0" collapsed="false">
      <c r="A82" s="2280"/>
      <c r="B82" s="931"/>
      <c r="C82" s="2113" t="s">
        <v>3091</v>
      </c>
      <c r="D82" s="2113"/>
      <c r="E82" s="2113"/>
      <c r="F82" s="2113"/>
      <c r="G82" s="2277" t="n">
        <f aca="false">IF(E83=M79,P79,P80)</f>
        <v>0</v>
      </c>
      <c r="H82" s="2007"/>
      <c r="I82" s="2253"/>
      <c r="J82" s="931"/>
      <c r="K82" s="2284"/>
    </row>
    <row r="83" customFormat="false" ht="12.75" hidden="false" customHeight="true" outlineLevel="0" collapsed="false">
      <c r="A83" s="2280"/>
      <c r="B83" s="931"/>
      <c r="C83" s="2117"/>
      <c r="D83" s="2118" t="s">
        <v>2843</v>
      </c>
      <c r="E83" s="2118" t="str">
        <f aca="false">'Saisie et Calculateur'!C915</f>
        <v>non</v>
      </c>
      <c r="F83" s="2118"/>
      <c r="G83" s="2277"/>
      <c r="H83" s="2007"/>
      <c r="I83" s="2253"/>
      <c r="J83" s="931"/>
      <c r="K83" s="2284"/>
    </row>
    <row r="84" customFormat="false" ht="12.75" hidden="false" customHeight="true" outlineLevel="0" collapsed="false">
      <c r="A84" s="2280"/>
      <c r="B84" s="931"/>
      <c r="C84" s="931"/>
      <c r="D84" s="931"/>
      <c r="E84" s="931"/>
      <c r="F84" s="931"/>
      <c r="G84" s="2232"/>
      <c r="H84" s="931"/>
      <c r="I84" s="931"/>
      <c r="J84" s="931"/>
      <c r="K84" s="2284"/>
    </row>
    <row r="85" customFormat="false" ht="12.75" hidden="false" customHeight="true" outlineLevel="0" collapsed="false">
      <c r="A85" s="2280"/>
      <c r="B85" s="931"/>
      <c r="C85" s="931"/>
      <c r="D85" s="931"/>
      <c r="E85" s="931"/>
      <c r="F85" s="931"/>
      <c r="G85" s="2232"/>
      <c r="H85" s="931"/>
      <c r="I85" s="931"/>
      <c r="J85" s="931"/>
      <c r="K85" s="2284"/>
    </row>
    <row r="86" customFormat="false" ht="12.75" hidden="false" customHeight="true" outlineLevel="0" collapsed="false">
      <c r="A86" s="2280"/>
      <c r="B86" s="931" t="s">
        <v>955</v>
      </c>
      <c r="C86" s="2259" t="s">
        <v>3092</v>
      </c>
      <c r="D86" s="2259"/>
      <c r="E86" s="2259"/>
      <c r="F86" s="2259"/>
      <c r="G86" s="2259"/>
      <c r="H86" s="2259"/>
      <c r="I86" s="2260" t="s">
        <v>2821</v>
      </c>
      <c r="J86" s="931"/>
      <c r="K86" s="2284"/>
      <c r="Q86" s="931"/>
      <c r="R86" s="931"/>
    </row>
    <row r="87" customFormat="false" ht="12.75" hidden="false" customHeight="true" outlineLevel="0" collapsed="false">
      <c r="A87" s="2280"/>
      <c r="B87" s="931"/>
      <c r="C87" s="931"/>
      <c r="D87" s="931"/>
      <c r="E87" s="931"/>
      <c r="F87" s="931"/>
      <c r="G87" s="2232"/>
      <c r="H87" s="931"/>
      <c r="I87" s="931"/>
      <c r="J87" s="931"/>
      <c r="K87" s="2284"/>
      <c r="M87" s="1746" t="s">
        <v>3093</v>
      </c>
      <c r="N87" s="2125"/>
      <c r="O87" s="2125" t="n">
        <v>0.05</v>
      </c>
      <c r="P87" s="2288" t="n">
        <v>0.5</v>
      </c>
      <c r="Q87" s="2289"/>
      <c r="R87" s="2289"/>
    </row>
    <row r="88" customFormat="false" ht="25.5" hidden="false" customHeight="true" outlineLevel="0" collapsed="false">
      <c r="A88" s="2280"/>
      <c r="B88" s="931"/>
      <c r="C88" s="1597" t="s">
        <v>2822</v>
      </c>
      <c r="D88" s="1597"/>
      <c r="E88" s="1597"/>
      <c r="F88" s="1597"/>
      <c r="G88" s="1597"/>
      <c r="H88" s="2001" t="s">
        <v>2823</v>
      </c>
      <c r="I88" s="2001" t="s">
        <v>2824</v>
      </c>
      <c r="J88" s="931"/>
      <c r="K88" s="2284"/>
      <c r="M88" s="1763" t="s">
        <v>3075</v>
      </c>
      <c r="N88" s="1763" t="n">
        <v>0</v>
      </c>
      <c r="O88" s="1763" t="n">
        <v>1</v>
      </c>
      <c r="P88" s="2290" t="n">
        <v>2</v>
      </c>
      <c r="Q88" s="1529"/>
      <c r="R88" s="1529"/>
    </row>
    <row r="89" customFormat="false" ht="12.75" hidden="false" customHeight="true" outlineLevel="0" collapsed="false">
      <c r="A89" s="2280"/>
      <c r="B89" s="931"/>
      <c r="C89" s="2108" t="s">
        <v>3094</v>
      </c>
      <c r="D89" s="2108"/>
      <c r="E89" s="2108"/>
      <c r="F89" s="2108"/>
      <c r="G89" s="2109" t="n">
        <f aca="false">IF(E90&gt;=P87,P88,IF(E90&gt;=O87,O88,N88))</f>
        <v>0</v>
      </c>
      <c r="H89" s="2124" t="n">
        <f aca="false">G89+G92+G95</f>
        <v>0</v>
      </c>
      <c r="I89" s="2253" t="n">
        <f aca="false">MIN(5,H89)</f>
        <v>0</v>
      </c>
      <c r="J89" s="931"/>
      <c r="K89" s="2284"/>
    </row>
    <row r="90" customFormat="false" ht="12.75" hidden="false" customHeight="true" outlineLevel="0" collapsed="false">
      <c r="A90" s="2280"/>
      <c r="B90" s="931"/>
      <c r="C90" s="2111"/>
      <c r="D90" s="931" t="s">
        <v>1130</v>
      </c>
      <c r="E90" s="2254" t="n">
        <f aca="false">'Saisie et Calculateur'!J919</f>
        <v>0</v>
      </c>
      <c r="F90" s="2042"/>
      <c r="G90" s="2109"/>
      <c r="H90" s="2124"/>
      <c r="I90" s="2253"/>
      <c r="J90" s="931"/>
      <c r="K90" s="2284"/>
      <c r="M90" s="931"/>
      <c r="N90" s="931"/>
      <c r="O90" s="931"/>
      <c r="P90" s="931"/>
    </row>
    <row r="91" customFormat="false" ht="12.75" hidden="false" customHeight="true" outlineLevel="0" collapsed="false">
      <c r="A91" s="2280"/>
      <c r="B91" s="931"/>
      <c r="C91" s="1769"/>
      <c r="D91" s="931"/>
      <c r="E91" s="931"/>
      <c r="F91" s="931"/>
      <c r="G91" s="2109"/>
      <c r="H91" s="2124"/>
      <c r="I91" s="2253"/>
      <c r="J91" s="931"/>
      <c r="K91" s="2284"/>
      <c r="M91" s="2291"/>
      <c r="N91" s="2291"/>
      <c r="O91" s="1753"/>
      <c r="P91" s="931"/>
    </row>
    <row r="92" customFormat="false" ht="12.75" hidden="false" customHeight="true" outlineLevel="0" collapsed="false">
      <c r="A92" s="2280"/>
      <c r="B92" s="931"/>
      <c r="C92" s="2126" t="s">
        <v>3095</v>
      </c>
      <c r="D92" s="2126"/>
      <c r="E92" s="2126"/>
      <c r="F92" s="2126"/>
      <c r="G92" s="2114" t="n">
        <f aca="false">MAX(F93:F94)</f>
        <v>0</v>
      </c>
      <c r="H92" s="2124"/>
      <c r="I92" s="2253"/>
      <c r="J92" s="931"/>
      <c r="K92" s="2284"/>
      <c r="L92" s="931"/>
      <c r="M92" s="1999"/>
      <c r="N92" s="1999"/>
      <c r="O92" s="1999"/>
      <c r="P92" s="931"/>
      <c r="Q92" s="1999"/>
    </row>
    <row r="93" customFormat="false" ht="12.75" hidden="false" customHeight="true" outlineLevel="0" collapsed="false">
      <c r="A93" s="2280"/>
      <c r="B93" s="931"/>
      <c r="C93" s="1769"/>
      <c r="D93" s="931" t="s">
        <v>3096</v>
      </c>
      <c r="E93" s="2042" t="str">
        <f aca="false">'Saisie et Calculateur'!D922</f>
        <v>non</v>
      </c>
      <c r="F93" s="931" t="n">
        <f aca="false">IF(E93="oui",3,0)</f>
        <v>0</v>
      </c>
      <c r="G93" s="2114"/>
      <c r="H93" s="2124"/>
      <c r="I93" s="2253"/>
      <c r="J93" s="2292"/>
      <c r="K93" s="2284"/>
      <c r="M93" s="1999"/>
      <c r="N93" s="1999"/>
      <c r="O93" s="1999"/>
      <c r="P93" s="931"/>
      <c r="Q93" s="1999"/>
    </row>
    <row r="94" customFormat="false" ht="12.75" hidden="false" customHeight="true" outlineLevel="0" collapsed="false">
      <c r="A94" s="2280"/>
      <c r="B94" s="931"/>
      <c r="C94" s="2113"/>
      <c r="D94" s="931" t="s">
        <v>3097</v>
      </c>
      <c r="E94" s="650" t="str">
        <f aca="false">'Saisie et Calculateur'!D923</f>
        <v>non</v>
      </c>
      <c r="F94" s="931" t="n">
        <f aca="false">IF(E94="oui",2,0)</f>
        <v>0</v>
      </c>
      <c r="G94" s="2114"/>
      <c r="H94" s="2124"/>
      <c r="I94" s="2253"/>
      <c r="J94" s="931"/>
      <c r="K94" s="2284"/>
      <c r="M94" s="931"/>
      <c r="N94" s="931"/>
      <c r="O94" s="931"/>
      <c r="P94" s="931"/>
      <c r="Q94" s="1999"/>
    </row>
    <row r="95" customFormat="false" ht="12.75" hidden="false" customHeight="true" outlineLevel="0" collapsed="false">
      <c r="A95" s="2280"/>
      <c r="B95" s="931"/>
      <c r="C95" s="2113" t="s">
        <v>3098</v>
      </c>
      <c r="D95" s="2113"/>
      <c r="E95" s="2113"/>
      <c r="F95" s="2113"/>
      <c r="G95" s="2127" t="n">
        <f aca="false">IF(E96="oui",3,0)</f>
        <v>0</v>
      </c>
      <c r="H95" s="2124"/>
      <c r="I95" s="2253"/>
      <c r="J95" s="931"/>
      <c r="K95" s="2284"/>
    </row>
    <row r="96" customFormat="false" ht="12.75" hidden="false" customHeight="true" outlineLevel="0" collapsed="false">
      <c r="A96" s="2280"/>
      <c r="B96" s="931"/>
      <c r="C96" s="2117"/>
      <c r="D96" s="2128" t="s">
        <v>2843</v>
      </c>
      <c r="E96" s="2293" t="str">
        <f aca="false">'Saisie et Calculateur'!E925</f>
        <v>non</v>
      </c>
      <c r="F96" s="2118"/>
      <c r="G96" s="2127"/>
      <c r="H96" s="2124"/>
      <c r="I96" s="2253"/>
      <c r="J96" s="931"/>
      <c r="K96" s="2284"/>
    </row>
    <row r="97" customFormat="false" ht="12.75" hidden="false" customHeight="true" outlineLevel="0" collapsed="false">
      <c r="A97" s="2280"/>
      <c r="B97" s="931"/>
      <c r="C97" s="931"/>
      <c r="D97" s="931"/>
      <c r="E97" s="931"/>
      <c r="F97" s="931"/>
      <c r="G97" s="2232"/>
      <c r="H97" s="931"/>
      <c r="I97" s="931"/>
      <c r="J97" s="931"/>
      <c r="K97" s="2284"/>
    </row>
    <row r="98" customFormat="false" ht="12.75" hidden="false" customHeight="true" outlineLevel="0" collapsed="false">
      <c r="A98" s="2280"/>
      <c r="B98" s="931"/>
      <c r="C98" s="931"/>
      <c r="D98" s="931"/>
      <c r="E98" s="931"/>
      <c r="F98" s="931"/>
      <c r="G98" s="2232"/>
      <c r="H98" s="931"/>
      <c r="I98" s="931"/>
      <c r="J98" s="931"/>
      <c r="K98" s="2284"/>
    </row>
    <row r="99" customFormat="false" ht="12.75" hidden="false" customHeight="true" outlineLevel="0" collapsed="false">
      <c r="A99" s="2280"/>
      <c r="B99" s="931" t="s">
        <v>227</v>
      </c>
      <c r="C99" s="2259" t="s">
        <v>3099</v>
      </c>
      <c r="D99" s="2259"/>
      <c r="E99" s="2259"/>
      <c r="F99" s="2259"/>
      <c r="G99" s="2259"/>
      <c r="H99" s="2259"/>
      <c r="I99" s="2260" t="s">
        <v>2821</v>
      </c>
      <c r="J99" s="931"/>
      <c r="K99" s="2284"/>
      <c r="M99" s="1903"/>
      <c r="N99" s="1999"/>
    </row>
    <row r="100" customFormat="false" ht="12.75" hidden="false" customHeight="true" outlineLevel="0" collapsed="false">
      <c r="A100" s="2280"/>
      <c r="B100" s="931"/>
      <c r="C100" s="931"/>
      <c r="D100" s="931"/>
      <c r="E100" s="931"/>
      <c r="F100" s="931"/>
      <c r="G100" s="2232"/>
      <c r="H100" s="931"/>
      <c r="I100" s="931"/>
      <c r="J100" s="931"/>
      <c r="K100" s="2284"/>
      <c r="M100" s="1763" t="s">
        <v>3100</v>
      </c>
      <c r="N100" s="2160" t="n">
        <v>0.7</v>
      </c>
      <c r="O100" s="2294"/>
      <c r="Q100" s="1763" t="s">
        <v>3101</v>
      </c>
      <c r="R100" s="2160" t="n">
        <v>0.7</v>
      </c>
      <c r="S100" s="2294"/>
    </row>
    <row r="101" customFormat="false" ht="25.5" hidden="false" customHeight="true" outlineLevel="0" collapsed="false">
      <c r="A101" s="2280"/>
      <c r="B101" s="931"/>
      <c r="C101" s="2000" t="s">
        <v>2822</v>
      </c>
      <c r="D101" s="2000"/>
      <c r="E101" s="2000"/>
      <c r="F101" s="2000"/>
      <c r="G101" s="2000"/>
      <c r="H101" s="2001" t="s">
        <v>2823</v>
      </c>
      <c r="I101" s="2001" t="s">
        <v>2824</v>
      </c>
      <c r="J101" s="931"/>
      <c r="K101" s="2284"/>
      <c r="M101" s="2294" t="s">
        <v>2855</v>
      </c>
      <c r="N101" s="1763" t="n">
        <v>2</v>
      </c>
      <c r="O101" s="1763" t="n">
        <v>0</v>
      </c>
      <c r="Q101" s="2294" t="s">
        <v>2855</v>
      </c>
      <c r="R101" s="1763" t="n">
        <v>1</v>
      </c>
      <c r="S101" s="1763" t="n">
        <v>0</v>
      </c>
    </row>
    <row r="102" customFormat="false" ht="12.75" hidden="false" customHeight="true" outlineLevel="0" collapsed="false">
      <c r="A102" s="2280"/>
      <c r="B102" s="931"/>
      <c r="C102" s="2005" t="s">
        <v>3102</v>
      </c>
      <c r="D102" s="2005"/>
      <c r="E102" s="2005"/>
      <c r="F102" s="2005"/>
      <c r="G102" s="2193" t="n">
        <f aca="false">MIN(5,SUM(F103:F108))</f>
        <v>3</v>
      </c>
      <c r="H102" s="2007" t="n">
        <f aca="false">G102+G110+G116</f>
        <v>6</v>
      </c>
      <c r="I102" s="2253" t="n">
        <f aca="false">IF(H102&lt;0,0,MIN(5,H102))</f>
        <v>5</v>
      </c>
      <c r="J102" s="931"/>
      <c r="K102" s="2284"/>
    </row>
    <row r="103" customFormat="false" ht="12.75" hidden="false" customHeight="true" outlineLevel="0" collapsed="false">
      <c r="A103" s="2280"/>
      <c r="B103" s="931"/>
      <c r="C103" s="2011" t="s">
        <v>3103</v>
      </c>
      <c r="D103" s="931" t="s">
        <v>1130</v>
      </c>
      <c r="E103" s="2077" t="n">
        <f aca="false">'Saisie et Calculateur'!D931</f>
        <v>0</v>
      </c>
      <c r="F103" s="931" t="n">
        <f aca="false">IF(E103="NC",0,IF(E103&gt;=N100,N101,O101))</f>
        <v>0</v>
      </c>
      <c r="G103" s="2193"/>
      <c r="H103" s="2007"/>
      <c r="I103" s="2253"/>
      <c r="J103" s="931"/>
      <c r="K103" s="2284"/>
      <c r="M103" s="1572" t="s">
        <v>3104</v>
      </c>
      <c r="N103" s="1572"/>
      <c r="P103" s="1572" t="s">
        <v>3105</v>
      </c>
      <c r="Q103" s="1572"/>
      <c r="S103" s="1572" t="s">
        <v>3106</v>
      </c>
      <c r="T103" s="1572"/>
      <c r="V103" s="1572" t="s">
        <v>3107</v>
      </c>
      <c r="W103" s="1572"/>
    </row>
    <row r="104" customFormat="false" ht="12.75" hidden="false" customHeight="true" outlineLevel="0" collapsed="false">
      <c r="A104" s="2280"/>
      <c r="B104" s="931"/>
      <c r="C104" s="2011" t="s">
        <v>3108</v>
      </c>
      <c r="D104" s="931" t="s">
        <v>1130</v>
      </c>
      <c r="E104" s="2077" t="n">
        <f aca="false">'Saisie et Calculateur'!D933</f>
        <v>1</v>
      </c>
      <c r="F104" s="931" t="n">
        <f aca="false">IF(E104&gt;=R100,R101,S101)</f>
        <v>1</v>
      </c>
      <c r="G104" s="2193"/>
      <c r="H104" s="2007"/>
      <c r="I104" s="2253"/>
      <c r="J104" s="931"/>
      <c r="K104" s="2284"/>
      <c r="M104" s="1763" t="s">
        <v>253</v>
      </c>
      <c r="N104" s="1763" t="n">
        <v>1</v>
      </c>
      <c r="P104" s="1763" t="s">
        <v>253</v>
      </c>
      <c r="Q104" s="1763" t="n">
        <v>1</v>
      </c>
      <c r="S104" s="1763" t="s">
        <v>253</v>
      </c>
      <c r="T104" s="1763" t="n">
        <v>1</v>
      </c>
      <c r="V104" s="1763" t="s">
        <v>253</v>
      </c>
      <c r="W104" s="1763" t="n">
        <v>1</v>
      </c>
    </row>
    <row r="105" customFormat="false" ht="12.75" hidden="false" customHeight="true" outlineLevel="0" collapsed="false">
      <c r="A105" s="2280"/>
      <c r="B105" s="931"/>
      <c r="C105" s="2011" t="s">
        <v>3109</v>
      </c>
      <c r="D105" s="931" t="s">
        <v>2843</v>
      </c>
      <c r="E105" s="650" t="str">
        <f aca="false">'Saisie et Calculateur'!D934</f>
        <v>non</v>
      </c>
      <c r="F105" s="931" t="n">
        <f aca="false">IF(E105=P104,Q104,Q105)</f>
        <v>0</v>
      </c>
      <c r="G105" s="2193"/>
      <c r="H105" s="2007"/>
      <c r="I105" s="2253"/>
      <c r="J105" s="931"/>
      <c r="K105" s="2284"/>
      <c r="M105" s="1763" t="s">
        <v>254</v>
      </c>
      <c r="N105" s="1763" t="n">
        <v>0</v>
      </c>
      <c r="P105" s="1763" t="s">
        <v>254</v>
      </c>
      <c r="Q105" s="1763" t="n">
        <v>0</v>
      </c>
      <c r="S105" s="1763" t="s">
        <v>254</v>
      </c>
      <c r="T105" s="1763" t="n">
        <v>0</v>
      </c>
      <c r="V105" s="1763" t="s">
        <v>254</v>
      </c>
      <c r="W105" s="1763" t="n">
        <v>0</v>
      </c>
    </row>
    <row r="106" customFormat="false" ht="12.75" hidden="false" customHeight="true" outlineLevel="0" collapsed="false">
      <c r="A106" s="2280"/>
      <c r="B106" s="931"/>
      <c r="C106" s="2011" t="s">
        <v>1302</v>
      </c>
      <c r="D106" s="931" t="s">
        <v>2843</v>
      </c>
      <c r="E106" s="2295" t="str">
        <f aca="false">'Saisie et Calculateur'!D936</f>
        <v>oui</v>
      </c>
      <c r="F106" s="931" t="n">
        <f aca="false">IF(E106=M104,N104,N105)</f>
        <v>1</v>
      </c>
      <c r="G106" s="2193"/>
      <c r="H106" s="2007"/>
      <c r="I106" s="2253"/>
      <c r="J106" s="931"/>
      <c r="K106" s="2284"/>
      <c r="R106" s="1903"/>
    </row>
    <row r="107" customFormat="false" ht="15.75" hidden="false" customHeight="true" outlineLevel="0" collapsed="false">
      <c r="A107" s="2280"/>
      <c r="B107" s="931"/>
      <c r="C107" s="2296" t="s">
        <v>3106</v>
      </c>
      <c r="D107" s="2041" t="s">
        <v>2843</v>
      </c>
      <c r="E107" s="2042" t="str">
        <f aca="false">'Saisie et Calculateur'!D937</f>
        <v>non</v>
      </c>
      <c r="F107" s="2297" t="n">
        <f aca="false">IF(E107=S104,T104,T105)</f>
        <v>0</v>
      </c>
      <c r="G107" s="2193"/>
      <c r="H107" s="2007"/>
      <c r="I107" s="2253"/>
      <c r="J107" s="931"/>
      <c r="K107" s="2284"/>
      <c r="R107" s="1999"/>
    </row>
    <row r="108" customFormat="false" ht="12.75" hidden="false" customHeight="true" outlineLevel="0" collapsed="false">
      <c r="A108" s="2280"/>
      <c r="B108" s="931"/>
      <c r="C108" s="2011" t="s">
        <v>3110</v>
      </c>
      <c r="D108" s="931" t="s">
        <v>2843</v>
      </c>
      <c r="E108" s="2298" t="str">
        <f aca="false">'Saisie et Calculateur'!D940</f>
        <v>oui</v>
      </c>
      <c r="F108" s="2015" t="n">
        <f aca="false">IF(E108=V104,W104,W105)</f>
        <v>1</v>
      </c>
      <c r="G108" s="2193"/>
      <c r="H108" s="2007"/>
      <c r="I108" s="2253"/>
      <c r="J108" s="931"/>
      <c r="K108" s="2284"/>
      <c r="M108" s="1572" t="s">
        <v>3111</v>
      </c>
      <c r="N108" s="1572"/>
      <c r="P108" s="1572" t="s">
        <v>3112</v>
      </c>
      <c r="Q108" s="1572"/>
      <c r="R108" s="1529"/>
      <c r="S108" s="1572" t="s">
        <v>3113</v>
      </c>
      <c r="T108" s="1572"/>
      <c r="V108" s="1572" t="s">
        <v>3114</v>
      </c>
      <c r="W108" s="1572"/>
    </row>
    <row r="109" customFormat="false" ht="12.75" hidden="false" customHeight="true" outlineLevel="0" collapsed="false">
      <c r="A109" s="2280"/>
      <c r="B109" s="931"/>
      <c r="C109" s="2011"/>
      <c r="D109" s="931"/>
      <c r="E109" s="931"/>
      <c r="F109" s="931"/>
      <c r="G109" s="2299"/>
      <c r="H109" s="2007"/>
      <c r="I109" s="2253"/>
      <c r="J109" s="931"/>
      <c r="K109" s="2284"/>
      <c r="M109" s="1763" t="s">
        <v>253</v>
      </c>
      <c r="N109" s="1763" t="n">
        <v>2</v>
      </c>
      <c r="P109" s="1763" t="s">
        <v>253</v>
      </c>
      <c r="Q109" s="1763" t="n">
        <v>2</v>
      </c>
      <c r="S109" s="1763" t="s">
        <v>253</v>
      </c>
      <c r="T109" s="1763" t="n">
        <v>2</v>
      </c>
      <c r="V109" s="1763" t="s">
        <v>253</v>
      </c>
      <c r="W109" s="1763" t="n">
        <v>2</v>
      </c>
    </row>
    <row r="110" customFormat="false" ht="12.75" hidden="false" customHeight="true" outlineLevel="0" collapsed="false">
      <c r="A110" s="2280"/>
      <c r="B110" s="931"/>
      <c r="C110" s="2013" t="s">
        <v>3115</v>
      </c>
      <c r="D110" s="2013"/>
      <c r="E110" s="2013"/>
      <c r="F110" s="2013"/>
      <c r="G110" s="2300" t="n">
        <f aca="false">MIN(3,SUM(F111:F114))</f>
        <v>3</v>
      </c>
      <c r="H110" s="2007"/>
      <c r="I110" s="2253"/>
      <c r="J110" s="931"/>
      <c r="K110" s="2284"/>
      <c r="M110" s="1763" t="s">
        <v>254</v>
      </c>
      <c r="N110" s="1763" t="n">
        <v>0</v>
      </c>
      <c r="P110" s="1763" t="s">
        <v>254</v>
      </c>
      <c r="Q110" s="1763" t="n">
        <v>0</v>
      </c>
      <c r="S110" s="1763" t="s">
        <v>254</v>
      </c>
      <c r="T110" s="1763" t="n">
        <v>0</v>
      </c>
      <c r="V110" s="1763" t="s">
        <v>254</v>
      </c>
      <c r="W110" s="1763" t="n">
        <v>0</v>
      </c>
    </row>
    <row r="111" customFormat="false" ht="12.75" hidden="false" customHeight="true" outlineLevel="0" collapsed="false">
      <c r="A111" s="2280"/>
      <c r="B111" s="931"/>
      <c r="C111" s="2301" t="s">
        <v>3111</v>
      </c>
      <c r="D111" s="931" t="s">
        <v>2843</v>
      </c>
      <c r="E111" s="931" t="str">
        <f aca="false">'Saisie et Calculateur'!E944</f>
        <v>non</v>
      </c>
      <c r="F111" s="2297" t="n">
        <f aca="false">IF(E111=M109,N109,N110)</f>
        <v>0</v>
      </c>
      <c r="G111" s="2300"/>
      <c r="H111" s="2007"/>
      <c r="I111" s="2253"/>
      <c r="J111" s="931"/>
      <c r="K111" s="2284"/>
    </row>
    <row r="112" customFormat="false" ht="12.75" hidden="false" customHeight="true" outlineLevel="0" collapsed="false">
      <c r="A112" s="2280"/>
      <c r="B112" s="931"/>
      <c r="C112" s="2301" t="s">
        <v>3112</v>
      </c>
      <c r="D112" s="931" t="s">
        <v>2843</v>
      </c>
      <c r="E112" s="931" t="str">
        <f aca="false">'Saisie et Calculateur'!E945</f>
        <v>non</v>
      </c>
      <c r="F112" s="2297" t="n">
        <f aca="false">IF(E112=P109,Q109,Q110)</f>
        <v>0</v>
      </c>
      <c r="G112" s="2300"/>
      <c r="H112" s="2007"/>
      <c r="I112" s="2253"/>
      <c r="J112" s="931"/>
      <c r="K112" s="2284"/>
    </row>
    <row r="113" customFormat="false" ht="13.5" hidden="false" customHeight="true" outlineLevel="0" collapsed="false">
      <c r="A113" s="2280"/>
      <c r="B113" s="931"/>
      <c r="C113" s="2301" t="s">
        <v>3113</v>
      </c>
      <c r="D113" s="931" t="s">
        <v>2843</v>
      </c>
      <c r="E113" s="931" t="str">
        <f aca="false">'Saisie et Calculateur'!E947</f>
        <v>oui</v>
      </c>
      <c r="F113" s="2297" t="n">
        <f aca="false">IF(E113=S109,T109,T110)</f>
        <v>2</v>
      </c>
      <c r="G113" s="2300"/>
      <c r="H113" s="2007"/>
      <c r="I113" s="2253"/>
      <c r="J113" s="931"/>
      <c r="K113" s="2284"/>
      <c r="M113" s="1999"/>
      <c r="N113" s="1999"/>
    </row>
    <row r="114" customFormat="false" ht="13.5" hidden="false" customHeight="true" outlineLevel="0" collapsed="false">
      <c r="A114" s="2280"/>
      <c r="B114" s="931"/>
      <c r="C114" s="2301" t="s">
        <v>3114</v>
      </c>
      <c r="D114" s="931" t="s">
        <v>2843</v>
      </c>
      <c r="E114" s="931" t="str">
        <f aca="false">'Saisie et Calculateur'!E948</f>
        <v>oui</v>
      </c>
      <c r="F114" s="2297" t="n">
        <f aca="false">IF(E114=V109,W109,W110)</f>
        <v>2</v>
      </c>
      <c r="G114" s="2300"/>
      <c r="H114" s="2007"/>
      <c r="I114" s="2253"/>
      <c r="J114" s="931"/>
      <c r="K114" s="2284"/>
      <c r="M114" s="1572" t="s">
        <v>3116</v>
      </c>
      <c r="N114" s="1572"/>
      <c r="P114" s="1572" t="s">
        <v>3117</v>
      </c>
      <c r="Q114" s="1572"/>
      <c r="S114" s="1572" t="s">
        <v>3118</v>
      </c>
      <c r="T114" s="1572"/>
    </row>
    <row r="115" customFormat="false" ht="13.5" hidden="false" customHeight="true" outlineLevel="0" collapsed="false">
      <c r="A115" s="2280"/>
      <c r="B115" s="931"/>
      <c r="C115" s="2011"/>
      <c r="D115" s="931"/>
      <c r="E115" s="931"/>
      <c r="F115" s="931"/>
      <c r="G115" s="2302"/>
      <c r="H115" s="2007"/>
      <c r="I115" s="2253"/>
      <c r="J115" s="931"/>
      <c r="K115" s="2284"/>
      <c r="M115" s="1763" t="s">
        <v>253</v>
      </c>
      <c r="N115" s="1763" t="n">
        <v>2</v>
      </c>
      <c r="P115" s="1763" t="s">
        <v>253</v>
      </c>
      <c r="Q115" s="1763" t="n">
        <v>2</v>
      </c>
      <c r="S115" s="1763" t="s">
        <v>253</v>
      </c>
      <c r="T115" s="1763" t="n">
        <v>2</v>
      </c>
    </row>
    <row r="116" customFormat="false" ht="13.5" hidden="false" customHeight="true" outlineLevel="0" collapsed="false">
      <c r="A116" s="2280"/>
      <c r="B116" s="931"/>
      <c r="C116" s="2013" t="s">
        <v>3119</v>
      </c>
      <c r="D116" s="2013"/>
      <c r="E116" s="2013"/>
      <c r="F116" s="2013"/>
      <c r="G116" s="2303" t="n">
        <f aca="false">MIN(2,SUM(F117:F119))</f>
        <v>0</v>
      </c>
      <c r="H116" s="2007"/>
      <c r="I116" s="2253"/>
      <c r="J116" s="931"/>
      <c r="K116" s="2284"/>
      <c r="M116" s="1763" t="s">
        <v>254</v>
      </c>
      <c r="N116" s="1763" t="n">
        <v>0</v>
      </c>
      <c r="P116" s="1763" t="s">
        <v>254</v>
      </c>
      <c r="Q116" s="1763" t="n">
        <v>0</v>
      </c>
      <c r="S116" s="1763" t="s">
        <v>254</v>
      </c>
      <c r="T116" s="1763" t="n">
        <v>0</v>
      </c>
    </row>
    <row r="117" customFormat="false" ht="13.5" hidden="false" customHeight="true" outlineLevel="0" collapsed="false">
      <c r="A117" s="2280"/>
      <c r="B117" s="931"/>
      <c r="C117" s="2197" t="s">
        <v>3116</v>
      </c>
      <c r="D117" s="931" t="s">
        <v>2843</v>
      </c>
      <c r="E117" s="650" t="str">
        <f aca="false">'Saisie et Calculateur'!D951</f>
        <v>non</v>
      </c>
      <c r="F117" s="650" t="n">
        <f aca="false">IF(E117=M115,N115,N116)</f>
        <v>0</v>
      </c>
      <c r="G117" s="2303"/>
      <c r="H117" s="2007"/>
      <c r="I117" s="2253"/>
      <c r="J117" s="931"/>
      <c r="K117" s="2284"/>
      <c r="M117" s="1999"/>
      <c r="N117" s="1999"/>
      <c r="T117" s="2304"/>
    </row>
    <row r="118" customFormat="false" ht="13.5" hidden="false" customHeight="true" outlineLevel="0" collapsed="false">
      <c r="A118" s="2280"/>
      <c r="B118" s="931"/>
      <c r="C118" s="2197" t="s">
        <v>3117</v>
      </c>
      <c r="D118" s="931" t="s">
        <v>2843</v>
      </c>
      <c r="E118" s="650" t="str">
        <f aca="false">'Saisie et Calculateur'!D952</f>
        <v>non</v>
      </c>
      <c r="F118" s="650" t="n">
        <f aca="false">IF(E118=P115,Q115,Q116)</f>
        <v>0</v>
      </c>
      <c r="G118" s="2303"/>
      <c r="H118" s="2007"/>
      <c r="I118" s="2253"/>
      <c r="J118" s="931"/>
      <c r="K118" s="2284"/>
      <c r="M118" s="1999"/>
      <c r="N118" s="1999"/>
      <c r="T118" s="1999"/>
      <c r="U118" s="1999"/>
      <c r="V118" s="1999"/>
      <c r="W118" s="1999"/>
      <c r="X118" s="931"/>
    </row>
    <row r="119" customFormat="false" ht="13.5" hidden="false" customHeight="true" outlineLevel="0" collapsed="false">
      <c r="A119" s="2280"/>
      <c r="B119" s="931"/>
      <c r="C119" s="2066" t="s">
        <v>3118</v>
      </c>
      <c r="D119" s="2032" t="s">
        <v>2843</v>
      </c>
      <c r="E119" s="2305" t="str">
        <f aca="false">'Saisie et Calculateur'!D953</f>
        <v>non</v>
      </c>
      <c r="F119" s="2305" t="n">
        <f aca="false">IF(E119=S115,T115,T116)</f>
        <v>0</v>
      </c>
      <c r="G119" s="2303"/>
      <c r="H119" s="2007"/>
      <c r="I119" s="2253"/>
      <c r="J119" s="931"/>
      <c r="K119" s="2284"/>
      <c r="T119" s="1999"/>
      <c r="U119" s="1999"/>
      <c r="V119" s="1999"/>
      <c r="W119" s="1999"/>
      <c r="X119" s="931"/>
    </row>
    <row r="120" customFormat="false" ht="13.5" hidden="false" customHeight="true" outlineLevel="0" collapsed="false">
      <c r="A120" s="2280"/>
      <c r="B120" s="931"/>
      <c r="C120" s="931"/>
      <c r="D120" s="931"/>
      <c r="E120" s="931"/>
      <c r="F120" s="931"/>
      <c r="G120" s="2232"/>
      <c r="H120" s="931"/>
      <c r="I120" s="931"/>
      <c r="J120" s="931"/>
      <c r="K120" s="2284"/>
      <c r="T120" s="1999"/>
      <c r="U120" s="1999"/>
      <c r="V120" s="1999"/>
      <c r="W120" s="1999"/>
      <c r="X120" s="931"/>
    </row>
    <row r="121" customFormat="false" ht="13.5" hidden="false" customHeight="true" outlineLevel="0" collapsed="false">
      <c r="A121" s="2280"/>
      <c r="B121" s="931"/>
      <c r="C121" s="931"/>
      <c r="D121" s="931"/>
      <c r="E121" s="931"/>
      <c r="F121" s="931"/>
      <c r="G121" s="2232"/>
      <c r="H121" s="931"/>
      <c r="I121" s="931"/>
      <c r="J121" s="931"/>
      <c r="K121" s="2284"/>
      <c r="T121" s="1999"/>
      <c r="U121" s="1999"/>
      <c r="V121" s="1999"/>
      <c r="W121" s="1999"/>
      <c r="X121" s="931"/>
    </row>
    <row r="122" customFormat="false" ht="13.5" hidden="false" customHeight="true" outlineLevel="0" collapsed="false">
      <c r="A122" s="2280"/>
      <c r="B122" s="931" t="s">
        <v>257</v>
      </c>
      <c r="C122" s="2259" t="s">
        <v>3120</v>
      </c>
      <c r="D122" s="2259"/>
      <c r="E122" s="2259"/>
      <c r="F122" s="2259"/>
      <c r="G122" s="2259"/>
      <c r="H122" s="2259"/>
      <c r="I122" s="2260" t="s">
        <v>3087</v>
      </c>
      <c r="J122" s="931"/>
      <c r="K122" s="2284"/>
      <c r="T122" s="1999"/>
      <c r="U122" s="1999"/>
      <c r="V122" s="1999"/>
      <c r="W122" s="1999"/>
    </row>
    <row r="123" customFormat="false" ht="13.5" hidden="false" customHeight="true" outlineLevel="0" collapsed="false">
      <c r="A123" s="2280"/>
      <c r="B123" s="931"/>
      <c r="C123" s="931"/>
      <c r="D123" s="931"/>
      <c r="E123" s="931"/>
      <c r="F123" s="931"/>
      <c r="G123" s="2232"/>
      <c r="H123" s="931"/>
      <c r="I123" s="931"/>
      <c r="J123" s="931"/>
      <c r="K123" s="2284"/>
    </row>
    <row r="124" customFormat="false" ht="25.5" hidden="false" customHeight="true" outlineLevel="0" collapsed="false">
      <c r="A124" s="2280"/>
      <c r="B124" s="931"/>
      <c r="C124" s="2000" t="s">
        <v>2822</v>
      </c>
      <c r="D124" s="2000"/>
      <c r="E124" s="2000"/>
      <c r="F124" s="2000"/>
      <c r="G124" s="2000"/>
      <c r="H124" s="2001" t="s">
        <v>2823</v>
      </c>
      <c r="I124" s="2001" t="s">
        <v>2824</v>
      </c>
      <c r="J124" s="931"/>
      <c r="K124" s="2284"/>
      <c r="M124" s="2233"/>
    </row>
    <row r="125" customFormat="false" ht="13.5" hidden="false" customHeight="true" outlineLevel="0" collapsed="false">
      <c r="A125" s="2280"/>
      <c r="B125" s="931"/>
      <c r="C125" s="2275" t="s">
        <v>3121</v>
      </c>
      <c r="D125" s="2275"/>
      <c r="E125" s="2275"/>
      <c r="F125" s="2275"/>
      <c r="G125" s="2109" t="n">
        <f aca="false">MIN(1,D126)</f>
        <v>1</v>
      </c>
      <c r="H125" s="2124" t="n">
        <f aca="false">ROUND(G125+G128+G131+G134,0)</f>
        <v>3</v>
      </c>
      <c r="I125" s="2253" t="n">
        <f aca="false">MIN(3,H125)</f>
        <v>3</v>
      </c>
      <c r="J125" s="931"/>
      <c r="K125" s="2284"/>
      <c r="M125" s="1810" t="s">
        <v>3062</v>
      </c>
      <c r="N125" s="1810" t="s">
        <v>253</v>
      </c>
      <c r="O125" s="1746" t="s">
        <v>254</v>
      </c>
    </row>
    <row r="126" customFormat="false" ht="12.75" hidden="false" customHeight="true" outlineLevel="0" collapsed="false">
      <c r="A126" s="2280"/>
      <c r="B126" s="931"/>
      <c r="C126" s="1769"/>
      <c r="D126" s="2306" t="n">
        <f aca="false">'Saisie et Calculateur'!D958</f>
        <v>1</v>
      </c>
      <c r="E126" s="931"/>
      <c r="F126" s="931"/>
      <c r="G126" s="2109"/>
      <c r="H126" s="2124"/>
      <c r="I126" s="2253"/>
      <c r="J126" s="931"/>
      <c r="K126" s="2284"/>
      <c r="M126" s="1746" t="s">
        <v>3076</v>
      </c>
      <c r="N126" s="1746" t="n">
        <v>1</v>
      </c>
      <c r="O126" s="1746" t="n">
        <v>0</v>
      </c>
    </row>
    <row r="127" customFormat="false" ht="15.75" hidden="false" customHeight="true" outlineLevel="0" collapsed="false">
      <c r="A127" s="2280"/>
      <c r="B127" s="931"/>
      <c r="C127" s="1769"/>
      <c r="D127" s="2306"/>
      <c r="E127" s="931"/>
      <c r="F127" s="931"/>
      <c r="G127" s="2109"/>
      <c r="H127" s="2124"/>
      <c r="I127" s="2253"/>
      <c r="J127" s="931"/>
      <c r="K127" s="2284"/>
    </row>
    <row r="128" customFormat="false" ht="12.75" hidden="false" customHeight="true" outlineLevel="0" collapsed="false">
      <c r="A128" s="2280"/>
      <c r="B128" s="931"/>
      <c r="C128" s="2111" t="s">
        <v>3122</v>
      </c>
      <c r="D128" s="2111"/>
      <c r="E128" s="2111"/>
      <c r="F128" s="2111"/>
      <c r="G128" s="2256" t="n">
        <f aca="false">MIN(1,D129)</f>
        <v>1</v>
      </c>
      <c r="H128" s="2124"/>
      <c r="I128" s="2253"/>
      <c r="J128" s="931"/>
      <c r="K128" s="2284"/>
    </row>
    <row r="129" customFormat="false" ht="12.75" hidden="false" customHeight="true" outlineLevel="0" collapsed="false">
      <c r="A129" s="2280"/>
      <c r="B129" s="931"/>
      <c r="C129" s="2162"/>
      <c r="D129" s="2080" t="n">
        <f aca="false">'Saisie et Calculateur'!J958</f>
        <v>1</v>
      </c>
      <c r="E129" s="931"/>
      <c r="F129" s="2080"/>
      <c r="G129" s="2256"/>
      <c r="H129" s="2124"/>
      <c r="I129" s="2253"/>
      <c r="J129" s="931"/>
      <c r="K129" s="2284"/>
    </row>
    <row r="130" customFormat="false" ht="15.75" hidden="false" customHeight="true" outlineLevel="0" collapsed="false">
      <c r="A130" s="2280"/>
      <c r="B130" s="931"/>
      <c r="C130" s="2162"/>
      <c r="D130" s="2080"/>
      <c r="E130" s="931"/>
      <c r="F130" s="2080"/>
      <c r="G130" s="2256"/>
      <c r="H130" s="2124"/>
      <c r="I130" s="2253"/>
      <c r="J130" s="931"/>
      <c r="K130" s="2284"/>
    </row>
    <row r="131" customFormat="false" ht="12.75" hidden="false" customHeight="true" outlineLevel="0" collapsed="false">
      <c r="A131" s="2280"/>
      <c r="B131" s="931"/>
      <c r="C131" s="2111" t="s">
        <v>3123</v>
      </c>
      <c r="D131" s="2111"/>
      <c r="E131" s="2111"/>
      <c r="F131" s="2111"/>
      <c r="G131" s="2256" t="n">
        <f aca="false">IF(D132=N125,N126,O126)</f>
        <v>1</v>
      </c>
      <c r="H131" s="2124"/>
      <c r="I131" s="2253"/>
      <c r="J131" s="931"/>
      <c r="K131" s="2284"/>
    </row>
    <row r="132" customFormat="false" ht="12.75" hidden="false" customHeight="true" outlineLevel="0" collapsed="false">
      <c r="A132" s="2280"/>
      <c r="B132" s="931"/>
      <c r="C132" s="2111" t="s">
        <v>2843</v>
      </c>
      <c r="D132" s="2307" t="str">
        <f aca="false">'Saisie et Calculateur'!D964</f>
        <v>oui</v>
      </c>
      <c r="E132" s="931"/>
      <c r="F132" s="2014"/>
      <c r="G132" s="2256"/>
      <c r="H132" s="2124"/>
      <c r="I132" s="2253"/>
      <c r="J132" s="931"/>
      <c r="K132" s="2284"/>
      <c r="N132" s="1753"/>
      <c r="O132" s="1753"/>
      <c r="P132" s="1753"/>
    </row>
    <row r="133" customFormat="false" ht="12.75" hidden="false" customHeight="true" outlineLevel="0" collapsed="false">
      <c r="A133" s="2280"/>
      <c r="B133" s="931"/>
      <c r="C133" s="2111"/>
      <c r="D133" s="2014"/>
      <c r="E133" s="2014"/>
      <c r="F133" s="2014"/>
      <c r="G133" s="2256"/>
      <c r="H133" s="2124"/>
      <c r="I133" s="2253"/>
      <c r="J133" s="931"/>
      <c r="K133" s="2284"/>
      <c r="N133" s="931"/>
      <c r="O133" s="931"/>
      <c r="P133" s="931"/>
    </row>
    <row r="134" customFormat="false" ht="12.75" hidden="false" customHeight="true" outlineLevel="0" collapsed="false">
      <c r="A134" s="2280"/>
      <c r="B134" s="931"/>
      <c r="C134" s="2113" t="s">
        <v>3124</v>
      </c>
      <c r="D134" s="2113"/>
      <c r="E134" s="2113"/>
      <c r="F134" s="2113"/>
      <c r="G134" s="2277" t="n">
        <f aca="false">'Saisie et Calculateur'!D966</f>
        <v>0</v>
      </c>
      <c r="H134" s="2124"/>
      <c r="I134" s="2253"/>
      <c r="J134" s="931"/>
      <c r="K134" s="2284"/>
      <c r="P134" s="931"/>
    </row>
    <row r="135" customFormat="false" ht="12.75" hidden="false" customHeight="true" outlineLevel="0" collapsed="false">
      <c r="A135" s="2280"/>
      <c r="B135" s="931"/>
      <c r="C135" s="2278"/>
      <c r="D135" s="2148"/>
      <c r="E135" s="2148"/>
      <c r="F135" s="2148"/>
      <c r="G135" s="2277"/>
      <c r="H135" s="2124"/>
      <c r="I135" s="2253"/>
      <c r="J135" s="931"/>
      <c r="K135" s="2284"/>
      <c r="P135" s="931"/>
    </row>
    <row r="136" customFormat="false" ht="12.75" hidden="false" customHeight="true" outlineLevel="0" collapsed="false">
      <c r="A136" s="2280"/>
      <c r="B136" s="931"/>
      <c r="C136" s="931"/>
      <c r="D136" s="931"/>
      <c r="E136" s="931"/>
      <c r="F136" s="931"/>
      <c r="G136" s="2232"/>
      <c r="H136" s="931"/>
      <c r="I136" s="931"/>
      <c r="J136" s="931"/>
      <c r="K136" s="2284"/>
      <c r="P136" s="931"/>
    </row>
    <row r="137" customFormat="false" ht="12.75" hidden="false" customHeight="true" outlineLevel="0" collapsed="false">
      <c r="A137" s="2280"/>
      <c r="B137" s="931"/>
      <c r="C137" s="931"/>
      <c r="D137" s="931"/>
      <c r="E137" s="931"/>
      <c r="F137" s="931"/>
      <c r="G137" s="2232"/>
      <c r="H137" s="931"/>
      <c r="I137" s="931"/>
      <c r="J137" s="931"/>
      <c r="K137" s="2284"/>
    </row>
    <row r="138" customFormat="false" ht="15" hidden="false" customHeight="true" outlineLevel="0" collapsed="false">
      <c r="A138" s="2280"/>
      <c r="B138" s="931" t="s">
        <v>721</v>
      </c>
      <c r="C138" s="2259" t="s">
        <v>3125</v>
      </c>
      <c r="D138" s="2259"/>
      <c r="E138" s="2259"/>
      <c r="F138" s="2259"/>
      <c r="G138" s="2259"/>
      <c r="H138" s="2259"/>
      <c r="I138" s="2260" t="s">
        <v>3087</v>
      </c>
      <c r="J138" s="931"/>
      <c r="K138" s="2284"/>
    </row>
    <row r="139" customFormat="false" ht="12.75" hidden="false" customHeight="true" outlineLevel="0" collapsed="false">
      <c r="A139" s="2280"/>
      <c r="B139" s="931"/>
      <c r="C139" s="931"/>
      <c r="D139" s="931"/>
      <c r="E139" s="931"/>
      <c r="F139" s="931"/>
      <c r="G139" s="2232"/>
      <c r="H139" s="931"/>
      <c r="I139" s="931"/>
      <c r="J139" s="931"/>
      <c r="K139" s="2284"/>
    </row>
    <row r="140" customFormat="false" ht="25.5" hidden="false" customHeight="true" outlineLevel="0" collapsed="false">
      <c r="A140" s="2280"/>
      <c r="B140" s="931"/>
      <c r="C140" s="1597" t="s">
        <v>2822</v>
      </c>
      <c r="D140" s="1597"/>
      <c r="E140" s="1597"/>
      <c r="F140" s="1597"/>
      <c r="G140" s="1597"/>
      <c r="H140" s="2001" t="s">
        <v>2823</v>
      </c>
      <c r="I140" s="2001" t="s">
        <v>2824</v>
      </c>
      <c r="J140" s="931"/>
      <c r="K140" s="2284"/>
    </row>
    <row r="141" customFormat="false" ht="12.75" hidden="false" customHeight="true" outlineLevel="0" collapsed="false">
      <c r="A141" s="2280"/>
      <c r="B141" s="931"/>
      <c r="C141" s="2108" t="s">
        <v>3126</v>
      </c>
      <c r="D141" s="2108"/>
      <c r="E141" s="2108"/>
      <c r="F141" s="2108"/>
      <c r="G141" s="2109" t="n">
        <f aca="false">IF(E142=N141,N142,O142)</f>
        <v>2</v>
      </c>
      <c r="H141" s="2124" t="n">
        <f aca="false">G141+G144+G147</f>
        <v>3</v>
      </c>
      <c r="I141" s="2253" t="n">
        <f aca="false">MIN(3,H141)</f>
        <v>3</v>
      </c>
      <c r="J141" s="931"/>
      <c r="K141" s="2284"/>
      <c r="M141" s="1810" t="s">
        <v>3062</v>
      </c>
      <c r="N141" s="1810" t="s">
        <v>253</v>
      </c>
      <c r="O141" s="1746" t="s">
        <v>254</v>
      </c>
    </row>
    <row r="142" customFormat="false" ht="12.75" hidden="false" customHeight="true" outlineLevel="0" collapsed="false">
      <c r="A142" s="2280"/>
      <c r="B142" s="931"/>
      <c r="C142" s="1769"/>
      <c r="D142" s="931" t="s">
        <v>2843</v>
      </c>
      <c r="E142" s="931" t="str">
        <f aca="false">'Saisie et Calculateur'!B973</f>
        <v>oui</v>
      </c>
      <c r="F142" s="931"/>
      <c r="G142" s="2109"/>
      <c r="H142" s="2124"/>
      <c r="I142" s="2253"/>
      <c r="J142" s="931"/>
      <c r="K142" s="2284"/>
      <c r="M142" s="1810" t="s">
        <v>3075</v>
      </c>
      <c r="N142" s="1810" t="n">
        <v>2</v>
      </c>
      <c r="O142" s="1746" t="n">
        <v>0</v>
      </c>
    </row>
    <row r="143" customFormat="false" ht="12.75" hidden="false" customHeight="true" outlineLevel="0" collapsed="false">
      <c r="A143" s="2280"/>
      <c r="B143" s="931"/>
      <c r="C143" s="1769"/>
      <c r="D143" s="931"/>
      <c r="E143" s="931"/>
      <c r="F143" s="931"/>
      <c r="G143" s="2109"/>
      <c r="H143" s="2124"/>
      <c r="I143" s="2253"/>
      <c r="J143" s="931"/>
      <c r="K143" s="2284"/>
      <c r="M143" s="1746" t="s">
        <v>2861</v>
      </c>
      <c r="N143" s="1746" t="n">
        <v>3</v>
      </c>
      <c r="O143" s="1746" t="n">
        <v>0</v>
      </c>
    </row>
    <row r="144" customFormat="false" ht="12.75" hidden="false" customHeight="true" outlineLevel="0" collapsed="false">
      <c r="A144" s="2280"/>
      <c r="B144" s="931"/>
      <c r="C144" s="2126" t="s">
        <v>3127</v>
      </c>
      <c r="D144" s="2126"/>
      <c r="E144" s="2126"/>
      <c r="F144" s="2126"/>
      <c r="G144" s="2256" t="n">
        <f aca="false">IF(E145=N141,N143,O143)</f>
        <v>0</v>
      </c>
      <c r="H144" s="2124"/>
      <c r="I144" s="2253"/>
      <c r="J144" s="931"/>
      <c r="K144" s="2284"/>
      <c r="M144" s="1746" t="s">
        <v>3076</v>
      </c>
      <c r="N144" s="1746" t="n">
        <v>1</v>
      </c>
      <c r="O144" s="1746" t="n">
        <v>0</v>
      </c>
    </row>
    <row r="145" customFormat="false" ht="12.75" hidden="false" customHeight="true" outlineLevel="0" collapsed="false">
      <c r="A145" s="2280"/>
      <c r="B145" s="931"/>
      <c r="C145" s="2113"/>
      <c r="D145" s="931" t="s">
        <v>2843</v>
      </c>
      <c r="E145" s="2042" t="str">
        <f aca="false">'Saisie et Calculateur'!E973</f>
        <v>non</v>
      </c>
      <c r="F145" s="931"/>
      <c r="G145" s="2256"/>
      <c r="H145" s="2124"/>
      <c r="I145" s="2253"/>
      <c r="J145" s="931"/>
      <c r="K145" s="2284"/>
    </row>
    <row r="146" customFormat="false" ht="12.75" hidden="false" customHeight="true" outlineLevel="0" collapsed="false">
      <c r="A146" s="2280"/>
      <c r="B146" s="931"/>
      <c r="C146" s="2113"/>
      <c r="D146" s="931"/>
      <c r="E146" s="2042"/>
      <c r="F146" s="931"/>
      <c r="G146" s="2256"/>
      <c r="H146" s="2124"/>
      <c r="I146" s="2253"/>
      <c r="J146" s="931"/>
      <c r="K146" s="2284"/>
    </row>
    <row r="147" customFormat="false" ht="15.75" hidden="false" customHeight="true" outlineLevel="0" collapsed="false">
      <c r="A147" s="2280"/>
      <c r="B147" s="931"/>
      <c r="C147" s="1769" t="s">
        <v>3128</v>
      </c>
      <c r="D147" s="1647"/>
      <c r="E147" s="931"/>
      <c r="F147" s="931"/>
      <c r="G147" s="2277" t="n">
        <f aca="false">IF(E148=N141,N144,O144)</f>
        <v>1</v>
      </c>
      <c r="H147" s="2124"/>
      <c r="I147" s="2253"/>
      <c r="J147" s="931"/>
      <c r="K147" s="2284"/>
    </row>
    <row r="148" customFormat="false" ht="12.75" hidden="false" customHeight="true" outlineLevel="0" collapsed="false">
      <c r="A148" s="2280"/>
      <c r="B148" s="931"/>
      <c r="C148" s="2117"/>
      <c r="D148" s="2128" t="s">
        <v>2843</v>
      </c>
      <c r="E148" s="2118" t="str">
        <f aca="false">'Saisie et Calculateur'!J973</f>
        <v>oui</v>
      </c>
      <c r="F148" s="2118"/>
      <c r="G148" s="2277"/>
      <c r="H148" s="2124"/>
      <c r="I148" s="2253"/>
      <c r="J148" s="931"/>
      <c r="K148" s="2284"/>
    </row>
    <row r="149" customFormat="false" ht="12.75" hidden="false" customHeight="true" outlineLevel="0" collapsed="false">
      <c r="A149" s="2280"/>
      <c r="B149" s="931"/>
      <c r="C149" s="931"/>
      <c r="D149" s="931"/>
      <c r="E149" s="931"/>
      <c r="F149" s="931"/>
      <c r="G149" s="2232"/>
      <c r="H149" s="931"/>
      <c r="I149" s="931"/>
      <c r="J149" s="931"/>
      <c r="K149" s="2284"/>
    </row>
    <row r="150" customFormat="false" ht="12.75" hidden="false" customHeight="true" outlineLevel="0" collapsed="false">
      <c r="A150" s="2280"/>
      <c r="B150" s="931"/>
      <c r="C150" s="931"/>
      <c r="D150" s="931"/>
      <c r="E150" s="931"/>
      <c r="F150" s="931"/>
      <c r="G150" s="2232"/>
      <c r="H150" s="931"/>
      <c r="I150" s="931"/>
      <c r="J150" s="931"/>
      <c r="K150" s="2284"/>
      <c r="S150" s="1999"/>
    </row>
    <row r="151" customFormat="false" ht="12.75" hidden="false" customHeight="true" outlineLevel="0" collapsed="false">
      <c r="A151" s="2280"/>
      <c r="B151" s="931" t="s">
        <v>701</v>
      </c>
      <c r="C151" s="2259" t="s">
        <v>3129</v>
      </c>
      <c r="D151" s="2259"/>
      <c r="E151" s="2259"/>
      <c r="F151" s="2259"/>
      <c r="G151" s="2259"/>
      <c r="H151" s="2259"/>
      <c r="I151" s="2260" t="s">
        <v>3087</v>
      </c>
      <c r="J151" s="931"/>
      <c r="K151" s="2284"/>
      <c r="S151" s="1999"/>
    </row>
    <row r="152" customFormat="false" ht="12.75" hidden="false" customHeight="true" outlineLevel="0" collapsed="false">
      <c r="A152" s="2280"/>
      <c r="B152" s="931"/>
      <c r="C152" s="931"/>
      <c r="D152" s="931"/>
      <c r="E152" s="931"/>
      <c r="F152" s="931"/>
      <c r="G152" s="2232"/>
      <c r="H152" s="931"/>
      <c r="I152" s="931"/>
      <c r="J152" s="931"/>
      <c r="K152" s="2284"/>
      <c r="S152" s="1999"/>
    </row>
    <row r="153" customFormat="false" ht="25.5" hidden="false" customHeight="true" outlineLevel="0" collapsed="false">
      <c r="A153" s="2280"/>
      <c r="B153" s="931"/>
      <c r="C153" s="1597" t="s">
        <v>2822</v>
      </c>
      <c r="D153" s="1597"/>
      <c r="E153" s="1597"/>
      <c r="F153" s="1597"/>
      <c r="G153" s="1597"/>
      <c r="H153" s="2001" t="s">
        <v>2823</v>
      </c>
      <c r="I153" s="2001" t="s">
        <v>2824</v>
      </c>
      <c r="J153" s="931"/>
      <c r="K153" s="2284"/>
    </row>
    <row r="154" customFormat="false" ht="12.75" hidden="false" customHeight="true" outlineLevel="0" collapsed="false">
      <c r="A154" s="2280"/>
      <c r="B154" s="931"/>
      <c r="C154" s="2137" t="s">
        <v>3130</v>
      </c>
      <c r="D154" s="2137"/>
      <c r="E154" s="2137"/>
      <c r="F154" s="2137"/>
      <c r="G154" s="2308"/>
      <c r="H154" s="2124" t="n">
        <f aca="false">G155+G156</f>
        <v>2</v>
      </c>
      <c r="I154" s="2253" t="n">
        <f aca="false">IF(H154&lt;0,0,MIN(3,H154))</f>
        <v>2</v>
      </c>
      <c r="J154" s="931"/>
      <c r="K154" s="2284"/>
      <c r="S154" s="931"/>
    </row>
    <row r="155" customFormat="false" ht="12.75" hidden="false" customHeight="true" outlineLevel="0" collapsed="false">
      <c r="A155" s="2280"/>
      <c r="B155" s="931"/>
      <c r="C155" s="2111"/>
      <c r="D155" s="2014" t="n">
        <f aca="false">'Saisie et Calculateur'!K982</f>
        <v>2</v>
      </c>
      <c r="E155" s="2014"/>
      <c r="F155" s="2014" t="s">
        <v>3131</v>
      </c>
      <c r="G155" s="2114" t="n">
        <f aca="false">ROUND(D155,0)</f>
        <v>2</v>
      </c>
      <c r="H155" s="2124"/>
      <c r="I155" s="2253"/>
      <c r="J155" s="931"/>
      <c r="K155" s="2284"/>
      <c r="S155" s="931"/>
    </row>
    <row r="156" customFormat="false" ht="12.75" hidden="false" customHeight="true" outlineLevel="0" collapsed="false">
      <c r="A156" s="2280"/>
      <c r="B156" s="931"/>
      <c r="C156" s="2117" t="s">
        <v>3132</v>
      </c>
      <c r="D156" s="2159" t="str">
        <f aca="false">'Saisie et Calculateur'!B989</f>
        <v>non</v>
      </c>
      <c r="E156" s="2118"/>
      <c r="F156" s="2118" t="s">
        <v>3133</v>
      </c>
      <c r="G156" s="2115" t="n">
        <f aca="false">IF(D156="oui",-1,0)</f>
        <v>0</v>
      </c>
      <c r="H156" s="2124"/>
      <c r="I156" s="2253"/>
      <c r="J156" s="931"/>
      <c r="K156" s="2284"/>
      <c r="S156" s="1999"/>
    </row>
    <row r="157" customFormat="false" ht="12.75" hidden="false" customHeight="true" outlineLevel="0" collapsed="false">
      <c r="A157" s="2280"/>
      <c r="B157" s="931"/>
      <c r="C157" s="931"/>
      <c r="D157" s="931"/>
      <c r="E157" s="931"/>
      <c r="F157" s="931"/>
      <c r="G157" s="2232"/>
      <c r="H157" s="931"/>
      <c r="I157" s="931"/>
      <c r="J157" s="931"/>
      <c r="K157" s="2284"/>
      <c r="S157" s="1999"/>
    </row>
    <row r="158" customFormat="false" ht="12.75" hidden="false" customHeight="true" outlineLevel="0" collapsed="false">
      <c r="A158" s="2280"/>
      <c r="B158" s="931"/>
      <c r="C158" s="931"/>
      <c r="D158" s="931"/>
      <c r="E158" s="931"/>
      <c r="F158" s="931"/>
      <c r="G158" s="2232"/>
      <c r="H158" s="931"/>
      <c r="I158" s="931"/>
      <c r="J158" s="931"/>
      <c r="K158" s="2284"/>
      <c r="S158" s="1999"/>
    </row>
    <row r="159" customFormat="false" ht="15.75" hidden="false" customHeight="true" outlineLevel="0" collapsed="false">
      <c r="A159" s="2280"/>
      <c r="B159" s="931" t="s">
        <v>666</v>
      </c>
      <c r="C159" s="2259" t="s">
        <v>3134</v>
      </c>
      <c r="D159" s="2259"/>
      <c r="E159" s="2259"/>
      <c r="F159" s="2259"/>
      <c r="G159" s="2259"/>
      <c r="H159" s="2259"/>
      <c r="I159" s="2260" t="s">
        <v>3087</v>
      </c>
      <c r="J159" s="931"/>
      <c r="K159" s="2284"/>
      <c r="M159" s="1746" t="s">
        <v>3062</v>
      </c>
      <c r="N159" s="1746" t="s">
        <v>3075</v>
      </c>
      <c r="O159" s="1763" t="s">
        <v>2861</v>
      </c>
    </row>
    <row r="160" customFormat="false" ht="12.75" hidden="false" customHeight="true" outlineLevel="0" collapsed="false">
      <c r="A160" s="2280"/>
      <c r="B160" s="931"/>
      <c r="C160" s="931"/>
      <c r="D160" s="931"/>
      <c r="E160" s="931"/>
      <c r="F160" s="931"/>
      <c r="G160" s="2232"/>
      <c r="H160" s="931"/>
      <c r="I160" s="931"/>
      <c r="J160" s="931"/>
      <c r="K160" s="2284"/>
      <c r="M160" s="1762" t="s">
        <v>253</v>
      </c>
      <c r="N160" s="1762" t="n">
        <v>2</v>
      </c>
      <c r="O160" s="1763" t="n">
        <v>2</v>
      </c>
    </row>
    <row r="161" customFormat="false" ht="25.5" hidden="false" customHeight="true" outlineLevel="0" collapsed="false">
      <c r="A161" s="2280"/>
      <c r="B161" s="931"/>
      <c r="C161" s="1597" t="s">
        <v>2822</v>
      </c>
      <c r="D161" s="1597"/>
      <c r="E161" s="1597"/>
      <c r="F161" s="1597"/>
      <c r="G161" s="1597"/>
      <c r="H161" s="2001" t="s">
        <v>2823</v>
      </c>
      <c r="I161" s="2001" t="s">
        <v>2824</v>
      </c>
      <c r="J161" s="931"/>
      <c r="K161" s="2284"/>
      <c r="M161" s="1763" t="s">
        <v>254</v>
      </c>
      <c r="N161" s="1763" t="n">
        <v>0</v>
      </c>
      <c r="O161" s="1763" t="n">
        <v>0</v>
      </c>
    </row>
    <row r="162" customFormat="false" ht="13.5" hidden="false" customHeight="true" outlineLevel="0" collapsed="false">
      <c r="A162" s="2280"/>
      <c r="B162" s="931"/>
      <c r="C162" s="2108" t="s">
        <v>3135</v>
      </c>
      <c r="D162" s="2108"/>
      <c r="E162" s="2108"/>
      <c r="F162" s="2108"/>
      <c r="G162" s="2109" t="n">
        <f aca="false">IF(E163=M160,N160,N161)</f>
        <v>2</v>
      </c>
      <c r="H162" s="2124" t="n">
        <f aca="false">G162+G165</f>
        <v>4</v>
      </c>
      <c r="I162" s="2253" t="n">
        <f aca="false">MIN(3,H162)</f>
        <v>3</v>
      </c>
      <c r="J162" s="931"/>
      <c r="K162" s="2284"/>
      <c r="R162" s="1999"/>
      <c r="S162" s="1999"/>
      <c r="T162" s="1999"/>
    </row>
    <row r="163" customFormat="false" ht="13.5" hidden="false" customHeight="true" outlineLevel="0" collapsed="false">
      <c r="A163" s="2280"/>
      <c r="B163" s="931"/>
      <c r="C163" s="1769"/>
      <c r="D163" s="931" t="s">
        <v>2843</v>
      </c>
      <c r="E163" s="931" t="str">
        <f aca="false">'Saisie et Calculateur'!D995</f>
        <v>oui</v>
      </c>
      <c r="F163" s="931"/>
      <c r="G163" s="2109"/>
      <c r="H163" s="2124"/>
      <c r="I163" s="2253"/>
      <c r="J163" s="931"/>
      <c r="K163" s="2284"/>
      <c r="R163" s="1999"/>
      <c r="S163" s="1999"/>
      <c r="T163" s="1999"/>
    </row>
    <row r="164" customFormat="false" ht="13.5" hidden="false" customHeight="true" outlineLevel="0" collapsed="false">
      <c r="A164" s="2280"/>
      <c r="B164" s="931"/>
      <c r="C164" s="1769"/>
      <c r="D164" s="931"/>
      <c r="E164" s="931"/>
      <c r="F164" s="931"/>
      <c r="G164" s="2109"/>
      <c r="H164" s="2124"/>
      <c r="I164" s="2253"/>
      <c r="J164" s="931"/>
      <c r="K164" s="2284"/>
    </row>
    <row r="165" customFormat="false" ht="13.5" hidden="false" customHeight="true" outlineLevel="0" collapsed="false">
      <c r="A165" s="2280"/>
      <c r="B165" s="931"/>
      <c r="C165" s="2126" t="s">
        <v>3136</v>
      </c>
      <c r="D165" s="2126"/>
      <c r="E165" s="2126"/>
      <c r="F165" s="2126"/>
      <c r="G165" s="2127" t="n">
        <f aca="false">IF(E166=M160,O160,O161)</f>
        <v>2</v>
      </c>
      <c r="H165" s="2124"/>
      <c r="I165" s="2253"/>
      <c r="J165" s="931"/>
      <c r="K165" s="2284"/>
    </row>
    <row r="166" customFormat="false" ht="13.5" hidden="false" customHeight="true" outlineLevel="0" collapsed="false">
      <c r="A166" s="2280"/>
      <c r="B166" s="931"/>
      <c r="C166" s="2150"/>
      <c r="D166" s="2118" t="s">
        <v>2843</v>
      </c>
      <c r="E166" s="2272" t="str">
        <f aca="false">'Saisie et Calculateur'!D999</f>
        <v>oui</v>
      </c>
      <c r="F166" s="2118"/>
      <c r="G166" s="2127"/>
      <c r="H166" s="2124"/>
      <c r="I166" s="2253"/>
      <c r="J166" s="931"/>
      <c r="K166" s="2284"/>
    </row>
    <row r="167" customFormat="false" ht="13.5" hidden="false" customHeight="true" outlineLevel="0" collapsed="false">
      <c r="A167" s="2280"/>
      <c r="B167" s="2134"/>
      <c r="C167" s="2309"/>
      <c r="D167" s="2134"/>
      <c r="E167" s="2310"/>
      <c r="F167" s="2134"/>
      <c r="G167" s="2311"/>
      <c r="H167" s="2312"/>
      <c r="I167" s="2313"/>
      <c r="J167" s="2134"/>
      <c r="K167" s="2284"/>
    </row>
    <row r="168" customFormat="false" ht="13.5" hidden="false" customHeight="true" outlineLevel="0" collapsed="false">
      <c r="A168" s="2314"/>
      <c r="B168" s="931"/>
      <c r="C168" s="1435"/>
      <c r="D168" s="931"/>
      <c r="E168" s="2042"/>
      <c r="F168" s="931"/>
      <c r="G168" s="2315"/>
      <c r="H168" s="2316"/>
      <c r="I168" s="2314"/>
      <c r="J168" s="931"/>
      <c r="K168" s="2314"/>
    </row>
    <row r="169" customFormat="false" ht="15.75" hidden="false" customHeight="true" outlineLevel="0" collapsed="false">
      <c r="A169" s="2317" t="s">
        <v>3137</v>
      </c>
      <c r="B169" s="1992" t="s">
        <v>756</v>
      </c>
      <c r="C169" s="2318" t="s">
        <v>3138</v>
      </c>
      <c r="D169" s="2318"/>
      <c r="E169" s="2318"/>
      <c r="F169" s="2318"/>
      <c r="G169" s="2318"/>
      <c r="H169" s="2318"/>
      <c r="I169" s="2248" t="s">
        <v>2989</v>
      </c>
      <c r="J169" s="1995"/>
      <c r="K169" s="2319" t="n">
        <f aca="false">MIN(25,SUM(I172,I186,I195,I210,I224))</f>
        <v>20</v>
      </c>
    </row>
    <row r="170" customFormat="false" ht="15.75" hidden="false" customHeight="true" outlineLevel="0" collapsed="false">
      <c r="A170" s="2317"/>
      <c r="B170" s="1997"/>
      <c r="C170" s="931"/>
      <c r="D170" s="931"/>
      <c r="E170" s="931"/>
      <c r="F170" s="931"/>
      <c r="G170" s="2232"/>
      <c r="H170" s="931"/>
      <c r="I170" s="931"/>
      <c r="J170" s="1998"/>
      <c r="K170" s="2319"/>
      <c r="M170" s="1763" t="s">
        <v>3139</v>
      </c>
      <c r="N170" s="1763" t="s">
        <v>3075</v>
      </c>
    </row>
    <row r="171" customFormat="false" ht="25.5" hidden="false" customHeight="true" outlineLevel="0" collapsed="false">
      <c r="A171" s="2317"/>
      <c r="B171" s="1997"/>
      <c r="C171" s="2000" t="s">
        <v>2822</v>
      </c>
      <c r="D171" s="2000"/>
      <c r="E171" s="2000"/>
      <c r="F171" s="2000"/>
      <c r="G171" s="2000"/>
      <c r="H171" s="2001" t="s">
        <v>2823</v>
      </c>
      <c r="I171" s="2001" t="s">
        <v>2824</v>
      </c>
      <c r="J171" s="1998"/>
      <c r="K171" s="2319"/>
      <c r="M171" s="1763" t="n">
        <v>125</v>
      </c>
      <c r="N171" s="1763" t="n">
        <v>0</v>
      </c>
    </row>
    <row r="172" customFormat="false" ht="12.75" hidden="false" customHeight="true" outlineLevel="0" collapsed="false">
      <c r="A172" s="2317"/>
      <c r="B172" s="1997"/>
      <c r="C172" s="2137" t="s">
        <v>3140</v>
      </c>
      <c r="D172" s="2137"/>
      <c r="E172" s="2137"/>
      <c r="F172" s="2137"/>
      <c r="G172" s="2109" t="n">
        <f aca="false">IF(E173&lt;M173,N174,IF(E173&lt;M172,N173,IF(E173&lt;M171,N172,N171)))</f>
        <v>2</v>
      </c>
      <c r="H172" s="2124" t="n">
        <f aca="false">G172+G174+G178</f>
        <v>8</v>
      </c>
      <c r="I172" s="2253" t="n">
        <f aca="false">MIN(6,H172)</f>
        <v>6</v>
      </c>
      <c r="J172" s="1998"/>
      <c r="K172" s="2319"/>
      <c r="M172" s="1763" t="n">
        <v>50</v>
      </c>
      <c r="N172" s="1763" t="n">
        <v>1</v>
      </c>
      <c r="Q172" s="1999"/>
    </row>
    <row r="173" customFormat="false" ht="15" hidden="false" customHeight="true" outlineLevel="0" collapsed="false">
      <c r="A173" s="2317"/>
      <c r="B173" s="1997"/>
      <c r="C173" s="1769"/>
      <c r="D173" s="931"/>
      <c r="E173" s="931" t="n">
        <f aca="false">'Saisie et Calculateur'!C1004</f>
        <v>38.5</v>
      </c>
      <c r="F173" s="931"/>
      <c r="G173" s="2109"/>
      <c r="H173" s="2124"/>
      <c r="I173" s="2253"/>
      <c r="J173" s="1998"/>
      <c r="K173" s="2319"/>
      <c r="M173" s="1763" t="n">
        <v>20</v>
      </c>
      <c r="N173" s="1763" t="n">
        <v>2</v>
      </c>
      <c r="Q173" s="1999"/>
    </row>
    <row r="174" customFormat="false" ht="12.75" hidden="false" customHeight="true" outlineLevel="0" collapsed="false">
      <c r="A174" s="2317"/>
      <c r="B174" s="1997"/>
      <c r="C174" s="2126" t="s">
        <v>3141</v>
      </c>
      <c r="D174" s="2126"/>
      <c r="E174" s="2126"/>
      <c r="F174" s="2126"/>
      <c r="G174" s="2256" t="n">
        <f aca="false">MIN(3,F175+F176)</f>
        <v>3</v>
      </c>
      <c r="H174" s="2124"/>
      <c r="I174" s="2253"/>
      <c r="J174" s="1998"/>
      <c r="K174" s="2319"/>
      <c r="M174" s="1763"/>
      <c r="N174" s="1763" t="n">
        <v>3</v>
      </c>
    </row>
    <row r="175" customFormat="false" ht="15" hidden="false" customHeight="true" outlineLevel="0" collapsed="false">
      <c r="A175" s="2317"/>
      <c r="B175" s="1997"/>
      <c r="C175" s="2113" t="s">
        <v>3142</v>
      </c>
      <c r="D175" s="931" t="s">
        <v>2843</v>
      </c>
      <c r="E175" s="2042" t="str">
        <f aca="false">'Saisie et Calculateur'!E1006</f>
        <v>oui</v>
      </c>
      <c r="F175" s="931" t="n">
        <f aca="false">IF(E175=M177,N177,N178)</f>
        <v>3</v>
      </c>
      <c r="G175" s="2256"/>
      <c r="H175" s="2124"/>
      <c r="I175" s="2253"/>
      <c r="J175" s="1998"/>
      <c r="K175" s="2319"/>
    </row>
    <row r="176" customFormat="false" ht="13.5" hidden="false" customHeight="true" outlineLevel="0" collapsed="false">
      <c r="A176" s="2317"/>
      <c r="B176" s="1997"/>
      <c r="C176" s="2208" t="s">
        <v>3143</v>
      </c>
      <c r="D176" s="931" t="s">
        <v>2843</v>
      </c>
      <c r="E176" s="2199" t="str">
        <f aca="false">'Saisie et Calculateur'!E1007</f>
        <v>oui</v>
      </c>
      <c r="F176" s="2199" t="n">
        <f aca="false">IF(E176=M177,O177,O178)</f>
        <v>1</v>
      </c>
      <c r="G176" s="2256"/>
      <c r="H176" s="2124"/>
      <c r="I176" s="2253"/>
      <c r="J176" s="1998"/>
      <c r="K176" s="2319"/>
      <c r="M176" s="1763" t="s">
        <v>2861</v>
      </c>
      <c r="N176" s="1763" t="s">
        <v>3144</v>
      </c>
      <c r="O176" s="1763" t="s">
        <v>3145</v>
      </c>
      <c r="P176" s="1763" t="s">
        <v>3146</v>
      </c>
    </row>
    <row r="177" customFormat="false" ht="13.5" hidden="false" customHeight="true" outlineLevel="0" collapsed="false">
      <c r="A177" s="2317"/>
      <c r="B177" s="1997"/>
      <c r="C177" s="2208"/>
      <c r="D177" s="931"/>
      <c r="E177" s="2199"/>
      <c r="F177" s="2199"/>
      <c r="G177" s="2256"/>
      <c r="H177" s="2124"/>
      <c r="I177" s="2253"/>
      <c r="J177" s="1998"/>
      <c r="K177" s="2319"/>
      <c r="M177" s="1597" t="s">
        <v>253</v>
      </c>
      <c r="N177" s="1597" t="n">
        <v>3</v>
      </c>
      <c r="O177" s="1763" t="n">
        <v>1</v>
      </c>
      <c r="P177" s="1763" t="n">
        <v>1</v>
      </c>
    </row>
    <row r="178" customFormat="false" ht="13.5" hidden="false" customHeight="true" outlineLevel="0" collapsed="false">
      <c r="A178" s="2317"/>
      <c r="B178" s="1997"/>
      <c r="C178" s="2113" t="s">
        <v>3147</v>
      </c>
      <c r="D178" s="2113"/>
      <c r="E178" s="2113"/>
      <c r="F178" s="2113"/>
      <c r="G178" s="2127" t="n">
        <f aca="false">MIN(3,F179+F180)</f>
        <v>3</v>
      </c>
      <c r="H178" s="2124"/>
      <c r="I178" s="2253"/>
      <c r="J178" s="1998"/>
      <c r="K178" s="2319"/>
      <c r="M178" s="1746" t="s">
        <v>254</v>
      </c>
      <c r="N178" s="1597" t="n">
        <v>0</v>
      </c>
      <c r="O178" s="1746" t="n">
        <v>0</v>
      </c>
      <c r="P178" s="1746" t="n">
        <v>0</v>
      </c>
    </row>
    <row r="179" customFormat="false" ht="13.5" hidden="false" customHeight="true" outlineLevel="0" collapsed="false">
      <c r="A179" s="2317"/>
      <c r="B179" s="1997"/>
      <c r="C179" s="2208" t="s">
        <v>3148</v>
      </c>
      <c r="D179" s="2171"/>
      <c r="E179" s="2171" t="str">
        <f aca="false">'Saisie et Calculateur'!E1010</f>
        <v>oui</v>
      </c>
      <c r="F179" s="2171" t="n">
        <f aca="false">IF(E179=M177,P177,P178)</f>
        <v>1</v>
      </c>
      <c r="G179" s="2127"/>
      <c r="H179" s="2124"/>
      <c r="I179" s="2253"/>
      <c r="J179" s="1998"/>
      <c r="K179" s="2319"/>
    </row>
    <row r="180" customFormat="false" ht="13.5" hidden="false" customHeight="true" outlineLevel="0" collapsed="false">
      <c r="A180" s="2317"/>
      <c r="B180" s="1997"/>
      <c r="C180" s="2117" t="s">
        <v>3149</v>
      </c>
      <c r="D180" s="2118"/>
      <c r="E180" s="2118"/>
      <c r="F180" s="2118" t="n">
        <f aca="false">'Saisie et Calculateur'!E1013</f>
        <v>3</v>
      </c>
      <c r="G180" s="2127"/>
      <c r="H180" s="2124"/>
      <c r="I180" s="2253"/>
      <c r="J180" s="1998"/>
      <c r="K180" s="2319"/>
    </row>
    <row r="181" customFormat="false" ht="13.5" hidden="false" customHeight="true" outlineLevel="0" collapsed="false">
      <c r="A181" s="2317"/>
      <c r="B181" s="1997"/>
      <c r="C181" s="931"/>
      <c r="D181" s="931"/>
      <c r="E181" s="931"/>
      <c r="F181" s="931"/>
      <c r="G181" s="2232"/>
      <c r="H181" s="931"/>
      <c r="I181" s="931"/>
      <c r="J181" s="1998"/>
      <c r="K181" s="2319"/>
    </row>
    <row r="182" customFormat="false" ht="13.5" hidden="false" customHeight="true" outlineLevel="0" collapsed="false">
      <c r="A182" s="2317"/>
      <c r="B182" s="1997"/>
      <c r="C182" s="931"/>
      <c r="D182" s="931"/>
      <c r="E182" s="931"/>
      <c r="F182" s="931"/>
      <c r="G182" s="2232"/>
      <c r="H182" s="931"/>
      <c r="I182" s="931"/>
      <c r="J182" s="1998"/>
      <c r="K182" s="2319"/>
    </row>
    <row r="183" customFormat="false" ht="15" hidden="false" customHeight="true" outlineLevel="0" collapsed="false">
      <c r="A183" s="2317"/>
      <c r="B183" s="2033" t="s">
        <v>669</v>
      </c>
      <c r="C183" s="2259" t="s">
        <v>3150</v>
      </c>
      <c r="D183" s="2259"/>
      <c r="E183" s="2259"/>
      <c r="F183" s="2259"/>
      <c r="G183" s="2259"/>
      <c r="H183" s="2259"/>
      <c r="I183" s="2260" t="s">
        <v>2989</v>
      </c>
      <c r="J183" s="1998"/>
      <c r="K183" s="2319"/>
    </row>
    <row r="184" customFormat="false" ht="13.5" hidden="false" customHeight="true" outlineLevel="0" collapsed="false">
      <c r="A184" s="2317"/>
      <c r="B184" s="1997"/>
      <c r="C184" s="1435"/>
      <c r="D184" s="931"/>
      <c r="E184" s="2042"/>
      <c r="F184" s="931"/>
      <c r="G184" s="2315"/>
      <c r="H184" s="2316"/>
      <c r="I184" s="2314"/>
      <c r="J184" s="1998"/>
      <c r="K184" s="2319"/>
    </row>
    <row r="185" customFormat="false" ht="27.75" hidden="false" customHeight="true" outlineLevel="0" collapsed="false">
      <c r="A185" s="2317"/>
      <c r="B185" s="1997"/>
      <c r="C185" s="1597" t="s">
        <v>2822</v>
      </c>
      <c r="D185" s="1597"/>
      <c r="E185" s="1597"/>
      <c r="F185" s="1597"/>
      <c r="G185" s="1597"/>
      <c r="H185" s="2001" t="s">
        <v>2823</v>
      </c>
      <c r="I185" s="2001" t="s">
        <v>2824</v>
      </c>
      <c r="J185" s="1998"/>
      <c r="K185" s="2319"/>
    </row>
    <row r="186" customFormat="false" ht="13.5" hidden="false" customHeight="true" outlineLevel="0" collapsed="false">
      <c r="A186" s="2317"/>
      <c r="B186" s="1997"/>
      <c r="C186" s="2145" t="s">
        <v>3151</v>
      </c>
      <c r="D186" s="1865"/>
      <c r="E186" s="2320"/>
      <c r="F186" s="1865"/>
      <c r="G186" s="2131" t="n">
        <f aca="false">'Saisie et Calculateur'!D1021</f>
        <v>2</v>
      </c>
      <c r="H186" s="2124" t="n">
        <f aca="false">G186+G188</f>
        <v>2</v>
      </c>
      <c r="I186" s="2253" t="n">
        <f aca="false">MIN(6,H186)</f>
        <v>2</v>
      </c>
      <c r="J186" s="1998"/>
      <c r="K186" s="2319"/>
      <c r="M186" s="1746" t="s">
        <v>3062</v>
      </c>
      <c r="N186" s="1746" t="s">
        <v>2861</v>
      </c>
    </row>
    <row r="187" customFormat="false" ht="13.5" hidden="false" customHeight="true" outlineLevel="0" collapsed="false">
      <c r="A187" s="2317"/>
      <c r="B187" s="1997"/>
      <c r="C187" s="2113"/>
      <c r="D187" s="931"/>
      <c r="E187" s="2042"/>
      <c r="F187" s="931"/>
      <c r="G187" s="2131"/>
      <c r="H187" s="2124"/>
      <c r="I187" s="2253"/>
      <c r="J187" s="1998"/>
      <c r="K187" s="2319"/>
      <c r="M187" s="1762" t="s">
        <v>253</v>
      </c>
      <c r="N187" s="1762" t="n">
        <v>3</v>
      </c>
    </row>
    <row r="188" customFormat="false" ht="13.5" hidden="false" customHeight="true" outlineLevel="0" collapsed="false">
      <c r="A188" s="2317"/>
      <c r="B188" s="1997"/>
      <c r="C188" s="2113" t="s">
        <v>3152</v>
      </c>
      <c r="D188" s="2113"/>
      <c r="E188" s="2113"/>
      <c r="F188" s="2113"/>
      <c r="G188" s="2277" t="n">
        <f aca="false">IF(E189=M187,N187,N188)</f>
        <v>0</v>
      </c>
      <c r="H188" s="2124"/>
      <c r="I188" s="2253"/>
      <c r="J188" s="1998"/>
      <c r="K188" s="2319"/>
      <c r="M188" s="1763" t="s">
        <v>254</v>
      </c>
      <c r="N188" s="1763" t="n">
        <v>0</v>
      </c>
    </row>
    <row r="189" customFormat="false" ht="13.5" hidden="false" customHeight="true" outlineLevel="0" collapsed="false">
      <c r="A189" s="2317"/>
      <c r="B189" s="1997"/>
      <c r="C189" s="2117"/>
      <c r="D189" s="2118" t="s">
        <v>2843</v>
      </c>
      <c r="E189" s="2118" t="str">
        <f aca="false">'Saisie et Calculateur'!D1027</f>
        <v>non</v>
      </c>
      <c r="F189" s="2118"/>
      <c r="G189" s="2277"/>
      <c r="H189" s="2124"/>
      <c r="I189" s="2253"/>
      <c r="J189" s="1998"/>
      <c r="K189" s="2319"/>
    </row>
    <row r="190" customFormat="false" ht="13.5" hidden="false" customHeight="true" outlineLevel="0" collapsed="false">
      <c r="A190" s="2317"/>
      <c r="B190" s="1997"/>
      <c r="C190" s="931"/>
      <c r="D190" s="931"/>
      <c r="E190" s="931"/>
      <c r="F190" s="931"/>
      <c r="G190" s="2232"/>
      <c r="H190" s="931"/>
      <c r="I190" s="931"/>
      <c r="J190" s="1998"/>
      <c r="K190" s="2319"/>
    </row>
    <row r="191" customFormat="false" ht="12.75" hidden="false" customHeight="true" outlineLevel="0" collapsed="false">
      <c r="A191" s="2317"/>
      <c r="B191" s="1997"/>
      <c r="C191" s="931"/>
      <c r="D191" s="931"/>
      <c r="E191" s="931"/>
      <c r="F191" s="931"/>
      <c r="G191" s="2232"/>
      <c r="H191" s="931"/>
      <c r="I191" s="931"/>
      <c r="J191" s="1998"/>
      <c r="K191" s="2319"/>
    </row>
    <row r="192" customFormat="false" ht="15" hidden="false" customHeight="true" outlineLevel="0" collapsed="false">
      <c r="A192" s="2317"/>
      <c r="B192" s="2033" t="s">
        <v>774</v>
      </c>
      <c r="C192" s="2259" t="s">
        <v>3153</v>
      </c>
      <c r="D192" s="2259"/>
      <c r="E192" s="2259"/>
      <c r="F192" s="2259"/>
      <c r="G192" s="2259"/>
      <c r="H192" s="2259"/>
      <c r="I192" s="2260" t="s">
        <v>2989</v>
      </c>
      <c r="J192" s="1998"/>
      <c r="K192" s="2319"/>
    </row>
    <row r="193" customFormat="false" ht="15.75" hidden="false" customHeight="true" outlineLevel="0" collapsed="false">
      <c r="A193" s="2317"/>
      <c r="B193" s="1997"/>
      <c r="C193" s="931"/>
      <c r="D193" s="931"/>
      <c r="E193" s="931"/>
      <c r="F193" s="931"/>
      <c r="G193" s="2232"/>
      <c r="H193" s="931"/>
      <c r="I193" s="931"/>
      <c r="J193" s="1998"/>
      <c r="K193" s="2319"/>
    </row>
    <row r="194" customFormat="false" ht="25.5" hidden="false" customHeight="true" outlineLevel="0" collapsed="false">
      <c r="A194" s="2317"/>
      <c r="B194" s="1997"/>
      <c r="C194" s="1597" t="s">
        <v>2822</v>
      </c>
      <c r="D194" s="1597"/>
      <c r="E194" s="1597"/>
      <c r="F194" s="1597"/>
      <c r="G194" s="1597"/>
      <c r="H194" s="2001" t="s">
        <v>2823</v>
      </c>
      <c r="I194" s="2001" t="s">
        <v>2824</v>
      </c>
      <c r="J194" s="1998"/>
      <c r="K194" s="2319"/>
      <c r="M194" s="2088" t="s">
        <v>3154</v>
      </c>
      <c r="N194" s="1763" t="s">
        <v>3075</v>
      </c>
      <c r="P194" s="1999"/>
    </row>
    <row r="195" customFormat="false" ht="12.75" hidden="false" customHeight="true" outlineLevel="0" collapsed="false">
      <c r="A195" s="2317"/>
      <c r="B195" s="1997"/>
      <c r="C195" s="2168" t="s">
        <v>3155</v>
      </c>
      <c r="D195" s="1999"/>
      <c r="E195" s="1999"/>
      <c r="F195" s="1999"/>
      <c r="G195" s="2109" t="n">
        <f aca="false">'Saisie et Calculateur'!E1033</f>
        <v>3</v>
      </c>
      <c r="H195" s="2124" t="n">
        <f aca="false">G195+G197+G200+G203</f>
        <v>5</v>
      </c>
      <c r="I195" s="2253" t="n">
        <f aca="false">IF(H195&lt;0,0,MIN(6,H195))</f>
        <v>5</v>
      </c>
      <c r="J195" s="1998"/>
      <c r="K195" s="2319"/>
      <c r="M195" s="2321"/>
      <c r="N195" s="1763" t="n">
        <v>0</v>
      </c>
    </row>
    <row r="196" customFormat="false" ht="12.75" hidden="false" customHeight="true" outlineLevel="0" collapsed="false">
      <c r="A196" s="2317"/>
      <c r="B196" s="1997"/>
      <c r="C196" s="2322"/>
      <c r="D196" s="1903"/>
      <c r="E196" s="931"/>
      <c r="F196" s="1999"/>
      <c r="G196" s="2109"/>
      <c r="H196" s="2124"/>
      <c r="I196" s="2253"/>
      <c r="J196" s="1998"/>
      <c r="K196" s="2319"/>
      <c r="M196" s="2321" t="n">
        <v>9</v>
      </c>
      <c r="N196" s="1763" t="n">
        <v>1</v>
      </c>
    </row>
    <row r="197" customFormat="false" ht="12.75" hidden="false" customHeight="true" outlineLevel="0" collapsed="false">
      <c r="A197" s="2317"/>
      <c r="B197" s="1997"/>
      <c r="C197" s="2170" t="s">
        <v>3156</v>
      </c>
      <c r="D197" s="1903"/>
      <c r="E197" s="1999"/>
      <c r="F197" s="1999"/>
      <c r="G197" s="2114" t="n">
        <f aca="false">IF(F198=M198,N198,IF(F198&lt;M197,N197,IF(F198&lt;M196,N196,N195)))</f>
        <v>1</v>
      </c>
      <c r="H197" s="2124"/>
      <c r="I197" s="2253"/>
      <c r="J197" s="1998"/>
      <c r="K197" s="2319"/>
      <c r="M197" s="2321" t="n">
        <v>4</v>
      </c>
      <c r="N197" s="1763" t="n">
        <v>2</v>
      </c>
    </row>
    <row r="198" customFormat="false" ht="12.75" hidden="false" customHeight="true" outlineLevel="0" collapsed="false">
      <c r="A198" s="2317"/>
      <c r="B198" s="1997"/>
      <c r="C198" s="2322"/>
      <c r="D198" s="1903" t="s">
        <v>3157</v>
      </c>
      <c r="F198" s="1903" t="n">
        <f aca="false">'Saisie et Calculateur'!E1034</f>
        <v>6</v>
      </c>
      <c r="G198" s="2114"/>
      <c r="H198" s="2124"/>
      <c r="I198" s="2253"/>
      <c r="J198" s="1998"/>
      <c r="K198" s="2319"/>
      <c r="M198" s="2321" t="n">
        <v>0</v>
      </c>
      <c r="N198" s="1763" t="n">
        <v>3</v>
      </c>
    </row>
    <row r="199" customFormat="false" ht="12.75" hidden="false" customHeight="true" outlineLevel="0" collapsed="false">
      <c r="A199" s="2317"/>
      <c r="B199" s="1997"/>
      <c r="C199" s="2322"/>
      <c r="D199" s="1903"/>
      <c r="E199" s="1999"/>
      <c r="F199" s="1999"/>
      <c r="G199" s="2114"/>
      <c r="H199" s="2124"/>
      <c r="I199" s="2253"/>
      <c r="J199" s="1998"/>
      <c r="K199" s="2319"/>
    </row>
    <row r="200" customFormat="false" ht="12.75" hidden="false" customHeight="true" outlineLevel="0" collapsed="false">
      <c r="A200" s="2317"/>
      <c r="B200" s="1997"/>
      <c r="C200" s="2170" t="s">
        <v>3158</v>
      </c>
      <c r="D200" s="1999"/>
      <c r="E200" s="1999"/>
      <c r="F200" s="1999"/>
      <c r="G200" s="2114" t="n">
        <f aca="false">IF(E201="",0,IF(E201=M201,N201,IF(E201=M202,N202,N203)))</f>
        <v>3</v>
      </c>
      <c r="H200" s="2124"/>
      <c r="I200" s="2253"/>
      <c r="J200" s="1998"/>
      <c r="K200" s="2319"/>
      <c r="M200" s="1554" t="s">
        <v>3159</v>
      </c>
      <c r="N200" s="1746" t="s">
        <v>3076</v>
      </c>
    </row>
    <row r="201" customFormat="false" ht="12.75" hidden="false" customHeight="true" outlineLevel="0" collapsed="false">
      <c r="A201" s="2317"/>
      <c r="B201" s="1997"/>
      <c r="C201" s="2111" t="s">
        <v>3160</v>
      </c>
      <c r="D201" s="2111"/>
      <c r="E201" s="2014" t="str">
        <f aca="false">CONCATENATE('Saisie et Calculateur'!C1036,'Saisie et Calculateur'!E1036)</f>
        <v>ouioui</v>
      </c>
      <c r="F201" s="2080"/>
      <c r="G201" s="2114"/>
      <c r="H201" s="2124"/>
      <c r="I201" s="2253"/>
      <c r="J201" s="1998"/>
      <c r="K201" s="2319"/>
      <c r="M201" s="1554" t="s">
        <v>3161</v>
      </c>
      <c r="N201" s="1597" t="n">
        <v>3</v>
      </c>
    </row>
    <row r="202" customFormat="false" ht="12.75" hidden="false" customHeight="true" outlineLevel="0" collapsed="false">
      <c r="A202" s="2317"/>
      <c r="B202" s="1997"/>
      <c r="C202" s="2162"/>
      <c r="D202" s="2080"/>
      <c r="E202" s="2080"/>
      <c r="F202" s="2080"/>
      <c r="G202" s="2114"/>
      <c r="H202" s="2124"/>
      <c r="I202" s="2253"/>
      <c r="J202" s="1998"/>
      <c r="K202" s="2319"/>
      <c r="M202" s="1554" t="s">
        <v>3162</v>
      </c>
      <c r="N202" s="1597" t="n">
        <v>0</v>
      </c>
    </row>
    <row r="203" customFormat="false" ht="12.75" hidden="false" customHeight="true" outlineLevel="0" collapsed="false">
      <c r="A203" s="2317"/>
      <c r="B203" s="1997"/>
      <c r="C203" s="2162" t="s">
        <v>3163</v>
      </c>
      <c r="D203" s="2080"/>
      <c r="E203" s="2080"/>
      <c r="F203" s="2080"/>
      <c r="G203" s="2115" t="n">
        <f aca="false">'Saisie et Calculateur'!E1038</f>
        <v>-2</v>
      </c>
      <c r="H203" s="2124"/>
      <c r="I203" s="2253"/>
      <c r="J203" s="1998"/>
      <c r="K203" s="2319"/>
      <c r="M203" s="1554" t="s">
        <v>3164</v>
      </c>
      <c r="N203" s="1597" t="n">
        <v>-3</v>
      </c>
    </row>
    <row r="204" customFormat="false" ht="15" hidden="false" customHeight="true" outlineLevel="0" collapsed="false">
      <c r="A204" s="2317"/>
      <c r="B204" s="1997"/>
      <c r="C204" s="2117"/>
      <c r="D204" s="2118"/>
      <c r="E204" s="2118"/>
      <c r="F204" s="2118"/>
      <c r="G204" s="2115"/>
      <c r="H204" s="2124"/>
      <c r="I204" s="2253"/>
      <c r="J204" s="1998"/>
      <c r="K204" s="2319"/>
      <c r="M204" s="1554" t="s">
        <v>3165</v>
      </c>
      <c r="N204" s="1597" t="n">
        <v>-3</v>
      </c>
    </row>
    <row r="205" customFormat="false" ht="15" hidden="false" customHeight="true" outlineLevel="0" collapsed="false">
      <c r="A205" s="2317"/>
      <c r="B205" s="1997"/>
      <c r="C205" s="931"/>
      <c r="D205" s="931"/>
      <c r="E205" s="931"/>
      <c r="F205" s="931"/>
      <c r="G205" s="2078"/>
      <c r="H205" s="1999"/>
      <c r="I205" s="1999"/>
      <c r="J205" s="1998"/>
      <c r="K205" s="2319"/>
      <c r="M205" s="931"/>
      <c r="N205" s="1999"/>
    </row>
    <row r="206" customFormat="false" ht="12.75" hidden="false" customHeight="true" outlineLevel="0" collapsed="false">
      <c r="A206" s="2317"/>
      <c r="B206" s="1997"/>
      <c r="C206" s="931"/>
      <c r="D206" s="931"/>
      <c r="E206" s="931"/>
      <c r="F206" s="931"/>
      <c r="G206" s="2232"/>
      <c r="H206" s="931"/>
      <c r="I206" s="931"/>
      <c r="J206" s="1998"/>
      <c r="K206" s="2319"/>
    </row>
    <row r="207" customFormat="false" ht="12.75" hidden="false" customHeight="true" outlineLevel="0" collapsed="false">
      <c r="A207" s="2317"/>
      <c r="B207" s="2033" t="s">
        <v>782</v>
      </c>
      <c r="C207" s="2259" t="s">
        <v>3166</v>
      </c>
      <c r="D207" s="2259"/>
      <c r="E207" s="2259"/>
      <c r="F207" s="2259"/>
      <c r="G207" s="2259"/>
      <c r="H207" s="2259"/>
      <c r="I207" s="2260" t="s">
        <v>2821</v>
      </c>
      <c r="J207" s="1998"/>
      <c r="K207" s="2319"/>
      <c r="N207" s="931"/>
      <c r="O207" s="931"/>
      <c r="P207" s="931"/>
    </row>
    <row r="208" customFormat="false" ht="12.75" hidden="false" customHeight="true" outlineLevel="0" collapsed="false">
      <c r="A208" s="2317"/>
      <c r="B208" s="1997"/>
      <c r="C208" s="931"/>
      <c r="D208" s="931"/>
      <c r="E208" s="931"/>
      <c r="F208" s="931"/>
      <c r="G208" s="2232"/>
      <c r="H208" s="931"/>
      <c r="I208" s="931"/>
      <c r="J208" s="1998"/>
      <c r="K208" s="2319"/>
      <c r="N208" s="931"/>
      <c r="O208" s="1753"/>
      <c r="P208" s="931"/>
    </row>
    <row r="209" customFormat="false" ht="25.5" hidden="false" customHeight="true" outlineLevel="0" collapsed="false">
      <c r="A209" s="2317"/>
      <c r="B209" s="1997"/>
      <c r="C209" s="1597" t="s">
        <v>2822</v>
      </c>
      <c r="D209" s="1597"/>
      <c r="E209" s="1597"/>
      <c r="F209" s="1597"/>
      <c r="G209" s="1597"/>
      <c r="H209" s="2001" t="s">
        <v>2823</v>
      </c>
      <c r="I209" s="2001" t="s">
        <v>2824</v>
      </c>
      <c r="J209" s="1998"/>
      <c r="K209" s="2319"/>
      <c r="N209" s="931"/>
      <c r="O209" s="1753"/>
      <c r="P209" s="931"/>
    </row>
    <row r="210" customFormat="false" ht="12.75" hidden="false" customHeight="true" outlineLevel="0" collapsed="false">
      <c r="A210" s="2317"/>
      <c r="B210" s="1997"/>
      <c r="C210" s="2108" t="s">
        <v>3167</v>
      </c>
      <c r="D210" s="2108"/>
      <c r="E210" s="2108"/>
      <c r="F210" s="2108"/>
      <c r="G210" s="2109" t="n">
        <f aca="false">'Saisie et Calculateur'!E1043</f>
        <v>2</v>
      </c>
      <c r="H210" s="2124" t="n">
        <f aca="false">G210+G212+G215</f>
        <v>5</v>
      </c>
      <c r="I210" s="2253" t="n">
        <f aca="false">IF(H210&lt;0,0,MIN(5,H210))</f>
        <v>5</v>
      </c>
      <c r="J210" s="1998"/>
      <c r="K210" s="2319"/>
    </row>
    <row r="211" customFormat="false" ht="12.75" hidden="false" customHeight="true" outlineLevel="0" collapsed="false">
      <c r="A211" s="2317"/>
      <c r="B211" s="1997"/>
      <c r="C211" s="2111"/>
      <c r="D211" s="2014"/>
      <c r="E211" s="2014"/>
      <c r="F211" s="2042"/>
      <c r="G211" s="2109"/>
      <c r="H211" s="2124"/>
      <c r="I211" s="2253"/>
      <c r="J211" s="1998"/>
      <c r="K211" s="2319"/>
      <c r="N211" s="1746" t="s">
        <v>2861</v>
      </c>
      <c r="O211" s="1746" t="s">
        <v>3168</v>
      </c>
      <c r="P211" s="1746" t="s">
        <v>3169</v>
      </c>
      <c r="Q211" s="1746" t="s">
        <v>3170</v>
      </c>
    </row>
    <row r="212" customFormat="false" ht="12.75" hidden="false" customHeight="true" outlineLevel="0" collapsed="false">
      <c r="A212" s="2317"/>
      <c r="B212" s="1997"/>
      <c r="C212" s="2126" t="s">
        <v>3171</v>
      </c>
      <c r="D212" s="2126"/>
      <c r="E212" s="2126"/>
      <c r="F212" s="2126"/>
      <c r="G212" s="2256" t="n">
        <f aca="false">IF(F213=M212,N212,N213)</f>
        <v>1</v>
      </c>
      <c r="H212" s="2124"/>
      <c r="I212" s="2253"/>
      <c r="J212" s="1998"/>
      <c r="K212" s="2319"/>
      <c r="M212" s="1554" t="s">
        <v>253</v>
      </c>
      <c r="N212" s="1597" t="n">
        <v>1</v>
      </c>
      <c r="O212" s="1597" t="n">
        <v>2</v>
      </c>
      <c r="P212" s="1597" t="n">
        <v>-2</v>
      </c>
      <c r="Q212" s="1597" t="n">
        <v>2</v>
      </c>
    </row>
    <row r="213" customFormat="false" ht="12.75" hidden="false" customHeight="true" outlineLevel="0" collapsed="false">
      <c r="A213" s="2317"/>
      <c r="B213" s="1997"/>
      <c r="C213" s="2113" t="s">
        <v>3172</v>
      </c>
      <c r="E213" s="650" t="s">
        <v>2843</v>
      </c>
      <c r="F213" s="2042" t="str">
        <f aca="false">'Saisie et Calculateur'!E1045</f>
        <v>oui</v>
      </c>
      <c r="G213" s="2256"/>
      <c r="H213" s="2124"/>
      <c r="I213" s="2253"/>
      <c r="J213" s="1998"/>
      <c r="K213" s="2319"/>
      <c r="M213" s="1554" t="s">
        <v>254</v>
      </c>
      <c r="N213" s="1597" t="n">
        <v>0</v>
      </c>
      <c r="O213" s="1597" t="n">
        <v>0</v>
      </c>
      <c r="P213" s="1597" t="n">
        <v>0</v>
      </c>
      <c r="Q213" s="1597" t="n">
        <v>0</v>
      </c>
    </row>
    <row r="214" customFormat="false" ht="12.75" hidden="false" customHeight="true" outlineLevel="0" collapsed="false">
      <c r="A214" s="2317"/>
      <c r="B214" s="1997"/>
      <c r="C214" s="2113"/>
      <c r="D214" s="2014"/>
      <c r="E214" s="2042"/>
      <c r="F214" s="931"/>
      <c r="G214" s="2256"/>
      <c r="H214" s="2124"/>
      <c r="I214" s="2253"/>
      <c r="J214" s="1998"/>
      <c r="K214" s="2319"/>
    </row>
    <row r="215" customFormat="false" ht="12.75" hidden="false" customHeight="true" outlineLevel="0" collapsed="false">
      <c r="A215" s="2317"/>
      <c r="B215" s="1997"/>
      <c r="C215" s="2113" t="s">
        <v>3173</v>
      </c>
      <c r="D215" s="2113"/>
      <c r="E215" s="2113"/>
      <c r="F215" s="2113"/>
      <c r="G215" s="2127" t="n">
        <f aca="false">MIN(2,SUM(F216:F218))</f>
        <v>2</v>
      </c>
      <c r="H215" s="2124"/>
      <c r="I215" s="2253"/>
      <c r="J215" s="1998"/>
      <c r="K215" s="2319"/>
    </row>
    <row r="216" customFormat="false" ht="12.75" hidden="false" customHeight="true" outlineLevel="0" collapsed="false">
      <c r="A216" s="2317"/>
      <c r="B216" s="1997"/>
      <c r="C216" s="1769" t="s">
        <v>3174</v>
      </c>
      <c r="D216" s="650" t="s">
        <v>2843</v>
      </c>
      <c r="E216" s="2041" t="str">
        <f aca="false">'Saisie et Calculateur'!E1048</f>
        <v>oui</v>
      </c>
      <c r="F216" s="931" t="n">
        <f aca="false">IF(E216=M212,O212,O213)</f>
        <v>2</v>
      </c>
      <c r="G216" s="2127"/>
      <c r="H216" s="2124"/>
      <c r="I216" s="2253"/>
      <c r="J216" s="1998"/>
      <c r="K216" s="2319"/>
    </row>
    <row r="217" customFormat="false" ht="12.75" hidden="false" customHeight="true" outlineLevel="0" collapsed="false">
      <c r="A217" s="2317"/>
      <c r="B217" s="1997"/>
      <c r="C217" s="1769" t="s">
        <v>3175</v>
      </c>
      <c r="D217" s="650" t="s">
        <v>2843</v>
      </c>
      <c r="E217" s="2041" t="str">
        <f aca="false">'Saisie et Calculateur'!E1049</f>
        <v>non</v>
      </c>
      <c r="F217" s="931" t="n">
        <f aca="false">IF(E217=M212,P212,P213)</f>
        <v>0</v>
      </c>
      <c r="G217" s="2127"/>
      <c r="H217" s="2124"/>
      <c r="I217" s="2253"/>
      <c r="J217" s="1998"/>
      <c r="K217" s="2319"/>
    </row>
    <row r="218" customFormat="false" ht="12.75" hidden="false" customHeight="true" outlineLevel="0" collapsed="false">
      <c r="A218" s="2317"/>
      <c r="B218" s="1997"/>
      <c r="C218" s="2117" t="s">
        <v>3176</v>
      </c>
      <c r="D218" s="2293" t="s">
        <v>2843</v>
      </c>
      <c r="E218" s="2159" t="str">
        <f aca="false">'Saisie et Calculateur'!E1051</f>
        <v>non</v>
      </c>
      <c r="F218" s="2118" t="n">
        <f aca="false">IF(E218=M212,Q212,Q213)</f>
        <v>0</v>
      </c>
      <c r="G218" s="2127"/>
      <c r="H218" s="2124"/>
      <c r="I218" s="2253"/>
      <c r="J218" s="1998"/>
      <c r="K218" s="2319"/>
    </row>
    <row r="219" customFormat="false" ht="12.75" hidden="false" customHeight="true" outlineLevel="0" collapsed="false">
      <c r="A219" s="2317"/>
      <c r="B219" s="1997"/>
      <c r="C219" s="931"/>
      <c r="D219" s="931"/>
      <c r="E219" s="931"/>
      <c r="F219" s="931"/>
      <c r="G219" s="2232"/>
      <c r="H219" s="931"/>
      <c r="I219" s="931"/>
      <c r="J219" s="1998"/>
      <c r="K219" s="2319"/>
    </row>
    <row r="220" customFormat="false" ht="12.75" hidden="false" customHeight="true" outlineLevel="0" collapsed="false">
      <c r="A220" s="2317"/>
      <c r="B220" s="1997"/>
      <c r="C220" s="931"/>
      <c r="D220" s="931"/>
      <c r="E220" s="931"/>
      <c r="F220" s="931"/>
      <c r="G220" s="2232"/>
      <c r="H220" s="931"/>
      <c r="I220" s="931"/>
      <c r="J220" s="1998"/>
      <c r="K220" s="2319"/>
    </row>
    <row r="221" customFormat="false" ht="12.75" hidden="false" customHeight="true" outlineLevel="0" collapsed="false">
      <c r="A221" s="2317"/>
      <c r="B221" s="2033" t="s">
        <v>751</v>
      </c>
      <c r="C221" s="2259" t="s">
        <v>3177</v>
      </c>
      <c r="D221" s="2259"/>
      <c r="E221" s="2259"/>
      <c r="F221" s="2259"/>
      <c r="G221" s="2259"/>
      <c r="H221" s="2259"/>
      <c r="I221" s="2260" t="s">
        <v>2821</v>
      </c>
      <c r="J221" s="1998"/>
      <c r="K221" s="2319"/>
    </row>
    <row r="222" customFormat="false" ht="12.75" hidden="false" customHeight="true" outlineLevel="0" collapsed="false">
      <c r="A222" s="2317"/>
      <c r="B222" s="1997"/>
      <c r="C222" s="931"/>
      <c r="D222" s="931"/>
      <c r="E222" s="931"/>
      <c r="F222" s="931"/>
      <c r="G222" s="2232"/>
      <c r="H222" s="931"/>
      <c r="I222" s="931"/>
      <c r="J222" s="1998"/>
      <c r="K222" s="2319"/>
    </row>
    <row r="223" customFormat="false" ht="25.5" hidden="false" customHeight="true" outlineLevel="0" collapsed="false">
      <c r="A223" s="2317"/>
      <c r="B223" s="1997"/>
      <c r="C223" s="1597" t="s">
        <v>2822</v>
      </c>
      <c r="D223" s="1597"/>
      <c r="E223" s="1597"/>
      <c r="F223" s="1597"/>
      <c r="G223" s="1597"/>
      <c r="H223" s="2001" t="s">
        <v>2823</v>
      </c>
      <c r="I223" s="2001" t="s">
        <v>2824</v>
      </c>
      <c r="J223" s="1998"/>
      <c r="K223" s="2319"/>
    </row>
    <row r="224" customFormat="false" ht="12.75" hidden="false" customHeight="true" outlineLevel="0" collapsed="false">
      <c r="A224" s="2317"/>
      <c r="B224" s="1997"/>
      <c r="C224" s="2108" t="s">
        <v>3178</v>
      </c>
      <c r="D224" s="2108"/>
      <c r="E224" s="2108"/>
      <c r="F224" s="2108"/>
      <c r="G224" s="2109" t="n">
        <f aca="false">MIN(3,(E225))</f>
        <v>0</v>
      </c>
      <c r="H224" s="2124" t="n">
        <f aca="false">G224+G227+G230</f>
        <v>2</v>
      </c>
      <c r="I224" s="2253" t="n">
        <f aca="false">MIN(5,H224)</f>
        <v>2</v>
      </c>
      <c r="J224" s="1998"/>
      <c r="K224" s="2319"/>
      <c r="N224" s="1746" t="s">
        <v>2861</v>
      </c>
    </row>
    <row r="225" customFormat="false" ht="12.75" hidden="false" customHeight="true" outlineLevel="0" collapsed="false">
      <c r="A225" s="2317"/>
      <c r="B225" s="1997"/>
      <c r="C225" s="1769"/>
      <c r="D225" s="931" t="s">
        <v>3179</v>
      </c>
      <c r="E225" s="2041" t="n">
        <f aca="false">'Saisie et Calculateur'!D1056</f>
        <v>0</v>
      </c>
      <c r="F225" s="931"/>
      <c r="G225" s="2109"/>
      <c r="H225" s="2124"/>
      <c r="I225" s="2253"/>
      <c r="J225" s="1998"/>
      <c r="K225" s="2319"/>
      <c r="M225" s="1554" t="s">
        <v>253</v>
      </c>
      <c r="N225" s="1597" t="n">
        <v>2</v>
      </c>
    </row>
    <row r="226" customFormat="false" ht="12.75" hidden="false" customHeight="true" outlineLevel="0" collapsed="false">
      <c r="A226" s="2317"/>
      <c r="B226" s="1997"/>
      <c r="C226" s="1769"/>
      <c r="D226" s="931"/>
      <c r="E226" s="931"/>
      <c r="F226" s="931"/>
      <c r="G226" s="2109"/>
      <c r="H226" s="2124"/>
      <c r="I226" s="2253"/>
      <c r="J226" s="1998"/>
      <c r="K226" s="2319"/>
      <c r="M226" s="1554" t="s">
        <v>254</v>
      </c>
      <c r="N226" s="1597" t="n">
        <v>0</v>
      </c>
    </row>
    <row r="227" customFormat="false" ht="12.75" hidden="false" customHeight="true" outlineLevel="0" collapsed="false">
      <c r="A227" s="2317"/>
      <c r="B227" s="1997"/>
      <c r="C227" s="2126" t="s">
        <v>3180</v>
      </c>
      <c r="D227" s="2126"/>
      <c r="E227" s="2126"/>
      <c r="F227" s="2126"/>
      <c r="G227" s="2256" t="n">
        <f aca="false">IF(E228=M225,N225,N226)</f>
        <v>0</v>
      </c>
      <c r="H227" s="2124"/>
      <c r="I227" s="2253"/>
      <c r="J227" s="1998"/>
      <c r="K227" s="2319"/>
    </row>
    <row r="228" customFormat="false" ht="12.75" hidden="false" customHeight="true" outlineLevel="0" collapsed="false">
      <c r="A228" s="2317"/>
      <c r="B228" s="1997"/>
      <c r="C228" s="2113"/>
      <c r="D228" s="650" t="s">
        <v>2843</v>
      </c>
      <c r="E228" s="2014" t="str">
        <f aca="false">'Saisie et Calculateur'!D1058</f>
        <v>non</v>
      </c>
      <c r="F228" s="931"/>
      <c r="G228" s="2256"/>
      <c r="H228" s="2124"/>
      <c r="I228" s="2253"/>
      <c r="J228" s="1998"/>
      <c r="K228" s="2319"/>
    </row>
    <row r="229" customFormat="false" ht="12.75" hidden="false" customHeight="true" outlineLevel="0" collapsed="false">
      <c r="A229" s="2317"/>
      <c r="B229" s="1997"/>
      <c r="C229" s="2113"/>
      <c r="D229" s="931"/>
      <c r="E229" s="2042"/>
      <c r="F229" s="931"/>
      <c r="G229" s="2256"/>
      <c r="H229" s="2124"/>
      <c r="I229" s="2253"/>
      <c r="J229" s="1998"/>
      <c r="K229" s="2319"/>
    </row>
    <row r="230" customFormat="false" ht="12.75" hidden="false" customHeight="true" outlineLevel="0" collapsed="false">
      <c r="A230" s="2317"/>
      <c r="B230" s="1997"/>
      <c r="C230" s="2113" t="s">
        <v>3181</v>
      </c>
      <c r="D230" s="2113"/>
      <c r="E230" s="2113"/>
      <c r="F230" s="2113"/>
      <c r="G230" s="2277" t="n">
        <f aca="false">MIN(2,E231)</f>
        <v>2</v>
      </c>
      <c r="H230" s="2124"/>
      <c r="I230" s="2253"/>
      <c r="J230" s="1998"/>
      <c r="K230" s="2319"/>
    </row>
    <row r="231" customFormat="false" ht="12.75" hidden="false" customHeight="true" outlineLevel="0" collapsed="false">
      <c r="A231" s="2317"/>
      <c r="B231" s="1997"/>
      <c r="C231" s="2323"/>
      <c r="D231" s="2118" t="s">
        <v>3182</v>
      </c>
      <c r="E231" s="2159" t="n">
        <f aca="false">'Saisie et Calculateur'!D1060</f>
        <v>4</v>
      </c>
      <c r="F231" s="2159"/>
      <c r="G231" s="2277"/>
      <c r="H231" s="2124"/>
      <c r="I231" s="2253"/>
      <c r="J231" s="1998"/>
      <c r="K231" s="2319"/>
    </row>
    <row r="232" customFormat="false" ht="12.75" hidden="false" customHeight="true" outlineLevel="0" collapsed="false">
      <c r="A232" s="2317"/>
      <c r="B232" s="2095"/>
      <c r="C232" s="2134"/>
      <c r="D232" s="2134"/>
      <c r="E232" s="2134"/>
      <c r="F232" s="2134"/>
      <c r="G232" s="2279"/>
      <c r="H232" s="2134"/>
      <c r="I232" s="2134"/>
      <c r="J232" s="2100"/>
      <c r="K232" s="2319"/>
    </row>
    <row r="233" customFormat="false" ht="12.75" hidden="false" customHeight="true" outlineLevel="0" collapsed="false">
      <c r="G233" s="0"/>
    </row>
    <row r="235" customFormat="false" ht="12.75" hidden="false" customHeight="true" outlineLevel="0" collapsed="false">
      <c r="A235" s="2324" t="s">
        <v>3183</v>
      </c>
      <c r="B235" s="1992" t="s">
        <v>791</v>
      </c>
      <c r="C235" s="2247" t="s">
        <v>3184</v>
      </c>
      <c r="D235" s="2247"/>
      <c r="E235" s="2247"/>
      <c r="F235" s="2247"/>
      <c r="G235" s="2247"/>
      <c r="H235" s="2247"/>
      <c r="I235" s="2248" t="s">
        <v>2989</v>
      </c>
      <c r="J235" s="1995"/>
      <c r="K235" s="2325" t="n">
        <f aca="false">MIN(25,SUM(I238,I259,I269,I276,I284))</f>
        <v>19</v>
      </c>
    </row>
    <row r="236" customFormat="false" ht="12.75" hidden="false" customHeight="true" outlineLevel="0" collapsed="false">
      <c r="A236" s="2324"/>
      <c r="B236" s="1997"/>
      <c r="C236" s="931"/>
      <c r="D236" s="931"/>
      <c r="E236" s="931"/>
      <c r="F236" s="931"/>
      <c r="G236" s="2232"/>
      <c r="H236" s="931"/>
      <c r="I236" s="931"/>
      <c r="J236" s="1998"/>
      <c r="K236" s="2325"/>
      <c r="N236" s="1999"/>
      <c r="O236" s="1999"/>
    </row>
    <row r="237" customFormat="false" ht="25.5" hidden="false" customHeight="true" outlineLevel="0" collapsed="false">
      <c r="A237" s="2324"/>
      <c r="B237" s="1997"/>
      <c r="C237" s="2000" t="s">
        <v>2822</v>
      </c>
      <c r="D237" s="2000"/>
      <c r="E237" s="2000"/>
      <c r="F237" s="2000"/>
      <c r="G237" s="2000"/>
      <c r="H237" s="2001" t="s">
        <v>2823</v>
      </c>
      <c r="I237" s="2001" t="s">
        <v>2824</v>
      </c>
      <c r="J237" s="1998"/>
      <c r="K237" s="2325"/>
      <c r="N237" s="1903"/>
      <c r="O237" s="1999"/>
    </row>
    <row r="238" customFormat="false" ht="12.75" hidden="false" customHeight="true" outlineLevel="0" collapsed="false">
      <c r="A238" s="2324"/>
      <c r="B238" s="1997"/>
      <c r="C238" s="2137" t="s">
        <v>3185</v>
      </c>
      <c r="D238" s="2137"/>
      <c r="E238" s="2137"/>
      <c r="F238" s="2137"/>
      <c r="G238" s="2109" t="n">
        <f aca="false">IF(D239=O238,O240,IF(D239=Q238,Q240,N240))</f>
        <v>2</v>
      </c>
      <c r="H238" s="2124" t="n">
        <f aca="false">G238+G241+G244+G247+G250+G253</f>
        <v>4</v>
      </c>
      <c r="I238" s="2253" t="n">
        <f aca="false">IF(H238&lt;0,0,MIN(6,H238))</f>
        <v>4</v>
      </c>
      <c r="J238" s="1998"/>
      <c r="K238" s="2325"/>
      <c r="M238" s="2053" t="s">
        <v>3186</v>
      </c>
      <c r="N238" s="2039" t="s">
        <v>254</v>
      </c>
      <c r="O238" s="2326" t="s">
        <v>3187</v>
      </c>
      <c r="P238" s="2326"/>
      <c r="Q238" s="2326" t="s">
        <v>1706</v>
      </c>
      <c r="R238" s="2326"/>
    </row>
    <row r="239" customFormat="false" ht="12.75" hidden="false" customHeight="true" outlineLevel="0" collapsed="false">
      <c r="A239" s="2324"/>
      <c r="B239" s="1997"/>
      <c r="C239" s="2327"/>
      <c r="D239" s="2041" t="str">
        <f aca="false">'Saisie et Calculateur'!G1065</f>
        <v>Oui, en tant que responsable</v>
      </c>
      <c r="E239" s="2041"/>
      <c r="F239" s="2080"/>
      <c r="G239" s="2109"/>
      <c r="H239" s="2124"/>
      <c r="I239" s="2253"/>
      <c r="J239" s="1998"/>
      <c r="K239" s="2325"/>
      <c r="M239" s="2053"/>
      <c r="N239" s="2039"/>
      <c r="O239" s="2326"/>
      <c r="P239" s="2326"/>
      <c r="Q239" s="2326"/>
      <c r="R239" s="2326"/>
    </row>
    <row r="240" customFormat="false" ht="12.75" hidden="false" customHeight="true" outlineLevel="0" collapsed="false">
      <c r="A240" s="2324"/>
      <c r="B240" s="1997"/>
      <c r="C240" s="1769"/>
      <c r="D240" s="650"/>
      <c r="E240" s="2041"/>
      <c r="F240" s="931"/>
      <c r="G240" s="2109"/>
      <c r="H240" s="2124"/>
      <c r="I240" s="2253"/>
      <c r="J240" s="1998"/>
      <c r="K240" s="2325"/>
      <c r="M240" s="2009"/>
      <c r="N240" s="2039" t="n">
        <v>0</v>
      </c>
      <c r="O240" s="2039" t="n">
        <v>1</v>
      </c>
      <c r="P240" s="2039"/>
      <c r="Q240" s="2062" t="n">
        <v>2</v>
      </c>
      <c r="R240" s="2062"/>
    </row>
    <row r="241" customFormat="false" ht="12.75" hidden="false" customHeight="true" outlineLevel="0" collapsed="false">
      <c r="A241" s="2324"/>
      <c r="B241" s="1997"/>
      <c r="C241" s="2111" t="s">
        <v>3188</v>
      </c>
      <c r="D241" s="2111"/>
      <c r="E241" s="2111"/>
      <c r="F241" s="2111"/>
      <c r="G241" s="2114" t="n">
        <f aca="false">IF(D242=O238,O240,IF(D242=Q238,Q240,N240))</f>
        <v>2</v>
      </c>
      <c r="H241" s="2124"/>
      <c r="I241" s="2253"/>
      <c r="J241" s="1998"/>
      <c r="K241" s="2325"/>
    </row>
    <row r="242" customFormat="false" ht="12.75" hidden="false" customHeight="true" outlineLevel="0" collapsed="false">
      <c r="A242" s="2324"/>
      <c r="B242" s="1997"/>
      <c r="C242" s="2327"/>
      <c r="D242" s="2065" t="str">
        <f aca="false">'Saisie et Calculateur'!G1068</f>
        <v>Oui, en tant que responsable</v>
      </c>
      <c r="E242" s="2065"/>
      <c r="F242" s="2080"/>
      <c r="G242" s="2114"/>
      <c r="H242" s="2124"/>
      <c r="I242" s="2253"/>
      <c r="J242" s="1998"/>
      <c r="K242" s="2325"/>
    </row>
    <row r="243" customFormat="false" ht="12.75" hidden="false" customHeight="true" outlineLevel="0" collapsed="false">
      <c r="A243" s="2324"/>
      <c r="B243" s="1997"/>
      <c r="C243" s="1769"/>
      <c r="D243" s="650"/>
      <c r="E243" s="2014"/>
      <c r="F243" s="2042"/>
      <c r="G243" s="2114"/>
      <c r="H243" s="2124"/>
      <c r="I243" s="2253"/>
      <c r="J243" s="1998"/>
      <c r="K243" s="2325"/>
    </row>
    <row r="244" customFormat="false" ht="12.75" hidden="false" customHeight="true" outlineLevel="0" collapsed="false">
      <c r="A244" s="2324"/>
      <c r="B244" s="1997"/>
      <c r="C244" s="2208" t="s">
        <v>3189</v>
      </c>
      <c r="D244" s="2328"/>
      <c r="E244" s="2328"/>
      <c r="F244" s="2328"/>
      <c r="G244" s="2329" t="n">
        <f aca="false">IF(E245=M246,N246,N247)</f>
        <v>0</v>
      </c>
      <c r="H244" s="2124"/>
      <c r="I244" s="2253"/>
      <c r="J244" s="1998"/>
      <c r="K244" s="2325"/>
      <c r="N244" s="1999"/>
    </row>
    <row r="245" customFormat="false" ht="12.75" hidden="false" customHeight="true" outlineLevel="0" collapsed="false">
      <c r="A245" s="2324"/>
      <c r="B245" s="1997"/>
      <c r="C245" s="2330"/>
      <c r="D245" s="2307" t="s">
        <v>2843</v>
      </c>
      <c r="E245" s="2014" t="str">
        <f aca="false">'Saisie et Calculateur'!G1071</f>
        <v>non</v>
      </c>
      <c r="F245" s="2328"/>
      <c r="G245" s="2329"/>
      <c r="H245" s="2124"/>
      <c r="I245" s="2253"/>
      <c r="J245" s="1998"/>
      <c r="K245" s="2325"/>
      <c r="M245" s="1746"/>
      <c r="N245" s="1763" t="s">
        <v>3076</v>
      </c>
      <c r="O245" s="1763" t="s">
        <v>3190</v>
      </c>
      <c r="P245" s="1763" t="s">
        <v>3191</v>
      </c>
    </row>
    <row r="246" customFormat="false" ht="12.75" hidden="false" customHeight="true" outlineLevel="0" collapsed="false">
      <c r="A246" s="2324"/>
      <c r="B246" s="1997"/>
      <c r="C246" s="2330"/>
      <c r="D246" s="2014"/>
      <c r="E246" s="2328"/>
      <c r="F246" s="2328"/>
      <c r="G246" s="2329"/>
      <c r="H246" s="2124"/>
      <c r="I246" s="2253"/>
      <c r="J246" s="1998"/>
      <c r="K246" s="2325"/>
      <c r="M246" s="1762" t="s">
        <v>253</v>
      </c>
      <c r="N246" s="1763" t="n">
        <v>2</v>
      </c>
      <c r="O246" s="1763" t="n">
        <v>2</v>
      </c>
      <c r="P246" s="1763" t="n">
        <v>2</v>
      </c>
    </row>
    <row r="247" customFormat="false" ht="12.75" hidden="false" customHeight="true" outlineLevel="0" collapsed="false">
      <c r="A247" s="2324"/>
      <c r="B247" s="1997"/>
      <c r="C247" s="2113" t="s">
        <v>3192</v>
      </c>
      <c r="D247" s="1435"/>
      <c r="E247" s="1435"/>
      <c r="F247" s="1435"/>
      <c r="G247" s="2329" t="n">
        <f aca="false">IF(E248=M246,O246,O247)</f>
        <v>0</v>
      </c>
      <c r="H247" s="2124"/>
      <c r="I247" s="2253"/>
      <c r="J247" s="1998"/>
      <c r="K247" s="2325"/>
      <c r="M247" s="1763" t="s">
        <v>254</v>
      </c>
      <c r="N247" s="1763" t="n">
        <v>0</v>
      </c>
      <c r="O247" s="1763" t="n">
        <v>0</v>
      </c>
      <c r="P247" s="1763" t="n">
        <v>0</v>
      </c>
    </row>
    <row r="248" customFormat="false" ht="12.75" hidden="false" customHeight="true" outlineLevel="0" collapsed="false">
      <c r="A248" s="2324"/>
      <c r="B248" s="1997"/>
      <c r="C248" s="2111"/>
      <c r="D248" s="2307" t="s">
        <v>2843</v>
      </c>
      <c r="E248" s="2014" t="str">
        <f aca="false">'Saisie et Calculateur'!D1073</f>
        <v>non</v>
      </c>
      <c r="F248" s="2307"/>
      <c r="G248" s="2329"/>
      <c r="H248" s="2124"/>
      <c r="I248" s="2253"/>
      <c r="J248" s="1998"/>
      <c r="K248" s="2325"/>
    </row>
    <row r="249" customFormat="false" ht="12.75" hidden="false" customHeight="true" outlineLevel="0" collapsed="false">
      <c r="A249" s="2324"/>
      <c r="B249" s="1997"/>
      <c r="C249" s="2111"/>
      <c r="D249" s="2014"/>
      <c r="E249" s="2014"/>
      <c r="F249" s="2307"/>
      <c r="G249" s="2329"/>
      <c r="H249" s="2124"/>
      <c r="I249" s="2253"/>
      <c r="J249" s="1998"/>
      <c r="K249" s="2325"/>
    </row>
    <row r="250" customFormat="false" ht="12.75" hidden="false" customHeight="true" outlineLevel="0" collapsed="false">
      <c r="A250" s="2324"/>
      <c r="B250" s="1997"/>
      <c r="C250" s="1769" t="s">
        <v>3193</v>
      </c>
      <c r="D250" s="2014"/>
      <c r="E250" s="2014"/>
      <c r="F250" s="2307"/>
      <c r="G250" s="2114" t="n">
        <f aca="false">IF(E251=M246,P246,P247)</f>
        <v>0</v>
      </c>
      <c r="H250" s="2124"/>
      <c r="I250" s="2253"/>
      <c r="J250" s="1998"/>
      <c r="K250" s="2325"/>
    </row>
    <row r="251" customFormat="false" ht="15.75" hidden="false" customHeight="true" outlineLevel="0" collapsed="false">
      <c r="A251" s="2324"/>
      <c r="B251" s="1997"/>
      <c r="C251" s="1769"/>
      <c r="D251" s="650" t="s">
        <v>2843</v>
      </c>
      <c r="E251" s="2041" t="str">
        <f aca="false">'Saisie et Calculateur'!C1075</f>
        <v>non</v>
      </c>
      <c r="F251" s="931"/>
      <c r="G251" s="2114"/>
      <c r="H251" s="2124"/>
      <c r="I251" s="2253"/>
      <c r="J251" s="1998"/>
      <c r="K251" s="2325"/>
    </row>
    <row r="252" customFormat="false" ht="15.75" hidden="false" customHeight="true" outlineLevel="0" collapsed="false">
      <c r="A252" s="2324"/>
      <c r="B252" s="1997"/>
      <c r="C252" s="1769"/>
      <c r="D252" s="650"/>
      <c r="E252" s="2041"/>
      <c r="F252" s="931"/>
      <c r="G252" s="2114"/>
      <c r="H252" s="2124"/>
      <c r="I252" s="2253"/>
      <c r="J252" s="1998"/>
      <c r="K252" s="2325"/>
    </row>
    <row r="253" customFormat="false" ht="15.75" hidden="false" customHeight="true" outlineLevel="0" collapsed="false">
      <c r="A253" s="2324"/>
      <c r="B253" s="1997"/>
      <c r="C253" s="2117" t="s">
        <v>3194</v>
      </c>
      <c r="D253" s="2293"/>
      <c r="E253" s="2159" t="str">
        <f aca="false">'Saisie et Calculateur'!C1077</f>
        <v>non</v>
      </c>
      <c r="F253" s="2118" t="s">
        <v>3133</v>
      </c>
      <c r="G253" s="2115" t="n">
        <f aca="false">IF(E253="oui",-2,0)</f>
        <v>0</v>
      </c>
      <c r="H253" s="2124"/>
      <c r="I253" s="2253"/>
      <c r="J253" s="1998"/>
      <c r="K253" s="2325"/>
    </row>
    <row r="254" customFormat="false" ht="12.75" hidden="false" customHeight="true" outlineLevel="0" collapsed="false">
      <c r="A254" s="2324"/>
      <c r="B254" s="1997"/>
      <c r="C254" s="931"/>
      <c r="D254" s="931"/>
      <c r="E254" s="931"/>
      <c r="F254" s="931"/>
      <c r="G254" s="2232"/>
      <c r="H254" s="931"/>
      <c r="I254" s="931"/>
      <c r="J254" s="1998"/>
      <c r="K254" s="2325"/>
    </row>
    <row r="255" customFormat="false" ht="12.75" hidden="false" customHeight="true" outlineLevel="0" collapsed="false">
      <c r="A255" s="2324"/>
      <c r="B255" s="1997"/>
      <c r="C255" s="931"/>
      <c r="D255" s="931"/>
      <c r="E255" s="931"/>
      <c r="F255" s="931"/>
      <c r="G255" s="2232"/>
      <c r="H255" s="931"/>
      <c r="I255" s="931"/>
      <c r="J255" s="1998"/>
      <c r="K255" s="2325"/>
    </row>
    <row r="256" customFormat="false" ht="12.75" hidden="false" customHeight="true" outlineLevel="0" collapsed="false">
      <c r="A256" s="2324"/>
      <c r="B256" s="2033" t="s">
        <v>800</v>
      </c>
      <c r="C256" s="2259" t="s">
        <v>3195</v>
      </c>
      <c r="D256" s="2259"/>
      <c r="E256" s="2259"/>
      <c r="F256" s="2259"/>
      <c r="G256" s="2259"/>
      <c r="H256" s="2259"/>
      <c r="I256" s="2260" t="s">
        <v>2989</v>
      </c>
      <c r="J256" s="1998"/>
      <c r="K256" s="2325"/>
      <c r="N256" s="931"/>
      <c r="O256" s="931"/>
    </row>
    <row r="257" customFormat="false" ht="12.75" hidden="false" customHeight="true" outlineLevel="0" collapsed="false">
      <c r="A257" s="2324"/>
      <c r="B257" s="1997"/>
      <c r="C257" s="931"/>
      <c r="D257" s="931"/>
      <c r="E257" s="931"/>
      <c r="F257" s="931"/>
      <c r="G257" s="2232"/>
      <c r="H257" s="931"/>
      <c r="I257" s="931"/>
      <c r="J257" s="1998"/>
      <c r="K257" s="2325"/>
      <c r="N257" s="931"/>
      <c r="O257" s="1999"/>
    </row>
    <row r="258" customFormat="false" ht="25.5" hidden="false" customHeight="true" outlineLevel="0" collapsed="false">
      <c r="A258" s="2324"/>
      <c r="B258" s="1997"/>
      <c r="C258" s="1597" t="s">
        <v>2822</v>
      </c>
      <c r="D258" s="1597"/>
      <c r="E258" s="1597"/>
      <c r="F258" s="1597"/>
      <c r="G258" s="1597"/>
      <c r="H258" s="2001" t="s">
        <v>2823</v>
      </c>
      <c r="I258" s="1810" t="s">
        <v>2824</v>
      </c>
      <c r="J258" s="1998"/>
      <c r="K258" s="2325"/>
      <c r="M258" s="1746" t="s">
        <v>3075</v>
      </c>
      <c r="Q258" s="1746" t="s">
        <v>2861</v>
      </c>
      <c r="S258" s="931"/>
    </row>
    <row r="259" customFormat="false" ht="12.75" hidden="false" customHeight="true" outlineLevel="0" collapsed="false">
      <c r="A259" s="2324"/>
      <c r="B259" s="1997"/>
      <c r="C259" s="2108" t="s">
        <v>3196</v>
      </c>
      <c r="D259" s="2108"/>
      <c r="E259" s="2108"/>
      <c r="F259" s="2108"/>
      <c r="G259" s="2109" t="n">
        <f aca="false">IF(E260=M259,O259,IF(E260=M260,O260,O261))</f>
        <v>2</v>
      </c>
      <c r="H259" s="2124" t="n">
        <f aca="false">G259+G262</f>
        <v>2</v>
      </c>
      <c r="I259" s="2253" t="n">
        <f aca="false">MIN(6,H259)</f>
        <v>2</v>
      </c>
      <c r="J259" s="1998"/>
      <c r="K259" s="2325"/>
      <c r="M259" s="2331" t="s">
        <v>3197</v>
      </c>
      <c r="N259" s="2331"/>
      <c r="O259" s="1597" t="n">
        <v>4</v>
      </c>
      <c r="Q259" s="1554" t="s">
        <v>253</v>
      </c>
      <c r="R259" s="1746" t="n">
        <v>6</v>
      </c>
    </row>
    <row r="260" customFormat="false" ht="12.75" hidden="false" customHeight="true" outlineLevel="0" collapsed="false">
      <c r="A260" s="2324"/>
      <c r="B260" s="1997"/>
      <c r="C260" s="1769"/>
      <c r="D260" s="931" t="s">
        <v>2843</v>
      </c>
      <c r="E260" s="931" t="str">
        <f aca="false">'Saisie et Calculateur'!C1082</f>
        <v>oui démarche non certifiée</v>
      </c>
      <c r="F260" s="931"/>
      <c r="G260" s="2109"/>
      <c r="H260" s="2124"/>
      <c r="I260" s="2253"/>
      <c r="J260" s="1998"/>
      <c r="K260" s="2325"/>
      <c r="M260" s="2331" t="s">
        <v>1714</v>
      </c>
      <c r="N260" s="2331"/>
      <c r="O260" s="1597" t="n">
        <v>2</v>
      </c>
      <c r="Q260" s="1554" t="s">
        <v>254</v>
      </c>
      <c r="R260" s="1746" t="n">
        <v>0</v>
      </c>
    </row>
    <row r="261" customFormat="false" ht="12.75" hidden="false" customHeight="true" outlineLevel="0" collapsed="false">
      <c r="A261" s="2324"/>
      <c r="B261" s="1997"/>
      <c r="C261" s="1769"/>
      <c r="D261" s="931"/>
      <c r="E261" s="931"/>
      <c r="F261" s="931"/>
      <c r="G261" s="2109"/>
      <c r="H261" s="2124"/>
      <c r="I261" s="2253"/>
      <c r="J261" s="1998"/>
      <c r="K261" s="2325"/>
      <c r="M261" s="2331" t="s">
        <v>254</v>
      </c>
      <c r="N261" s="2331"/>
      <c r="O261" s="1597" t="n">
        <v>0</v>
      </c>
    </row>
    <row r="262" customFormat="false" ht="12.75" hidden="false" customHeight="true" outlineLevel="0" collapsed="false">
      <c r="A262" s="2324"/>
      <c r="B262" s="1997"/>
      <c r="C262" s="2126" t="s">
        <v>3198</v>
      </c>
      <c r="D262" s="2126"/>
      <c r="E262" s="2126"/>
      <c r="F262" s="2126"/>
      <c r="G262" s="2115" t="n">
        <f aca="false">IF(E263=Q259,R259,R260)</f>
        <v>0</v>
      </c>
      <c r="H262" s="2124"/>
      <c r="I262" s="2253"/>
      <c r="J262" s="1998"/>
      <c r="K262" s="2325"/>
    </row>
    <row r="263" customFormat="false" ht="12.75" hidden="false" customHeight="true" outlineLevel="0" collapsed="false">
      <c r="A263" s="2324"/>
      <c r="B263" s="1997"/>
      <c r="C263" s="2150"/>
      <c r="D263" s="2118" t="s">
        <v>2843</v>
      </c>
      <c r="E263" s="2272" t="str">
        <f aca="false">'Saisie et Calculateur'!C1085</f>
        <v>non</v>
      </c>
      <c r="F263" s="2118"/>
      <c r="G263" s="2115"/>
      <c r="H263" s="2124"/>
      <c r="I263" s="2253"/>
      <c r="J263" s="1998"/>
      <c r="K263" s="2325"/>
    </row>
    <row r="264" customFormat="false" ht="12.75" hidden="false" customHeight="true" outlineLevel="0" collapsed="false">
      <c r="A264" s="2324"/>
      <c r="B264" s="1997"/>
      <c r="C264" s="931"/>
      <c r="D264" s="931"/>
      <c r="E264" s="931"/>
      <c r="F264" s="931"/>
      <c r="G264" s="2232"/>
      <c r="H264" s="931"/>
      <c r="I264" s="931"/>
      <c r="J264" s="1998"/>
      <c r="K264" s="2325"/>
    </row>
    <row r="265" customFormat="false" ht="12.75" hidden="false" customHeight="true" outlineLevel="0" collapsed="false">
      <c r="A265" s="2324"/>
      <c r="B265" s="1997"/>
      <c r="C265" s="931"/>
      <c r="D265" s="931"/>
      <c r="E265" s="931"/>
      <c r="F265" s="931"/>
      <c r="G265" s="2232"/>
      <c r="H265" s="931"/>
      <c r="I265" s="931"/>
      <c r="J265" s="1998"/>
      <c r="K265" s="2325"/>
    </row>
    <row r="266" customFormat="false" ht="12.75" hidden="false" customHeight="true" outlineLevel="0" collapsed="false">
      <c r="A266" s="2324"/>
      <c r="B266" s="2033" t="s">
        <v>808</v>
      </c>
      <c r="C266" s="2259" t="s">
        <v>3199</v>
      </c>
      <c r="D266" s="2259"/>
      <c r="E266" s="2259"/>
      <c r="F266" s="2259"/>
      <c r="G266" s="2259"/>
      <c r="H266" s="2259"/>
      <c r="I266" s="2260" t="s">
        <v>2989</v>
      </c>
      <c r="J266" s="1998"/>
      <c r="K266" s="2325"/>
    </row>
    <row r="267" customFormat="false" ht="15.75" hidden="false" customHeight="true" outlineLevel="0" collapsed="false">
      <c r="A267" s="2324"/>
      <c r="B267" s="1997"/>
      <c r="C267" s="931"/>
      <c r="D267" s="931"/>
      <c r="E267" s="931"/>
      <c r="F267" s="931"/>
      <c r="G267" s="2232"/>
      <c r="H267" s="931"/>
      <c r="I267" s="931"/>
      <c r="J267" s="1998"/>
      <c r="K267" s="2325"/>
    </row>
    <row r="268" customFormat="false" ht="25.5" hidden="false" customHeight="true" outlineLevel="0" collapsed="false">
      <c r="A268" s="2324"/>
      <c r="B268" s="1997"/>
      <c r="C268" s="1597" t="s">
        <v>2822</v>
      </c>
      <c r="D268" s="1597"/>
      <c r="E268" s="1597"/>
      <c r="F268" s="1597"/>
      <c r="G268" s="1597"/>
      <c r="H268" s="2001" t="s">
        <v>2823</v>
      </c>
      <c r="I268" s="1810" t="s">
        <v>2824</v>
      </c>
      <c r="J268" s="1998"/>
      <c r="K268" s="2325"/>
    </row>
    <row r="269" customFormat="false" ht="12.75" hidden="false" customHeight="true" outlineLevel="0" collapsed="false">
      <c r="A269" s="2324"/>
      <c r="B269" s="1997"/>
      <c r="C269" s="2108" t="s">
        <v>3200</v>
      </c>
      <c r="D269" s="2108"/>
      <c r="E269" s="2108"/>
      <c r="F269" s="2108"/>
      <c r="G269" s="2332" t="n">
        <f aca="false">'Saisie et Calculateur'!C1091</f>
        <v>5</v>
      </c>
      <c r="H269" s="1597" t="n">
        <f aca="false">G269</f>
        <v>5</v>
      </c>
      <c r="I269" s="2253" t="n">
        <f aca="false">MIN(6,H269)</f>
        <v>5</v>
      </c>
      <c r="J269" s="1998"/>
      <c r="K269" s="2325"/>
    </row>
    <row r="270" customFormat="false" ht="12.75" hidden="false" customHeight="true" outlineLevel="0" collapsed="false">
      <c r="A270" s="2324"/>
      <c r="B270" s="1997"/>
      <c r="C270" s="2140"/>
      <c r="D270" s="2118"/>
      <c r="E270" s="2118"/>
      <c r="F270" s="2272"/>
      <c r="G270" s="2332"/>
      <c r="H270" s="1597"/>
      <c r="I270" s="2253"/>
      <c r="J270" s="1998"/>
      <c r="K270" s="2325"/>
    </row>
    <row r="271" customFormat="false" ht="12.75" hidden="false" customHeight="true" outlineLevel="0" collapsed="false">
      <c r="A271" s="2324"/>
      <c r="B271" s="1997"/>
      <c r="C271" s="931"/>
      <c r="D271" s="931"/>
      <c r="E271" s="931"/>
      <c r="F271" s="931"/>
      <c r="G271" s="2232"/>
      <c r="H271" s="931"/>
      <c r="I271" s="931"/>
      <c r="J271" s="1998"/>
      <c r="K271" s="2325"/>
    </row>
    <row r="272" customFormat="false" ht="12.75" hidden="false" customHeight="true" outlineLevel="0" collapsed="false">
      <c r="A272" s="2324"/>
      <c r="B272" s="1997"/>
      <c r="C272" s="931"/>
      <c r="D272" s="931"/>
      <c r="E272" s="931"/>
      <c r="F272" s="931"/>
      <c r="G272" s="2232"/>
      <c r="H272" s="931"/>
      <c r="I272" s="931"/>
      <c r="J272" s="1998"/>
      <c r="K272" s="2325"/>
    </row>
    <row r="273" customFormat="false" ht="12.75" hidden="false" customHeight="true" outlineLevel="0" collapsed="false">
      <c r="A273" s="2324"/>
      <c r="B273" s="2033" t="s">
        <v>811</v>
      </c>
      <c r="C273" s="2259" t="s">
        <v>3201</v>
      </c>
      <c r="D273" s="2259"/>
      <c r="E273" s="2259"/>
      <c r="F273" s="2259"/>
      <c r="G273" s="2259"/>
      <c r="H273" s="2259"/>
      <c r="I273" s="2260" t="s">
        <v>2989</v>
      </c>
      <c r="J273" s="1998"/>
      <c r="K273" s="2325"/>
    </row>
    <row r="274" customFormat="false" ht="12.75" hidden="false" customHeight="true" outlineLevel="0" collapsed="false">
      <c r="A274" s="2324"/>
      <c r="B274" s="1997"/>
      <c r="C274" s="931"/>
      <c r="D274" s="931"/>
      <c r="E274" s="931"/>
      <c r="F274" s="931"/>
      <c r="G274" s="2232"/>
      <c r="H274" s="931"/>
      <c r="I274" s="931"/>
      <c r="J274" s="1998"/>
      <c r="K274" s="2325"/>
    </row>
    <row r="275" customFormat="false" ht="25.5" hidden="false" customHeight="true" outlineLevel="0" collapsed="false">
      <c r="A275" s="2324"/>
      <c r="B275" s="1997"/>
      <c r="C275" s="1597" t="s">
        <v>2822</v>
      </c>
      <c r="D275" s="1597"/>
      <c r="E275" s="1597"/>
      <c r="F275" s="1597"/>
      <c r="G275" s="1597"/>
      <c r="H275" s="2001" t="s">
        <v>2823</v>
      </c>
      <c r="I275" s="1810" t="s">
        <v>2824</v>
      </c>
      <c r="J275" s="1998"/>
      <c r="K275" s="2325"/>
    </row>
    <row r="276" customFormat="false" ht="12.75" hidden="false" customHeight="true" outlineLevel="0" collapsed="false">
      <c r="A276" s="2324"/>
      <c r="B276" s="1997"/>
      <c r="C276" s="2108" t="s">
        <v>3202</v>
      </c>
      <c r="D276" s="2108"/>
      <c r="E276" s="2108"/>
      <c r="F276" s="2108"/>
      <c r="G276" s="2146" t="n">
        <f aca="false">E277+E278</f>
        <v>3</v>
      </c>
      <c r="H276" s="2124" t="n">
        <f aca="false">G276</f>
        <v>3</v>
      </c>
      <c r="I276" s="2253" t="n">
        <f aca="false">MIN(6,H276)</f>
        <v>3</v>
      </c>
      <c r="J276" s="1998"/>
      <c r="K276" s="2325"/>
    </row>
    <row r="277" customFormat="false" ht="12.75" hidden="false" customHeight="true" outlineLevel="0" collapsed="false">
      <c r="A277" s="2324"/>
      <c r="B277" s="1997"/>
      <c r="C277" s="2111" t="s">
        <v>3203</v>
      </c>
      <c r="D277" s="2111"/>
      <c r="E277" s="2014" t="n">
        <f aca="false">'Saisie et Calculateur'!E1096</f>
        <v>2</v>
      </c>
      <c r="F277" s="2014"/>
      <c r="G277" s="2146"/>
      <c r="H277" s="2124"/>
      <c r="I277" s="2253"/>
      <c r="J277" s="1998"/>
      <c r="K277" s="2325"/>
    </row>
    <row r="278" customFormat="false" ht="12.75" hidden="false" customHeight="true" outlineLevel="0" collapsed="false">
      <c r="A278" s="2324"/>
      <c r="B278" s="1997"/>
      <c r="C278" s="2140" t="s">
        <v>3204</v>
      </c>
      <c r="D278" s="2140"/>
      <c r="E278" s="2159" t="n">
        <f aca="false">'Saisie et Calculateur'!E1097</f>
        <v>1</v>
      </c>
      <c r="F278" s="2118"/>
      <c r="G278" s="2146"/>
      <c r="H278" s="2124"/>
      <c r="I278" s="2253"/>
      <c r="J278" s="1998"/>
      <c r="K278" s="2325"/>
    </row>
    <row r="279" customFormat="false" ht="12.75" hidden="false" customHeight="true" outlineLevel="0" collapsed="false">
      <c r="A279" s="2324"/>
      <c r="B279" s="1997"/>
      <c r="C279" s="931"/>
      <c r="D279" s="931"/>
      <c r="E279" s="931"/>
      <c r="F279" s="931"/>
      <c r="G279" s="2232"/>
      <c r="H279" s="931"/>
      <c r="I279" s="931"/>
      <c r="J279" s="1998"/>
      <c r="K279" s="2325"/>
    </row>
    <row r="280" customFormat="false" ht="12.75" hidden="false" customHeight="true" outlineLevel="0" collapsed="false">
      <c r="A280" s="2324"/>
      <c r="B280" s="1997"/>
      <c r="C280" s="931"/>
      <c r="D280" s="931"/>
      <c r="E280" s="931"/>
      <c r="F280" s="931"/>
      <c r="G280" s="2232"/>
      <c r="H280" s="931"/>
      <c r="I280" s="931"/>
      <c r="J280" s="1998"/>
      <c r="K280" s="2325"/>
    </row>
    <row r="281" customFormat="false" ht="15" hidden="false" customHeight="true" outlineLevel="0" collapsed="false">
      <c r="A281" s="2324"/>
      <c r="B281" s="2033" t="s">
        <v>3205</v>
      </c>
      <c r="C281" s="2259" t="s">
        <v>3206</v>
      </c>
      <c r="D281" s="2259"/>
      <c r="E281" s="2259"/>
      <c r="F281" s="2259"/>
      <c r="G281" s="2259"/>
      <c r="H281" s="2259"/>
      <c r="I281" s="2260" t="s">
        <v>2989</v>
      </c>
      <c r="J281" s="1998"/>
      <c r="K281" s="2325"/>
    </row>
    <row r="282" customFormat="false" ht="12.75" hidden="false" customHeight="true" outlineLevel="0" collapsed="false">
      <c r="A282" s="2324"/>
      <c r="B282" s="1997"/>
      <c r="C282" s="931"/>
      <c r="D282" s="931"/>
      <c r="E282" s="931"/>
      <c r="F282" s="931"/>
      <c r="G282" s="2232"/>
      <c r="H282" s="931"/>
      <c r="I282" s="931"/>
      <c r="J282" s="1998"/>
      <c r="K282" s="2325"/>
    </row>
    <row r="283" customFormat="false" ht="39" hidden="false" customHeight="true" outlineLevel="0" collapsed="false">
      <c r="A283" s="2324"/>
      <c r="B283" s="1997"/>
      <c r="C283" s="2000" t="s">
        <v>2822</v>
      </c>
      <c r="D283" s="2000"/>
      <c r="E283" s="2000"/>
      <c r="F283" s="2000"/>
      <c r="G283" s="2000"/>
      <c r="H283" s="2001" t="s">
        <v>2823</v>
      </c>
      <c r="I283" s="2001" t="s">
        <v>2824</v>
      </c>
      <c r="J283" s="1998"/>
      <c r="K283" s="2325"/>
      <c r="M283" s="2333" t="s">
        <v>3207</v>
      </c>
      <c r="N283" s="1554" t="s">
        <v>2905</v>
      </c>
    </row>
    <row r="284" customFormat="false" ht="13.5" hidden="false" customHeight="true" outlineLevel="0" collapsed="false">
      <c r="A284" s="2324"/>
      <c r="B284" s="1997"/>
      <c r="C284" s="2334" t="s">
        <v>3208</v>
      </c>
      <c r="D284" s="2334"/>
      <c r="E284" s="2334"/>
      <c r="F284" s="2335" t="str">
        <f aca="false">'Saisie et Calculateur'!B1103</f>
        <v>1 - monogastrique</v>
      </c>
      <c r="G284" s="2056"/>
      <c r="H284" s="2194" t="n">
        <f aca="false">IF(OR(F284="1 - monogastrique",F284="2 - herbivore")=TRUE(),ROUND(AVERAGE(G286,G299),0),G299)</f>
        <v>5</v>
      </c>
      <c r="I284" s="2336" t="n">
        <f aca="false">MIN(6,H284)</f>
        <v>5</v>
      </c>
      <c r="J284" s="1998"/>
      <c r="K284" s="2325"/>
      <c r="M284" s="1523" t="n">
        <v>4</v>
      </c>
      <c r="N284" s="1554" t="n">
        <v>3</v>
      </c>
    </row>
    <row r="285" customFormat="false" ht="13.5" hidden="false" customHeight="true" outlineLevel="0" collapsed="false">
      <c r="A285" s="2324"/>
      <c r="B285" s="1997"/>
      <c r="C285" s="2337"/>
      <c r="D285" s="1529"/>
      <c r="E285" s="1529"/>
      <c r="F285" s="1529"/>
      <c r="G285" s="1529"/>
      <c r="H285" s="2194"/>
      <c r="I285" s="2336"/>
      <c r="J285" s="1998"/>
      <c r="K285" s="2325"/>
      <c r="M285" s="2338"/>
      <c r="N285" s="2338" t="n">
        <v>0</v>
      </c>
    </row>
    <row r="286" customFormat="false" ht="13.5" hidden="false" customHeight="true" outlineLevel="0" collapsed="false">
      <c r="A286" s="2324"/>
      <c r="B286" s="1997"/>
      <c r="C286" s="2339" t="s">
        <v>3209</v>
      </c>
      <c r="D286" s="2340"/>
      <c r="E286" s="2340"/>
      <c r="F286" s="2340"/>
      <c r="G286" s="2341" t="n">
        <f aca="false">IF(F288+F291+F293&lt;0,0,F288+F291+F293)</f>
        <v>4</v>
      </c>
      <c r="H286" s="2194"/>
      <c r="I286" s="2336"/>
      <c r="J286" s="1998"/>
      <c r="K286" s="2325"/>
    </row>
    <row r="287" customFormat="false" ht="12.75" hidden="false" customHeight="true" outlineLevel="0" collapsed="false">
      <c r="A287" s="2324"/>
      <c r="B287" s="1997"/>
      <c r="C287" s="2013" t="s">
        <v>3210</v>
      </c>
      <c r="D287" s="2013"/>
      <c r="E287" s="2013"/>
      <c r="F287" s="2013"/>
      <c r="G287" s="2341"/>
      <c r="H287" s="2194"/>
      <c r="I287" s="2336"/>
      <c r="J287" s="1998"/>
      <c r="K287" s="2325"/>
    </row>
    <row r="288" customFormat="false" ht="12.75" hidden="false" customHeight="true" outlineLevel="0" collapsed="false">
      <c r="A288" s="2324"/>
      <c r="B288" s="1997"/>
      <c r="C288" s="2090" t="s">
        <v>3211</v>
      </c>
      <c r="D288" s="2090"/>
      <c r="E288" s="2041" t="n">
        <f aca="false">'Saisie et Calculateur'!D1107</f>
        <v>4</v>
      </c>
      <c r="F288" s="931" t="n">
        <f aca="false">IF(E288=M284,N284,N285)</f>
        <v>3</v>
      </c>
      <c r="G288" s="2341"/>
      <c r="H288" s="2194"/>
      <c r="I288" s="2336"/>
      <c r="J288" s="1998"/>
      <c r="K288" s="2325"/>
      <c r="M288" s="1647"/>
      <c r="N288" s="1647"/>
    </row>
    <row r="289" customFormat="false" ht="12.75" hidden="false" customHeight="true" outlineLevel="0" collapsed="false">
      <c r="A289" s="2324"/>
      <c r="B289" s="1997"/>
      <c r="C289" s="2011"/>
      <c r="D289" s="931"/>
      <c r="E289" s="931"/>
      <c r="F289" s="931"/>
      <c r="G289" s="2341"/>
      <c r="H289" s="2194"/>
      <c r="I289" s="2336"/>
      <c r="J289" s="1998"/>
      <c r="K289" s="2325"/>
      <c r="M289" s="1647"/>
      <c r="N289" s="1647"/>
    </row>
    <row r="290" customFormat="false" ht="12.75" hidden="false" customHeight="true" outlineLevel="0" collapsed="false">
      <c r="A290" s="2324"/>
      <c r="B290" s="1997"/>
      <c r="C290" s="2074" t="s">
        <v>3212</v>
      </c>
      <c r="D290" s="2074"/>
      <c r="E290" s="2074"/>
      <c r="F290" s="2074"/>
      <c r="G290" s="2341"/>
      <c r="H290" s="2194"/>
      <c r="I290" s="2336"/>
      <c r="J290" s="1998"/>
      <c r="K290" s="2325"/>
      <c r="M290" s="1647"/>
      <c r="N290" s="1647"/>
    </row>
    <row r="291" customFormat="false" ht="12.75" hidden="false" customHeight="true" outlineLevel="0" collapsed="false">
      <c r="A291" s="2324"/>
      <c r="B291" s="1997"/>
      <c r="C291" s="2090" t="s">
        <v>3213</v>
      </c>
      <c r="D291" s="2090"/>
      <c r="E291" s="2014" t="n">
        <f aca="false">'Saisie et Calculateur'!I1107</f>
        <v>3</v>
      </c>
      <c r="F291" s="931" t="n">
        <f aca="false">MIN(3,E291)</f>
        <v>3</v>
      </c>
      <c r="G291" s="2341"/>
      <c r="H291" s="2194"/>
      <c r="I291" s="2336"/>
      <c r="J291" s="1998"/>
      <c r="K291" s="2325"/>
    </row>
    <row r="292" customFormat="false" ht="12.75" hidden="false" customHeight="true" outlineLevel="0" collapsed="false">
      <c r="A292" s="2324"/>
      <c r="B292" s="1997"/>
      <c r="C292" s="2027"/>
      <c r="D292" s="931"/>
      <c r="E292" s="2042"/>
      <c r="F292" s="931"/>
      <c r="G292" s="2341"/>
      <c r="H292" s="2194"/>
      <c r="I292" s="2336"/>
      <c r="J292" s="1998"/>
      <c r="K292" s="2325"/>
    </row>
    <row r="293" customFormat="false" ht="12.75" hidden="false" customHeight="true" outlineLevel="0" collapsed="false">
      <c r="A293" s="2324"/>
      <c r="B293" s="1997"/>
      <c r="C293" s="2301" t="s">
        <v>3214</v>
      </c>
      <c r="D293" s="931"/>
      <c r="E293" s="2199"/>
      <c r="F293" s="2342" t="n">
        <f aca="false">E294+E295+E296+E297</f>
        <v>-2</v>
      </c>
      <c r="G293" s="2341"/>
      <c r="H293" s="2194"/>
      <c r="I293" s="2336"/>
      <c r="J293" s="1998"/>
      <c r="K293" s="2325"/>
    </row>
    <row r="294" customFormat="false" ht="12.75" hidden="false" customHeight="true" outlineLevel="0" collapsed="false">
      <c r="A294" s="2324"/>
      <c r="B294" s="1997"/>
      <c r="C294" s="2301" t="s">
        <v>3215</v>
      </c>
      <c r="D294" s="2041" t="str">
        <f aca="false">'Saisie et Calculateur'!B1120</f>
        <v>oui</v>
      </c>
      <c r="E294" s="2014" t="n">
        <f aca="false">IF(D294="oui",-1,0)</f>
        <v>-1</v>
      </c>
      <c r="F294" s="2342"/>
      <c r="G294" s="2341"/>
      <c r="H294" s="2194"/>
      <c r="I294" s="2336"/>
      <c r="J294" s="1998"/>
      <c r="K294" s="2325"/>
    </row>
    <row r="295" customFormat="false" ht="12.75" hidden="false" customHeight="true" outlineLevel="0" collapsed="false">
      <c r="A295" s="2324"/>
      <c r="B295" s="1997"/>
      <c r="C295" s="2301" t="s">
        <v>292</v>
      </c>
      <c r="D295" s="2041" t="str">
        <f aca="false">'Saisie et Calculateur'!D1120</f>
        <v>oui</v>
      </c>
      <c r="E295" s="2014" t="n">
        <f aca="false">IF(D295="oui",-1,0)</f>
        <v>-1</v>
      </c>
      <c r="F295" s="2342"/>
      <c r="G295" s="2341"/>
      <c r="H295" s="2194"/>
      <c r="I295" s="2336"/>
      <c r="J295" s="1998"/>
      <c r="K295" s="2325"/>
    </row>
    <row r="296" customFormat="false" ht="12.75" hidden="false" customHeight="true" outlineLevel="0" collapsed="false">
      <c r="A296" s="2324"/>
      <c r="B296" s="1997"/>
      <c r="C296" s="2301" t="s">
        <v>3216</v>
      </c>
      <c r="D296" s="1435" t="str">
        <f aca="false">'Saisie et Calculateur'!F1120</f>
        <v>non</v>
      </c>
      <c r="E296" s="2014" t="n">
        <f aca="false">IF(D296="oui",-1,0)</f>
        <v>0</v>
      </c>
      <c r="F296" s="2342"/>
      <c r="G296" s="2341"/>
      <c r="H296" s="2194"/>
      <c r="I296" s="2336"/>
      <c r="J296" s="1998"/>
      <c r="K296" s="2325"/>
    </row>
    <row r="297" customFormat="false" ht="12.75" hidden="false" customHeight="true" outlineLevel="0" collapsed="false">
      <c r="A297" s="2324"/>
      <c r="B297" s="1997"/>
      <c r="C297" s="2301" t="s">
        <v>3217</v>
      </c>
      <c r="D297" s="1435" t="str">
        <f aca="false">'Saisie et Calculateur'!H1120</f>
        <v>non</v>
      </c>
      <c r="E297" s="2014" t="n">
        <f aca="false">IF(D297="oui",-1,0)</f>
        <v>0</v>
      </c>
      <c r="F297" s="2342"/>
      <c r="G297" s="2341"/>
      <c r="H297" s="2194"/>
      <c r="I297" s="2336"/>
      <c r="J297" s="1998"/>
      <c r="K297" s="2325"/>
    </row>
    <row r="298" customFormat="false" ht="12.75" hidden="false" customHeight="true" outlineLevel="0" collapsed="false">
      <c r="A298" s="2324"/>
      <c r="B298" s="1997"/>
      <c r="C298" s="2301"/>
      <c r="D298" s="650"/>
      <c r="E298" s="1435"/>
      <c r="F298" s="2014"/>
      <c r="G298" s="2343"/>
      <c r="H298" s="2194"/>
      <c r="I298" s="2336"/>
      <c r="J298" s="1998"/>
      <c r="K298" s="2325"/>
    </row>
    <row r="299" customFormat="false" ht="12.75" hidden="false" customHeight="true" outlineLevel="0" collapsed="false">
      <c r="A299" s="2324"/>
      <c r="B299" s="1997"/>
      <c r="C299" s="2339" t="s">
        <v>3218</v>
      </c>
      <c r="D299" s="650"/>
      <c r="E299" s="1435"/>
      <c r="F299" s="2014"/>
      <c r="G299" s="2344" t="n">
        <f aca="false">F301+F304</f>
        <v>5</v>
      </c>
      <c r="H299" s="2194"/>
      <c r="I299" s="2336"/>
      <c r="J299" s="1998"/>
      <c r="K299" s="2325"/>
    </row>
    <row r="300" customFormat="false" ht="12.75" hidden="false" customHeight="true" outlineLevel="0" collapsed="false">
      <c r="A300" s="2324"/>
      <c r="B300" s="1997"/>
      <c r="C300" s="2013" t="s">
        <v>3219</v>
      </c>
      <c r="D300" s="2013"/>
      <c r="E300" s="2013"/>
      <c r="F300" s="2013"/>
      <c r="G300" s="2344"/>
      <c r="H300" s="2194"/>
      <c r="I300" s="2336"/>
      <c r="J300" s="1998"/>
      <c r="K300" s="2325"/>
    </row>
    <row r="301" customFormat="false" ht="12.75" hidden="false" customHeight="true" outlineLevel="0" collapsed="false">
      <c r="A301" s="2324"/>
      <c r="B301" s="1997"/>
      <c r="C301" s="2090" t="s">
        <v>3211</v>
      </c>
      <c r="D301" s="2090"/>
      <c r="E301" s="2041" t="n">
        <f aca="false">'Saisie et Calculateur'!D1126</f>
        <v>5</v>
      </c>
      <c r="F301" s="2238" t="n">
        <f aca="false">MIN(3,E301)</f>
        <v>3</v>
      </c>
      <c r="G301" s="2344"/>
      <c r="H301" s="2194"/>
      <c r="I301" s="2336"/>
      <c r="J301" s="1998"/>
      <c r="K301" s="2325"/>
    </row>
    <row r="302" customFormat="false" ht="12.75" hidden="false" customHeight="true" outlineLevel="0" collapsed="false">
      <c r="A302" s="2324"/>
      <c r="B302" s="1997"/>
      <c r="C302" s="2011"/>
      <c r="D302" s="931"/>
      <c r="E302" s="931"/>
      <c r="F302" s="931"/>
      <c r="G302" s="2344"/>
      <c r="H302" s="2194"/>
      <c r="I302" s="2336"/>
      <c r="J302" s="1998"/>
      <c r="K302" s="2325"/>
    </row>
    <row r="303" customFormat="false" ht="12.75" hidden="false" customHeight="true" outlineLevel="0" collapsed="false">
      <c r="A303" s="2324"/>
      <c r="B303" s="1997"/>
      <c r="C303" s="2013" t="s">
        <v>3220</v>
      </c>
      <c r="D303" s="2013"/>
      <c r="E303" s="2013"/>
      <c r="F303" s="2013"/>
      <c r="G303" s="2344"/>
      <c r="H303" s="2194"/>
      <c r="I303" s="2336"/>
      <c r="J303" s="1998"/>
      <c r="K303" s="2325"/>
    </row>
    <row r="304" customFormat="false" ht="12.75" hidden="false" customHeight="true" outlineLevel="0" collapsed="false">
      <c r="A304" s="2324"/>
      <c r="B304" s="1997"/>
      <c r="C304" s="2090" t="s">
        <v>3211</v>
      </c>
      <c r="D304" s="2090"/>
      <c r="E304" s="2041" t="n">
        <f aca="false">'Saisie et Calculateur'!I1126</f>
        <v>2</v>
      </c>
      <c r="F304" s="2345" t="n">
        <f aca="false">IF(E304+E305&lt;0,0,MIN(3,E304+E305))</f>
        <v>2</v>
      </c>
      <c r="G304" s="2344"/>
      <c r="H304" s="2194"/>
      <c r="I304" s="2336"/>
      <c r="J304" s="1998"/>
      <c r="K304" s="2325"/>
    </row>
    <row r="305" customFormat="false" ht="12.75" hidden="false" customHeight="true" outlineLevel="0" collapsed="false">
      <c r="A305" s="2324"/>
      <c r="B305" s="1997"/>
      <c r="C305" s="2346" t="s">
        <v>3221</v>
      </c>
      <c r="D305" s="2205" t="str">
        <f aca="false">'Saisie et Calculateur'!I1137</f>
        <v>non</v>
      </c>
      <c r="E305" s="2030" t="n">
        <f aca="false">IF(D305="oui",-1,0)</f>
        <v>0</v>
      </c>
      <c r="F305" s="2345"/>
      <c r="G305" s="2344"/>
      <c r="H305" s="2194"/>
      <c r="I305" s="2336"/>
      <c r="J305" s="1998"/>
      <c r="K305" s="2325"/>
    </row>
    <row r="306" customFormat="false" ht="13.5" hidden="false" customHeight="true" outlineLevel="0" collapsed="false">
      <c r="A306" s="2324"/>
      <c r="B306" s="2095"/>
      <c r="C306" s="2134"/>
      <c r="D306" s="2134"/>
      <c r="E306" s="2134"/>
      <c r="F306" s="2134"/>
      <c r="G306" s="2279"/>
      <c r="H306" s="2134"/>
      <c r="I306" s="2134"/>
      <c r="J306" s="2100"/>
      <c r="K306" s="2325"/>
    </row>
    <row r="307" customFormat="false" ht="13.5" hidden="false" customHeight="true" outlineLevel="0" collapsed="false">
      <c r="G307" s="0"/>
    </row>
    <row r="308" customFormat="false" ht="25.5" hidden="false" customHeight="true" outlineLevel="0" collapsed="false">
      <c r="A308" s="2347" t="s">
        <v>3040</v>
      </c>
      <c r="B308" s="2347"/>
      <c r="C308" s="2347"/>
      <c r="D308" s="2347"/>
      <c r="E308" s="2347"/>
      <c r="F308" s="2347"/>
      <c r="G308" s="2347"/>
      <c r="H308" s="2347"/>
      <c r="I308" s="2347"/>
      <c r="J308" s="2347"/>
      <c r="K308" s="2348" t="n">
        <f aca="false">SUM(K6,K65,K169,K235)</f>
        <v>72</v>
      </c>
    </row>
  </sheetData>
  <mergeCells count="255">
    <mergeCell ref="A1:K1"/>
    <mergeCell ref="A4:A63"/>
    <mergeCell ref="C4:H4"/>
    <mergeCell ref="K4:K5"/>
    <mergeCell ref="C6:G6"/>
    <mergeCell ref="K6:K63"/>
    <mergeCell ref="M6:N6"/>
    <mergeCell ref="C7:F7"/>
    <mergeCell ref="G7:G9"/>
    <mergeCell ref="H7:H13"/>
    <mergeCell ref="I7:I13"/>
    <mergeCell ref="M7:N7"/>
    <mergeCell ref="M8:N8"/>
    <mergeCell ref="M9:N9"/>
    <mergeCell ref="C10:F10"/>
    <mergeCell ref="G10:G11"/>
    <mergeCell ref="M10:N10"/>
    <mergeCell ref="C12:F12"/>
    <mergeCell ref="G12:G13"/>
    <mergeCell ref="C16:H16"/>
    <mergeCell ref="C18:G18"/>
    <mergeCell ref="C19:F19"/>
    <mergeCell ref="G19:G21"/>
    <mergeCell ref="H19:H24"/>
    <mergeCell ref="I19:I24"/>
    <mergeCell ref="C22:F22"/>
    <mergeCell ref="G22:G24"/>
    <mergeCell ref="C27:H27"/>
    <mergeCell ref="C29:G29"/>
    <mergeCell ref="C30:F30"/>
    <mergeCell ref="G30:G34"/>
    <mergeCell ref="H30:H39"/>
    <mergeCell ref="I30:I39"/>
    <mergeCell ref="C35:F35"/>
    <mergeCell ref="G35:G37"/>
    <mergeCell ref="G38:G39"/>
    <mergeCell ref="C42:H42"/>
    <mergeCell ref="C44:G44"/>
    <mergeCell ref="C45:G45"/>
    <mergeCell ref="H45:H46"/>
    <mergeCell ref="I45:I46"/>
    <mergeCell ref="C49:H49"/>
    <mergeCell ref="C51:G51"/>
    <mergeCell ref="C52:F53"/>
    <mergeCell ref="G52:G55"/>
    <mergeCell ref="H52:H62"/>
    <mergeCell ref="I52:I62"/>
    <mergeCell ref="C56:F57"/>
    <mergeCell ref="G56:G59"/>
    <mergeCell ref="C60:F61"/>
    <mergeCell ref="G60:G62"/>
    <mergeCell ref="A65:A167"/>
    <mergeCell ref="C65:H65"/>
    <mergeCell ref="K65:K167"/>
    <mergeCell ref="C67:G67"/>
    <mergeCell ref="Q67:R68"/>
    <mergeCell ref="C68:F68"/>
    <mergeCell ref="G68:G70"/>
    <mergeCell ref="H68:H72"/>
    <mergeCell ref="I68:I72"/>
    <mergeCell ref="M68:N68"/>
    <mergeCell ref="M69:N69"/>
    <mergeCell ref="M70:N70"/>
    <mergeCell ref="C71:F71"/>
    <mergeCell ref="G71:G72"/>
    <mergeCell ref="C75:H75"/>
    <mergeCell ref="C77:G77"/>
    <mergeCell ref="C78:F78"/>
    <mergeCell ref="G78:G79"/>
    <mergeCell ref="H78:H83"/>
    <mergeCell ref="I78:I83"/>
    <mergeCell ref="C80:F80"/>
    <mergeCell ref="G80:G81"/>
    <mergeCell ref="C82:F82"/>
    <mergeCell ref="G82:G83"/>
    <mergeCell ref="C86:H86"/>
    <mergeCell ref="C88:G88"/>
    <mergeCell ref="C89:F89"/>
    <mergeCell ref="G89:G91"/>
    <mergeCell ref="H89:H96"/>
    <mergeCell ref="I89:I96"/>
    <mergeCell ref="C92:F92"/>
    <mergeCell ref="G92:G94"/>
    <mergeCell ref="M92:M93"/>
    <mergeCell ref="N92:N93"/>
    <mergeCell ref="O92:O93"/>
    <mergeCell ref="C95:F95"/>
    <mergeCell ref="G95:G96"/>
    <mergeCell ref="C99:H99"/>
    <mergeCell ref="C101:G101"/>
    <mergeCell ref="C102:F102"/>
    <mergeCell ref="G102:G108"/>
    <mergeCell ref="H102:H119"/>
    <mergeCell ref="I102:I119"/>
    <mergeCell ref="M103:N103"/>
    <mergeCell ref="P103:Q103"/>
    <mergeCell ref="S103:T103"/>
    <mergeCell ref="V103:W103"/>
    <mergeCell ref="M108:N108"/>
    <mergeCell ref="P108:Q108"/>
    <mergeCell ref="S108:T108"/>
    <mergeCell ref="V108:W108"/>
    <mergeCell ref="C110:F110"/>
    <mergeCell ref="G110:G114"/>
    <mergeCell ref="M114:N114"/>
    <mergeCell ref="P114:Q114"/>
    <mergeCell ref="S114:T114"/>
    <mergeCell ref="C116:F116"/>
    <mergeCell ref="G116:G119"/>
    <mergeCell ref="C122:H122"/>
    <mergeCell ref="C124:G124"/>
    <mergeCell ref="C125:F125"/>
    <mergeCell ref="G125:G127"/>
    <mergeCell ref="H125:H135"/>
    <mergeCell ref="I125:I135"/>
    <mergeCell ref="C128:F128"/>
    <mergeCell ref="G128:G130"/>
    <mergeCell ref="C131:F131"/>
    <mergeCell ref="G131:G133"/>
    <mergeCell ref="C134:F134"/>
    <mergeCell ref="G134:G135"/>
    <mergeCell ref="C138:H138"/>
    <mergeCell ref="C140:G140"/>
    <mergeCell ref="C141:F141"/>
    <mergeCell ref="G141:G143"/>
    <mergeCell ref="H141:H148"/>
    <mergeCell ref="I141:I148"/>
    <mergeCell ref="C144:F144"/>
    <mergeCell ref="G144:G146"/>
    <mergeCell ref="G147:G148"/>
    <mergeCell ref="C151:H151"/>
    <mergeCell ref="C153:G153"/>
    <mergeCell ref="C154:F154"/>
    <mergeCell ref="H154:H156"/>
    <mergeCell ref="I154:I156"/>
    <mergeCell ref="C159:H159"/>
    <mergeCell ref="C161:G161"/>
    <mergeCell ref="C162:F162"/>
    <mergeCell ref="G162:G164"/>
    <mergeCell ref="H162:H166"/>
    <mergeCell ref="I162:I166"/>
    <mergeCell ref="C165:F165"/>
    <mergeCell ref="G165:G166"/>
    <mergeCell ref="A169:A232"/>
    <mergeCell ref="C169:H169"/>
    <mergeCell ref="K169:K232"/>
    <mergeCell ref="C171:G171"/>
    <mergeCell ref="C172:F172"/>
    <mergeCell ref="G172:G173"/>
    <mergeCell ref="H172:H180"/>
    <mergeCell ref="I172:I180"/>
    <mergeCell ref="C174:F174"/>
    <mergeCell ref="G174:G177"/>
    <mergeCell ref="C178:F178"/>
    <mergeCell ref="G178:G180"/>
    <mergeCell ref="C183:H183"/>
    <mergeCell ref="C185:G185"/>
    <mergeCell ref="G186:G187"/>
    <mergeCell ref="H186:H189"/>
    <mergeCell ref="I186:I189"/>
    <mergeCell ref="C188:F188"/>
    <mergeCell ref="G188:G189"/>
    <mergeCell ref="C192:H192"/>
    <mergeCell ref="C194:G194"/>
    <mergeCell ref="G195:G196"/>
    <mergeCell ref="H195:H204"/>
    <mergeCell ref="I195:I204"/>
    <mergeCell ref="G197:G199"/>
    <mergeCell ref="G200:G202"/>
    <mergeCell ref="C201:D201"/>
    <mergeCell ref="G203:G204"/>
    <mergeCell ref="C207:H207"/>
    <mergeCell ref="C209:G209"/>
    <mergeCell ref="C210:F210"/>
    <mergeCell ref="G210:G211"/>
    <mergeCell ref="H210:H218"/>
    <mergeCell ref="I210:I218"/>
    <mergeCell ref="C212:F212"/>
    <mergeCell ref="G212:G214"/>
    <mergeCell ref="C215:F215"/>
    <mergeCell ref="G215:G218"/>
    <mergeCell ref="C221:H221"/>
    <mergeCell ref="C223:G223"/>
    <mergeCell ref="C224:F224"/>
    <mergeCell ref="G224:G226"/>
    <mergeCell ref="H224:H231"/>
    <mergeCell ref="I224:I231"/>
    <mergeCell ref="C227:F227"/>
    <mergeCell ref="G227:G229"/>
    <mergeCell ref="C230:F230"/>
    <mergeCell ref="G230:G231"/>
    <mergeCell ref="A235:A306"/>
    <mergeCell ref="C235:H235"/>
    <mergeCell ref="K235:K306"/>
    <mergeCell ref="C237:G237"/>
    <mergeCell ref="C238:F238"/>
    <mergeCell ref="G238:G240"/>
    <mergeCell ref="H238:H253"/>
    <mergeCell ref="I238:I253"/>
    <mergeCell ref="M238:M239"/>
    <mergeCell ref="N238:N239"/>
    <mergeCell ref="O238:P239"/>
    <mergeCell ref="Q238:R239"/>
    <mergeCell ref="D239:E239"/>
    <mergeCell ref="O240:P240"/>
    <mergeCell ref="Q240:R240"/>
    <mergeCell ref="C241:F241"/>
    <mergeCell ref="G241:G243"/>
    <mergeCell ref="D242:E242"/>
    <mergeCell ref="G244:G246"/>
    <mergeCell ref="G247:G249"/>
    <mergeCell ref="G250:G252"/>
    <mergeCell ref="C256:H256"/>
    <mergeCell ref="C258:G258"/>
    <mergeCell ref="C259:F259"/>
    <mergeCell ref="G259:G261"/>
    <mergeCell ref="H259:H263"/>
    <mergeCell ref="I259:I263"/>
    <mergeCell ref="M259:N259"/>
    <mergeCell ref="M260:N260"/>
    <mergeCell ref="M261:N261"/>
    <mergeCell ref="C262:F262"/>
    <mergeCell ref="G262:G263"/>
    <mergeCell ref="C266:H266"/>
    <mergeCell ref="C268:G268"/>
    <mergeCell ref="C269:F269"/>
    <mergeCell ref="G269:G270"/>
    <mergeCell ref="H269:H270"/>
    <mergeCell ref="I269:I270"/>
    <mergeCell ref="C273:H273"/>
    <mergeCell ref="C275:G275"/>
    <mergeCell ref="C276:F276"/>
    <mergeCell ref="G276:G278"/>
    <mergeCell ref="H276:H278"/>
    <mergeCell ref="I276:I278"/>
    <mergeCell ref="C277:D277"/>
    <mergeCell ref="C278:D278"/>
    <mergeCell ref="C281:H281"/>
    <mergeCell ref="C283:G283"/>
    <mergeCell ref="C284:E284"/>
    <mergeCell ref="H284:H305"/>
    <mergeCell ref="I284:I305"/>
    <mergeCell ref="G286:G297"/>
    <mergeCell ref="C287:F287"/>
    <mergeCell ref="C288:D288"/>
    <mergeCell ref="C290:F290"/>
    <mergeCell ref="C291:D291"/>
    <mergeCell ref="F293:F297"/>
    <mergeCell ref="G299:G305"/>
    <mergeCell ref="C300:F300"/>
    <mergeCell ref="C301:D301"/>
    <mergeCell ref="C303:F303"/>
    <mergeCell ref="C304:D304"/>
    <mergeCell ref="F304:F305"/>
    <mergeCell ref="A308:J30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tabColor rgb="FFFFCC00"/>
    <pageSetUpPr fitToPage="false"/>
  </sheetPr>
  <dimension ref="A1:V100"/>
  <sheetViews>
    <sheetView showFormulas="false" showGridLines="true" showRowColHeaders="true" showZeros="true" rightToLeft="false" tabSelected="false" showOutlineSymbols="true" defaultGridColor="true" view="normal" topLeftCell="A73" colorId="64" zoomScale="100" zoomScaleNormal="100" zoomScalePageLayoutView="100" workbookViewId="0">
      <selection pane="topLeft" activeCell="E16" activeCellId="0" sqref="E16"/>
    </sheetView>
  </sheetViews>
  <sheetFormatPr defaultRowHeight="12.75" zeroHeight="false" outlineLevelRow="0" outlineLevelCol="0"/>
  <cols>
    <col collapsed="false" customWidth="false" hidden="false" outlineLevel="0" max="1" min="1" style="0" width="11.56"/>
    <col collapsed="false" customWidth="true" hidden="false" outlineLevel="0" max="2" min="2" style="0" width="4.56"/>
    <col collapsed="false" customWidth="true" hidden="false" outlineLevel="0" max="4" min="3" style="0" width="10.55"/>
    <col collapsed="false" customWidth="true" hidden="false" outlineLevel="0" max="5" min="5" style="0" width="24.11"/>
    <col collapsed="false" customWidth="true" hidden="false" outlineLevel="0" max="6" min="6" style="2349" width="7.55"/>
    <col collapsed="false" customWidth="true" hidden="false" outlineLevel="0" max="7" min="7" style="0" width="10.55"/>
    <col collapsed="false" customWidth="true" hidden="false" outlineLevel="0" max="8" min="8" style="0" width="10.69"/>
    <col collapsed="false" customWidth="true" hidden="false" outlineLevel="0" max="9" min="9" style="0" width="5.13"/>
    <col collapsed="false" customWidth="true" hidden="false" outlineLevel="0" max="10" min="10" style="2350" width="17.13"/>
    <col collapsed="false" customWidth="true" hidden="false" outlineLevel="0" max="11" min="11" style="0" width="10.55"/>
    <col collapsed="false" customWidth="true" hidden="false" outlineLevel="0" max="12" min="12" style="0" width="16.54"/>
    <col collapsed="false" customWidth="true" hidden="false" outlineLevel="0" max="13" min="13" style="0" width="10.98"/>
    <col collapsed="false" customWidth="true" hidden="false" outlineLevel="0" max="14" min="14" style="0" width="10.55"/>
    <col collapsed="false" customWidth="true" hidden="false" outlineLevel="0" max="15" min="15" style="0" width="18.39"/>
    <col collapsed="false" customWidth="true" hidden="false" outlineLevel="0" max="16" min="16" style="0" width="13.69"/>
    <col collapsed="false" customWidth="true" hidden="false" outlineLevel="0" max="20" min="17" style="0" width="10.55"/>
    <col collapsed="false" customWidth="true" hidden="false" outlineLevel="0" max="21" min="21" style="0" width="10.98"/>
    <col collapsed="false" customWidth="true" hidden="false" outlineLevel="0" max="1025" min="22" style="0" width="10.55"/>
  </cols>
  <sheetData>
    <row r="1" customFormat="false" ht="60" hidden="false" customHeight="true" outlineLevel="0" collapsed="false">
      <c r="A1" s="2351" t="s">
        <v>3222</v>
      </c>
      <c r="B1" s="2351"/>
      <c r="C1" s="2351"/>
      <c r="D1" s="2351"/>
      <c r="E1" s="2351"/>
      <c r="F1" s="2351"/>
      <c r="G1" s="2351"/>
      <c r="H1" s="2351"/>
      <c r="I1" s="2351"/>
      <c r="J1" s="2351"/>
      <c r="K1" s="2351"/>
    </row>
    <row r="2" customFormat="false" ht="29.25" hidden="false" customHeight="true" outlineLevel="0" collapsed="false">
      <c r="B2" s="2352"/>
      <c r="F2" s="0"/>
      <c r="J2" s="0"/>
    </row>
    <row r="3" customFormat="false" ht="12.75" hidden="false" customHeight="true" outlineLevel="0" collapsed="false">
      <c r="A3" s="2353" t="s">
        <v>3223</v>
      </c>
      <c r="B3" s="2104" t="s">
        <v>840</v>
      </c>
      <c r="C3" s="2354" t="s">
        <v>3224</v>
      </c>
      <c r="D3" s="2354"/>
      <c r="E3" s="2354"/>
      <c r="F3" s="2354"/>
      <c r="G3" s="2354"/>
      <c r="H3" s="2355" t="s">
        <v>3225</v>
      </c>
      <c r="I3" s="2356"/>
      <c r="J3" s="2249" t="s">
        <v>3045</v>
      </c>
      <c r="L3" s="1810" t="s">
        <v>3226</v>
      </c>
      <c r="M3" s="1810" t="s">
        <v>2905</v>
      </c>
    </row>
    <row r="4" customFormat="false" ht="15.75" hidden="false" customHeight="true" outlineLevel="0" collapsed="false">
      <c r="A4" s="2353"/>
      <c r="B4" s="931"/>
      <c r="C4" s="931"/>
      <c r="D4" s="931"/>
      <c r="E4" s="931"/>
      <c r="F4" s="2092"/>
      <c r="G4" s="931"/>
      <c r="H4" s="931"/>
      <c r="I4" s="2291"/>
      <c r="J4" s="2249"/>
      <c r="L4" s="1810" t="n">
        <v>0</v>
      </c>
      <c r="M4" s="1810" t="n">
        <v>0</v>
      </c>
      <c r="O4" s="1504"/>
    </row>
    <row r="5" customFormat="false" ht="26.25" hidden="false" customHeight="true" outlineLevel="0" collapsed="false">
      <c r="A5" s="2353"/>
      <c r="B5" s="931"/>
      <c r="C5" s="1597" t="s">
        <v>2822</v>
      </c>
      <c r="D5" s="1597"/>
      <c r="E5" s="1597"/>
      <c r="F5" s="1597"/>
      <c r="G5" s="2001" t="s">
        <v>2823</v>
      </c>
      <c r="H5" s="1810" t="s">
        <v>2824</v>
      </c>
      <c r="I5" s="1999"/>
      <c r="J5" s="2357" t="n">
        <f aca="false">MIN(35,SUM(H6,H15,H22))</f>
        <v>22</v>
      </c>
      <c r="L5" s="1572" t="n">
        <v>0.5</v>
      </c>
      <c r="M5" s="1572" t="n">
        <v>4</v>
      </c>
      <c r="O5" s="1504"/>
    </row>
    <row r="6" customFormat="false" ht="12.75" hidden="false" customHeight="true" outlineLevel="0" collapsed="false">
      <c r="A6" s="2353"/>
      <c r="B6" s="931"/>
      <c r="C6" s="2137" t="s">
        <v>3227</v>
      </c>
      <c r="D6" s="2137"/>
      <c r="E6" s="2137"/>
      <c r="F6" s="2109" t="n">
        <f aca="false">IF(E7&lt;L4,M4,IF(E7&lt;L5,M5,IF(E7&lt;L6,M6,IF(E7&lt;L7,M7,IF(E7&lt;L8,M8,M9)))))</f>
        <v>12</v>
      </c>
      <c r="G6" s="2124" t="n">
        <f aca="false">F6+F9</f>
        <v>16</v>
      </c>
      <c r="H6" s="2358" t="n">
        <f aca="false">MIN(20,G6)</f>
        <v>16</v>
      </c>
      <c r="I6" s="1753"/>
      <c r="J6" s="2357"/>
      <c r="L6" s="1810" t="n">
        <v>1</v>
      </c>
      <c r="M6" s="1810" t="n">
        <v>8</v>
      </c>
      <c r="O6" s="1504"/>
    </row>
    <row r="7" customFormat="false" ht="12.75" hidden="false" customHeight="true" outlineLevel="0" collapsed="false">
      <c r="A7" s="2353"/>
      <c r="B7" s="931"/>
      <c r="C7" s="1769" t="s">
        <v>3228</v>
      </c>
      <c r="D7" s="931"/>
      <c r="E7" s="2359" t="n">
        <f aca="false">'Saisie et Calculateur'!D1224</f>
        <v>1.49177985405155</v>
      </c>
      <c r="F7" s="2109"/>
      <c r="G7" s="2124"/>
      <c r="H7" s="2358"/>
      <c r="I7" s="1753"/>
      <c r="J7" s="2357"/>
      <c r="L7" s="1810" t="n">
        <v>1.5</v>
      </c>
      <c r="M7" s="1810" t="n">
        <v>12</v>
      </c>
      <c r="O7" s="1504"/>
    </row>
    <row r="8" customFormat="false" ht="12.75" hidden="false" customHeight="true" outlineLevel="0" collapsed="false">
      <c r="A8" s="2353"/>
      <c r="B8" s="931"/>
      <c r="C8" s="1769"/>
      <c r="D8" s="931"/>
      <c r="E8" s="931"/>
      <c r="F8" s="2109"/>
      <c r="G8" s="2124"/>
      <c r="H8" s="2358"/>
      <c r="I8" s="1753"/>
      <c r="J8" s="2357"/>
      <c r="L8" s="1810" t="n">
        <v>2.5</v>
      </c>
      <c r="M8" s="1810" t="n">
        <v>16</v>
      </c>
      <c r="O8" s="1504"/>
    </row>
    <row r="9" customFormat="false" ht="12.75" hidden="false" customHeight="true" outlineLevel="0" collapsed="false">
      <c r="A9" s="2353"/>
      <c r="B9" s="931"/>
      <c r="C9" s="2140" t="s">
        <v>3229</v>
      </c>
      <c r="D9" s="2140"/>
      <c r="E9" s="2140"/>
      <c r="F9" s="2274" t="n">
        <f aca="false">'Saisie et Calculateur'!D1228</f>
        <v>4</v>
      </c>
      <c r="G9" s="2124"/>
      <c r="H9" s="2358"/>
      <c r="I9" s="1753"/>
      <c r="J9" s="2357"/>
      <c r="L9" s="1572"/>
      <c r="M9" s="1810" t="n">
        <v>20</v>
      </c>
      <c r="O9" s="1504"/>
    </row>
    <row r="10" customFormat="false" ht="15" hidden="false" customHeight="true" outlineLevel="0" collapsed="false">
      <c r="A10" s="2353"/>
      <c r="B10" s="2360"/>
      <c r="C10" s="931"/>
      <c r="D10" s="931"/>
      <c r="E10" s="931"/>
      <c r="F10" s="2092"/>
      <c r="G10" s="931"/>
      <c r="H10" s="931"/>
      <c r="I10" s="931"/>
      <c r="J10" s="2357"/>
      <c r="O10" s="1504"/>
    </row>
    <row r="11" customFormat="false" ht="15" hidden="false" customHeight="true" outlineLevel="0" collapsed="false">
      <c r="A11" s="2353"/>
      <c r="B11" s="2360"/>
      <c r="C11" s="931"/>
      <c r="D11" s="931"/>
      <c r="E11" s="931"/>
      <c r="F11" s="2092"/>
      <c r="G11" s="931"/>
      <c r="H11" s="931"/>
      <c r="I11" s="931"/>
      <c r="J11" s="2357"/>
      <c r="L11" s="1504"/>
      <c r="M11" s="1504"/>
      <c r="N11" s="1504"/>
      <c r="O11" s="1504"/>
    </row>
    <row r="12" customFormat="false" ht="12.75" hidden="false" customHeight="true" outlineLevel="0" collapsed="false">
      <c r="A12" s="2353"/>
      <c r="B12" s="931" t="s">
        <v>865</v>
      </c>
      <c r="C12" s="2361" t="s">
        <v>3230</v>
      </c>
      <c r="D12" s="2361"/>
      <c r="E12" s="2361"/>
      <c r="F12" s="2361"/>
      <c r="G12" s="2361"/>
      <c r="H12" s="2362" t="s">
        <v>3231</v>
      </c>
      <c r="I12" s="1903"/>
      <c r="J12" s="2357"/>
      <c r="L12" s="2363"/>
      <c r="M12" s="2364"/>
      <c r="N12" s="1504"/>
      <c r="O12" s="1504"/>
    </row>
    <row r="13" customFormat="false" ht="15" hidden="false" customHeight="true" outlineLevel="0" collapsed="false">
      <c r="A13" s="2353"/>
      <c r="B13" s="931"/>
      <c r="C13" s="1999"/>
      <c r="D13" s="1999"/>
      <c r="E13" s="1999"/>
      <c r="F13" s="2365"/>
      <c r="G13" s="1999"/>
      <c r="H13" s="1999"/>
      <c r="I13" s="1999"/>
      <c r="J13" s="2357"/>
      <c r="L13" s="2366" t="s">
        <v>3232</v>
      </c>
      <c r="M13" s="2367" t="s">
        <v>2855</v>
      </c>
      <c r="N13" s="1504"/>
      <c r="O13" s="1504"/>
      <c r="P13" s="1833"/>
    </row>
    <row r="14" customFormat="false" ht="25.5" hidden="false" customHeight="true" outlineLevel="0" collapsed="false">
      <c r="A14" s="2353"/>
      <c r="B14" s="931"/>
      <c r="C14" s="1597" t="s">
        <v>2822</v>
      </c>
      <c r="D14" s="1597"/>
      <c r="E14" s="1597"/>
      <c r="F14" s="1597"/>
      <c r="G14" s="2001" t="s">
        <v>2823</v>
      </c>
      <c r="H14" s="1810" t="s">
        <v>2824</v>
      </c>
      <c r="I14" s="1999"/>
      <c r="J14" s="2357"/>
      <c r="L14" s="2368" t="n">
        <v>0.3</v>
      </c>
      <c r="M14" s="1810" t="n">
        <v>12</v>
      </c>
      <c r="N14" s="1504"/>
      <c r="O14" s="1504"/>
    </row>
    <row r="15" customFormat="false" ht="12.75" hidden="false" customHeight="true" outlineLevel="0" collapsed="false">
      <c r="A15" s="2353"/>
      <c r="B15" s="931"/>
      <c r="C15" s="2369" t="s">
        <v>3233</v>
      </c>
      <c r="D15" s="1865"/>
      <c r="E15" s="1865"/>
      <c r="F15" s="2332" t="n">
        <f aca="false">IF(E16&lt;0,0,IF(E16&lt;L14,M14,IF(E16&lt;L15,M15,IF(E16&lt;L16,M16,M17))))</f>
        <v>0</v>
      </c>
      <c r="G15" s="2252" t="n">
        <f aca="false">F15</f>
        <v>0</v>
      </c>
      <c r="H15" s="2358" t="n">
        <f aca="false">MIN(12,G15)</f>
        <v>0</v>
      </c>
      <c r="I15" s="1753"/>
      <c r="J15" s="2357"/>
      <c r="L15" s="2002" t="n">
        <v>0.45</v>
      </c>
      <c r="M15" s="1810" t="n">
        <v>8</v>
      </c>
      <c r="N15" s="1504"/>
      <c r="O15" s="1504"/>
    </row>
    <row r="16" customFormat="false" ht="12.75" hidden="false" customHeight="true" outlineLevel="0" collapsed="false">
      <c r="A16" s="2353"/>
      <c r="B16" s="931"/>
      <c r="C16" s="2117"/>
      <c r="D16" s="2293" t="s">
        <v>3234</v>
      </c>
      <c r="E16" s="2129" t="n">
        <f aca="false">'Saisie et Calculateur'!D1233</f>
        <v>0.661008831415309</v>
      </c>
      <c r="F16" s="2332"/>
      <c r="G16" s="2252"/>
      <c r="H16" s="2358"/>
      <c r="I16" s="1753"/>
      <c r="J16" s="2357"/>
      <c r="L16" s="2264" t="n">
        <v>0.6</v>
      </c>
      <c r="M16" s="2001" t="n">
        <v>4</v>
      </c>
      <c r="N16" s="1504"/>
      <c r="O16" s="2370"/>
    </row>
    <row r="17" customFormat="false" ht="15" hidden="false" customHeight="true" outlineLevel="0" collapsed="false">
      <c r="A17" s="2353"/>
      <c r="B17" s="931"/>
      <c r="C17" s="931"/>
      <c r="D17" s="931"/>
      <c r="E17" s="931"/>
      <c r="F17" s="2092"/>
      <c r="G17" s="931"/>
      <c r="H17" s="931"/>
      <c r="I17" s="931"/>
      <c r="J17" s="2357"/>
      <c r="L17" s="2237"/>
      <c r="M17" s="2017" t="n">
        <v>0</v>
      </c>
      <c r="N17" s="1504"/>
      <c r="O17" s="1504"/>
    </row>
    <row r="18" customFormat="false" ht="15.75" hidden="false" customHeight="true" outlineLevel="0" collapsed="false">
      <c r="A18" s="2353"/>
      <c r="B18" s="931"/>
      <c r="C18" s="931"/>
      <c r="D18" s="931"/>
      <c r="E18" s="931"/>
      <c r="F18" s="2092"/>
      <c r="G18" s="931"/>
      <c r="H18" s="931"/>
      <c r="I18" s="931"/>
      <c r="J18" s="2357"/>
      <c r="L18" s="1504"/>
      <c r="M18" s="1504"/>
      <c r="N18" s="1504"/>
      <c r="O18" s="1504"/>
    </row>
    <row r="19" customFormat="false" ht="12.75" hidden="false" customHeight="true" outlineLevel="0" collapsed="false">
      <c r="A19" s="2353"/>
      <c r="B19" s="931" t="s">
        <v>859</v>
      </c>
      <c r="C19" s="2361" t="s">
        <v>3235</v>
      </c>
      <c r="D19" s="2361"/>
      <c r="E19" s="2361"/>
      <c r="F19" s="2361"/>
      <c r="G19" s="2361"/>
      <c r="H19" s="2362" t="s">
        <v>2989</v>
      </c>
      <c r="I19" s="1903"/>
      <c r="J19" s="2357"/>
      <c r="L19" s="2363"/>
      <c r="M19" s="2364"/>
      <c r="N19" s="1504"/>
      <c r="O19" s="1504"/>
      <c r="R19" s="931"/>
    </row>
    <row r="20" customFormat="false" ht="12.75" hidden="false" customHeight="true" outlineLevel="0" collapsed="false">
      <c r="A20" s="2353"/>
      <c r="B20" s="931"/>
      <c r="C20" s="1999"/>
      <c r="D20" s="1999"/>
      <c r="E20" s="1999"/>
      <c r="F20" s="2365"/>
      <c r="G20" s="1999"/>
      <c r="H20" s="1999"/>
      <c r="I20" s="1999"/>
      <c r="J20" s="2357"/>
      <c r="L20" s="2366" t="s">
        <v>3236</v>
      </c>
      <c r="M20" s="2367" t="s">
        <v>2895</v>
      </c>
      <c r="N20" s="1504"/>
      <c r="O20" s="1504"/>
      <c r="R20" s="931"/>
      <c r="S20" s="931"/>
      <c r="T20" s="931"/>
      <c r="U20" s="931"/>
    </row>
    <row r="21" customFormat="false" ht="30" hidden="false" customHeight="true" outlineLevel="0" collapsed="false">
      <c r="A21" s="2353"/>
      <c r="B21" s="931"/>
      <c r="C21" s="1597" t="s">
        <v>2822</v>
      </c>
      <c r="D21" s="1597"/>
      <c r="E21" s="1597"/>
      <c r="F21" s="1597"/>
      <c r="G21" s="2001" t="s">
        <v>2823</v>
      </c>
      <c r="H21" s="1810" t="s">
        <v>2824</v>
      </c>
      <c r="I21" s="1999"/>
      <c r="J21" s="2357"/>
      <c r="L21" s="2002" t="n">
        <v>0.3</v>
      </c>
      <c r="M21" s="1810" t="n">
        <v>6</v>
      </c>
      <c r="N21" s="2371"/>
      <c r="O21" s="1504"/>
      <c r="R21" s="931"/>
      <c r="S21" s="931"/>
      <c r="T21" s="931"/>
      <c r="U21" s="931"/>
    </row>
    <row r="22" customFormat="false" ht="12.75" hidden="false" customHeight="true" outlineLevel="0" collapsed="false">
      <c r="A22" s="2353"/>
      <c r="B22" s="931"/>
      <c r="C22" s="2369" t="s">
        <v>3237</v>
      </c>
      <c r="D22" s="1865"/>
      <c r="E22" s="1865"/>
      <c r="F22" s="2332" t="n">
        <f aca="false">IF(E23&lt;L21,M21,IF(E23&lt;L22,M22,M23))</f>
        <v>6</v>
      </c>
      <c r="G22" s="2252" t="n">
        <f aca="false">F22</f>
        <v>6</v>
      </c>
      <c r="H22" s="2358" t="n">
        <f aca="false">MIN(6,G22)</f>
        <v>6</v>
      </c>
      <c r="I22" s="1753"/>
      <c r="J22" s="2357"/>
      <c r="L22" s="2002" t="n">
        <v>0.6</v>
      </c>
      <c r="M22" s="1810" t="n">
        <v>3</v>
      </c>
      <c r="N22" s="2371"/>
      <c r="O22" s="1504"/>
      <c r="S22" s="931"/>
      <c r="T22" s="931"/>
      <c r="U22" s="931"/>
    </row>
    <row r="23" customFormat="false" ht="12.75" hidden="false" customHeight="true" outlineLevel="0" collapsed="false">
      <c r="A23" s="2353"/>
      <c r="B23" s="931"/>
      <c r="C23" s="2117"/>
      <c r="D23" s="2293" t="s">
        <v>1130</v>
      </c>
      <c r="E23" s="2119" t="n">
        <f aca="false">'Saisie et Calculateur'!D1238</f>
        <v>0.145652369202033</v>
      </c>
      <c r="F23" s="2332"/>
      <c r="G23" s="2252"/>
      <c r="H23" s="2358"/>
      <c r="I23" s="1753"/>
      <c r="J23" s="2357"/>
      <c r="L23" s="2002"/>
      <c r="M23" s="1810" t="n">
        <v>0</v>
      </c>
      <c r="N23" s="1504"/>
      <c r="O23" s="1504"/>
      <c r="S23" s="931"/>
      <c r="T23" s="931"/>
      <c r="U23" s="931"/>
    </row>
    <row r="24" customFormat="false" ht="13.5" hidden="false" customHeight="true" outlineLevel="0" collapsed="false">
      <c r="A24" s="2353"/>
      <c r="B24" s="2134"/>
      <c r="C24" s="2134"/>
      <c r="D24" s="2134"/>
      <c r="E24" s="2134"/>
      <c r="F24" s="2372"/>
      <c r="G24" s="2134"/>
      <c r="H24" s="2134"/>
      <c r="I24" s="2134"/>
      <c r="J24" s="2357"/>
    </row>
    <row r="25" customFormat="false" ht="13.5" hidden="false" customHeight="true" outlineLevel="0" collapsed="false"/>
    <row r="26" customFormat="false" ht="15" hidden="false" customHeight="true" outlineLevel="0" collapsed="false">
      <c r="A26" s="2373" t="s">
        <v>3238</v>
      </c>
      <c r="B26" s="2104" t="s">
        <v>3239</v>
      </c>
      <c r="C26" s="2354" t="s">
        <v>3240</v>
      </c>
      <c r="D26" s="2354"/>
      <c r="E26" s="2354"/>
      <c r="F26" s="2354"/>
      <c r="G26" s="2354"/>
      <c r="H26" s="2355" t="s">
        <v>3241</v>
      </c>
      <c r="I26" s="2374"/>
      <c r="J26" s="2375" t="n">
        <f aca="false">MIN(25,SUM(H29+H40+H53+H60))</f>
        <v>20</v>
      </c>
      <c r="L26" s="1810" t="s">
        <v>3242</v>
      </c>
      <c r="M26" s="1810" t="s">
        <v>2895</v>
      </c>
      <c r="O26" s="2376" t="s">
        <v>3243</v>
      </c>
      <c r="P26" s="2251" t="s">
        <v>2895</v>
      </c>
    </row>
    <row r="27" customFormat="false" ht="15" hidden="false" customHeight="true" outlineLevel="0" collapsed="false">
      <c r="A27" s="2373"/>
      <c r="B27" s="931"/>
      <c r="C27" s="1999"/>
      <c r="D27" s="1999"/>
      <c r="E27" s="1999"/>
      <c r="F27" s="2365"/>
      <c r="G27" s="1999"/>
      <c r="H27" s="1999"/>
      <c r="I27" s="1999"/>
      <c r="J27" s="2375"/>
      <c r="L27" s="2002" t="n">
        <v>0.5</v>
      </c>
      <c r="M27" s="1810" t="n">
        <v>8</v>
      </c>
      <c r="O27" s="2251" t="n">
        <v>3</v>
      </c>
      <c r="P27" s="2251" t="n">
        <v>4</v>
      </c>
    </row>
    <row r="28" customFormat="false" ht="26.25" hidden="false" customHeight="true" outlineLevel="0" collapsed="false">
      <c r="A28" s="2373"/>
      <c r="B28" s="931"/>
      <c r="C28" s="1597" t="s">
        <v>2822</v>
      </c>
      <c r="D28" s="1597"/>
      <c r="E28" s="1597"/>
      <c r="F28" s="1597"/>
      <c r="G28" s="2001" t="s">
        <v>2823</v>
      </c>
      <c r="H28" s="1810" t="s">
        <v>2824</v>
      </c>
      <c r="I28" s="1999"/>
      <c r="J28" s="2375"/>
      <c r="L28" s="2002" t="n">
        <v>0.75</v>
      </c>
      <c r="M28" s="1810" t="n">
        <v>4</v>
      </c>
      <c r="N28" s="2257"/>
      <c r="O28" s="2251" t="n">
        <v>1</v>
      </c>
      <c r="P28" s="2251" t="n">
        <v>2</v>
      </c>
    </row>
    <row r="29" customFormat="false" ht="28.5" hidden="false" customHeight="true" outlineLevel="0" collapsed="false">
      <c r="A29" s="2373"/>
      <c r="B29" s="931"/>
      <c r="C29" s="2137" t="s">
        <v>3244</v>
      </c>
      <c r="D29" s="2137"/>
      <c r="E29" s="2137"/>
      <c r="F29" s="2109" t="n">
        <f aca="false">IF(E30&lt;L27,M27,IF(E30&lt;L28,M28,IF(E30&lt;L29,M29,M30)))</f>
        <v>4</v>
      </c>
      <c r="G29" s="2252" t="n">
        <f aca="false">F29+F32</f>
        <v>6</v>
      </c>
      <c r="H29" s="2358" t="n">
        <f aca="false">MIN(10,G29)</f>
        <v>6</v>
      </c>
      <c r="I29" s="2377"/>
      <c r="J29" s="2375"/>
      <c r="K29" s="1770"/>
      <c r="L29" s="2002" t="n">
        <v>0.95</v>
      </c>
      <c r="M29" s="1810" t="n">
        <v>2</v>
      </c>
      <c r="N29" s="2257"/>
      <c r="O29" s="2251"/>
      <c r="P29" s="2251" t="n">
        <v>0</v>
      </c>
    </row>
    <row r="30" customFormat="false" ht="12.75" hidden="false" customHeight="true" outlineLevel="0" collapsed="false">
      <c r="A30" s="2373"/>
      <c r="B30" s="931"/>
      <c r="C30" s="1769"/>
      <c r="D30" s="650" t="s">
        <v>1130</v>
      </c>
      <c r="E30" s="2061" t="n">
        <f aca="false">'Saisie et Calculateur'!J1250</f>
        <v>0.6</v>
      </c>
      <c r="F30" s="2109"/>
      <c r="G30" s="2252"/>
      <c r="H30" s="2358"/>
      <c r="I30" s="2377"/>
      <c r="J30" s="2375"/>
      <c r="K30" s="1770"/>
      <c r="L30" s="1554"/>
      <c r="M30" s="2378" t="n">
        <v>0</v>
      </c>
    </row>
    <row r="31" customFormat="false" ht="12.75" hidden="false" customHeight="true" outlineLevel="0" collapsed="false">
      <c r="A31" s="2373"/>
      <c r="B31" s="931"/>
      <c r="C31" s="1769"/>
      <c r="D31" s="650"/>
      <c r="E31" s="2061"/>
      <c r="F31" s="2109"/>
      <c r="G31" s="2252"/>
      <c r="H31" s="2358"/>
      <c r="I31" s="2377"/>
      <c r="J31" s="2375"/>
      <c r="K31" s="931"/>
      <c r="L31" s="931"/>
      <c r="M31" s="2291"/>
    </row>
    <row r="32" customFormat="false" ht="12.75" hidden="false" customHeight="true" outlineLevel="0" collapsed="false">
      <c r="A32" s="2373"/>
      <c r="B32" s="931"/>
      <c r="C32" s="2126" t="s">
        <v>3245</v>
      </c>
      <c r="D32" s="2126"/>
      <c r="E32" s="2126"/>
      <c r="F32" s="2127" t="n">
        <f aca="false">IF(ISNUMBER(E34)=FALSE(),0,IF(E34="0",P27,IF(E34&gt;O27,P27,IF(E34&gt;O28,P28,P29))))</f>
        <v>2</v>
      </c>
      <c r="G32" s="2252"/>
      <c r="H32" s="2358"/>
      <c r="I32" s="1999"/>
      <c r="J32" s="2375"/>
      <c r="K32" s="931"/>
      <c r="L32" s="1903"/>
    </row>
    <row r="33" customFormat="false" ht="12.75" hidden="false" customHeight="true" outlineLevel="0" collapsed="false">
      <c r="A33" s="2373"/>
      <c r="B33" s="931"/>
      <c r="C33" s="2173" t="s">
        <v>3246</v>
      </c>
      <c r="D33" s="2173"/>
      <c r="E33" s="2173"/>
      <c r="F33" s="2127"/>
      <c r="G33" s="2252"/>
      <c r="H33" s="2358"/>
      <c r="I33" s="2377"/>
      <c r="J33" s="2375"/>
      <c r="K33" s="931"/>
      <c r="L33" s="931"/>
    </row>
    <row r="34" customFormat="false" ht="12.75" hidden="false" customHeight="true" outlineLevel="0" collapsed="false">
      <c r="A34" s="2373"/>
      <c r="B34" s="931"/>
      <c r="C34" s="2117"/>
      <c r="D34" s="2293" t="s">
        <v>3247</v>
      </c>
      <c r="E34" s="2379" t="n">
        <f aca="false">'Saisie et Calculateur'!J1261</f>
        <v>2</v>
      </c>
      <c r="F34" s="2127"/>
      <c r="G34" s="2252"/>
      <c r="H34" s="2358"/>
      <c r="I34" s="2377"/>
      <c r="J34" s="2375"/>
      <c r="K34" s="931"/>
      <c r="L34" s="931"/>
    </row>
    <row r="35" customFormat="false" ht="15" hidden="false" customHeight="true" outlineLevel="0" collapsed="false">
      <c r="A35" s="2373"/>
      <c r="B35" s="931"/>
      <c r="C35" s="931"/>
      <c r="D35" s="931"/>
      <c r="E35" s="2380"/>
      <c r="G35" s="931"/>
      <c r="H35" s="931"/>
      <c r="I35" s="931"/>
      <c r="J35" s="2375"/>
      <c r="N35" s="1833"/>
    </row>
    <row r="36" customFormat="false" ht="12.75" hidden="false" customHeight="true" outlineLevel="0" collapsed="false">
      <c r="A36" s="2373"/>
      <c r="B36" s="931"/>
      <c r="C36" s="931"/>
      <c r="D36" s="931"/>
      <c r="E36" s="931"/>
      <c r="F36" s="2092"/>
      <c r="G36" s="931"/>
      <c r="H36" s="931"/>
      <c r="I36" s="931"/>
      <c r="J36" s="2375"/>
    </row>
    <row r="37" customFormat="false" ht="12.75" hidden="false" customHeight="true" outlineLevel="0" collapsed="false">
      <c r="A37" s="2373"/>
      <c r="B37" s="931" t="s">
        <v>945</v>
      </c>
      <c r="C37" s="2361" t="s">
        <v>3248</v>
      </c>
      <c r="D37" s="2361"/>
      <c r="E37" s="2361"/>
      <c r="F37" s="2361"/>
      <c r="G37" s="2361"/>
      <c r="H37" s="2362" t="s">
        <v>3241</v>
      </c>
      <c r="I37" s="1903"/>
      <c r="J37" s="2375"/>
    </row>
    <row r="38" customFormat="false" ht="12.75" hidden="false" customHeight="true" outlineLevel="0" collapsed="false">
      <c r="A38" s="2373"/>
      <c r="B38" s="931"/>
      <c r="C38" s="1999"/>
      <c r="D38" s="1999"/>
      <c r="E38" s="1999"/>
      <c r="F38" s="2365"/>
      <c r="G38" s="1999"/>
      <c r="H38" s="1999"/>
      <c r="I38" s="1999"/>
      <c r="J38" s="2375"/>
    </row>
    <row r="39" customFormat="false" ht="24.75" hidden="false" customHeight="true" outlineLevel="0" collapsed="false">
      <c r="A39" s="2373"/>
      <c r="B39" s="931"/>
      <c r="C39" s="1597" t="s">
        <v>2822</v>
      </c>
      <c r="D39" s="1597"/>
      <c r="E39" s="1597"/>
      <c r="F39" s="1597"/>
      <c r="G39" s="2001" t="s">
        <v>2823</v>
      </c>
      <c r="H39" s="1810" t="s">
        <v>2824</v>
      </c>
      <c r="I39" s="1999"/>
      <c r="J39" s="2375"/>
      <c r="L39" s="2106" t="s">
        <v>3249</v>
      </c>
      <c r="M39" s="2381" t="s">
        <v>2895</v>
      </c>
      <c r="O39" s="2106" t="s">
        <v>3250</v>
      </c>
      <c r="P39" s="2381" t="s">
        <v>2895</v>
      </c>
      <c r="Q39" s="2316"/>
      <c r="S39" s="2001" t="s">
        <v>3251</v>
      </c>
    </row>
    <row r="40" customFormat="false" ht="15" hidden="false" customHeight="true" outlineLevel="0" collapsed="false">
      <c r="A40" s="2373"/>
      <c r="B40" s="931"/>
      <c r="C40" s="2137" t="s">
        <v>3252</v>
      </c>
      <c r="D40" s="2137"/>
      <c r="E40" s="2137"/>
      <c r="F40" s="2109" t="n">
        <f aca="false">IF(E42=0,0,IF(E42&lt;L40,M40,IF(E42&lt;L41,M41,M42)))</f>
        <v>3</v>
      </c>
      <c r="G40" s="2252" t="n">
        <f aca="false">IF(F40+F44&lt;0,0,F40+F44)</f>
        <v>4</v>
      </c>
      <c r="H40" s="2358" t="n">
        <f aca="false">MIN(10,G40)</f>
        <v>4</v>
      </c>
      <c r="I40" s="1753"/>
      <c r="J40" s="2375"/>
      <c r="L40" s="2002" t="n">
        <v>0.33</v>
      </c>
      <c r="M40" s="1810" t="n">
        <v>6</v>
      </c>
      <c r="O40" s="1810" t="s">
        <v>952</v>
      </c>
      <c r="P40" s="1810" t="n">
        <v>6</v>
      </c>
      <c r="R40" s="1554" t="s">
        <v>253</v>
      </c>
      <c r="S40" s="1554" t="n">
        <v>-2</v>
      </c>
    </row>
    <row r="41" customFormat="false" ht="12.75" hidden="false" customHeight="true" outlineLevel="0" collapsed="false">
      <c r="A41" s="2373"/>
      <c r="B41" s="931"/>
      <c r="C41" s="1769" t="s">
        <v>3253</v>
      </c>
      <c r="D41" s="931"/>
      <c r="E41" s="2382"/>
      <c r="F41" s="2109"/>
      <c r="G41" s="2252"/>
      <c r="H41" s="2358"/>
      <c r="I41" s="1753"/>
      <c r="J41" s="2375"/>
      <c r="L41" s="2002" t="n">
        <v>0.66</v>
      </c>
      <c r="M41" s="1810" t="n">
        <v>3</v>
      </c>
      <c r="N41" s="2257"/>
      <c r="O41" s="1810" t="s">
        <v>953</v>
      </c>
      <c r="P41" s="1810" t="n">
        <v>6</v>
      </c>
      <c r="R41" s="1554" t="s">
        <v>254</v>
      </c>
      <c r="S41" s="1554" t="n">
        <v>0</v>
      </c>
    </row>
    <row r="42" customFormat="false" ht="13.5" hidden="false" customHeight="true" outlineLevel="0" collapsed="false">
      <c r="A42" s="2373"/>
      <c r="B42" s="931"/>
      <c r="C42" s="1769"/>
      <c r="D42" s="650" t="s">
        <v>1130</v>
      </c>
      <c r="E42" s="2061" t="n">
        <f aca="false">'Saisie et Calculateur'!D1309</f>
        <v>0.6</v>
      </c>
      <c r="F42" s="2109"/>
      <c r="G42" s="2252"/>
      <c r="H42" s="2358"/>
      <c r="I42" s="1753"/>
      <c r="J42" s="2375"/>
      <c r="L42" s="2002"/>
      <c r="M42" s="1810" t="n">
        <v>0</v>
      </c>
      <c r="N42" s="2257"/>
      <c r="O42" s="1810" t="s">
        <v>950</v>
      </c>
      <c r="P42" s="1810" t="n">
        <v>3</v>
      </c>
    </row>
    <row r="43" customFormat="false" ht="12.75" hidden="false" customHeight="true" outlineLevel="0" collapsed="false">
      <c r="A43" s="2373"/>
      <c r="B43" s="931"/>
      <c r="C43" s="1769"/>
      <c r="D43" s="931"/>
      <c r="E43" s="2383"/>
      <c r="F43" s="2109"/>
      <c r="G43" s="2252"/>
      <c r="H43" s="2358"/>
      <c r="I43" s="1753"/>
      <c r="J43" s="2375"/>
      <c r="L43" s="2384"/>
      <c r="M43" s="2291"/>
      <c r="N43" s="2257"/>
      <c r="O43" s="1810" t="s">
        <v>949</v>
      </c>
      <c r="P43" s="1810" t="n">
        <v>0</v>
      </c>
    </row>
    <row r="44" customFormat="false" ht="12.75" hidden="false" customHeight="true" outlineLevel="0" collapsed="false">
      <c r="A44" s="2373"/>
      <c r="B44" s="931"/>
      <c r="C44" s="2111" t="s">
        <v>3254</v>
      </c>
      <c r="D44" s="2111"/>
      <c r="E44" s="2111"/>
      <c r="F44" s="2115" t="n">
        <f aca="false">E45+E47</f>
        <v>1</v>
      </c>
      <c r="G44" s="2252"/>
      <c r="H44" s="2358"/>
      <c r="I44" s="1753"/>
      <c r="J44" s="2375"/>
    </row>
    <row r="45" customFormat="false" ht="12.75" hidden="false" customHeight="true" outlineLevel="0" collapsed="false">
      <c r="A45" s="2373"/>
      <c r="B45" s="931"/>
      <c r="C45" s="2385" t="s">
        <v>3255</v>
      </c>
      <c r="D45" s="2386" t="str">
        <f aca="false">'Saisie et Calculateur'!D1312</f>
        <v>adhésion coop</v>
      </c>
      <c r="E45" s="2297" t="n">
        <f aca="false">IF(D45=O40,P40,IF(D45=O41,P41,IF(D45=O42,P42,P43)))</f>
        <v>3</v>
      </c>
      <c r="F45" s="2115"/>
      <c r="G45" s="2252"/>
      <c r="H45" s="2358"/>
      <c r="I45" s="1753"/>
      <c r="J45" s="2375"/>
      <c r="L45" s="1538"/>
      <c r="S45" s="931"/>
    </row>
    <row r="46" customFormat="false" ht="15" hidden="false" customHeight="true" outlineLevel="0" collapsed="false">
      <c r="A46" s="2373"/>
      <c r="B46" s="931"/>
      <c r="C46" s="2387" t="s">
        <v>3256</v>
      </c>
      <c r="D46" s="931"/>
      <c r="E46" s="931"/>
      <c r="F46" s="2115"/>
      <c r="G46" s="2252"/>
      <c r="H46" s="2358"/>
      <c r="I46" s="1753"/>
      <c r="J46" s="2375"/>
      <c r="N46" s="1833"/>
    </row>
    <row r="47" customFormat="false" ht="12.75" hidden="false" customHeight="true" outlineLevel="0" collapsed="false">
      <c r="A47" s="2373"/>
      <c r="B47" s="931"/>
      <c r="C47" s="2388" t="s">
        <v>3257</v>
      </c>
      <c r="D47" s="2159" t="str">
        <f aca="false">'Saisie et Calculateur'!D1315</f>
        <v>oui</v>
      </c>
      <c r="E47" s="2389" t="n">
        <f aca="false">IF(D47=R40,S40,S41)</f>
        <v>-2</v>
      </c>
      <c r="F47" s="2115"/>
      <c r="G47" s="2252"/>
      <c r="H47" s="2358"/>
      <c r="I47" s="1753"/>
      <c r="J47" s="2375"/>
    </row>
    <row r="48" customFormat="false" ht="12.75" hidden="false" customHeight="true" outlineLevel="0" collapsed="false">
      <c r="A48" s="2373"/>
      <c r="B48" s="931"/>
      <c r="C48" s="931"/>
      <c r="D48" s="931"/>
      <c r="E48" s="931"/>
      <c r="F48" s="2092"/>
      <c r="G48" s="931"/>
      <c r="H48" s="931"/>
      <c r="I48" s="931"/>
      <c r="J48" s="2375"/>
    </row>
    <row r="49" customFormat="false" ht="12.75" hidden="false" customHeight="true" outlineLevel="0" collapsed="false">
      <c r="A49" s="2373"/>
      <c r="B49" s="931"/>
      <c r="C49" s="931"/>
      <c r="D49" s="931"/>
      <c r="E49" s="931"/>
      <c r="F49" s="2092"/>
      <c r="G49" s="931"/>
      <c r="H49" s="931"/>
      <c r="I49" s="931"/>
      <c r="J49" s="2375"/>
    </row>
    <row r="50" customFormat="false" ht="12.75" hidden="false" customHeight="true" outlineLevel="0" collapsed="false">
      <c r="A50" s="2373"/>
      <c r="B50" s="931" t="s">
        <v>851</v>
      </c>
      <c r="C50" s="2361" t="s">
        <v>3258</v>
      </c>
      <c r="D50" s="2361"/>
      <c r="E50" s="2361"/>
      <c r="F50" s="2361"/>
      <c r="G50" s="2361"/>
      <c r="H50" s="2362" t="s">
        <v>2989</v>
      </c>
      <c r="I50" s="1903"/>
      <c r="J50" s="2375"/>
      <c r="L50" s="1810" t="s">
        <v>3259</v>
      </c>
      <c r="M50" s="1810" t="s">
        <v>2895</v>
      </c>
    </row>
    <row r="51" customFormat="false" ht="12.75" hidden="false" customHeight="true" outlineLevel="0" collapsed="false">
      <c r="A51" s="2373"/>
      <c r="B51" s="931"/>
      <c r="C51" s="1999"/>
      <c r="D51" s="1999"/>
      <c r="E51" s="1999"/>
      <c r="F51" s="2365"/>
      <c r="G51" s="1999"/>
      <c r="H51" s="1999"/>
      <c r="I51" s="1999"/>
      <c r="J51" s="2375"/>
      <c r="L51" s="2002" t="n">
        <v>0.25</v>
      </c>
      <c r="M51" s="1810" t="n">
        <v>6</v>
      </c>
    </row>
    <row r="52" customFormat="false" ht="24.75" hidden="false" customHeight="true" outlineLevel="0" collapsed="false">
      <c r="A52" s="2373"/>
      <c r="B52" s="931"/>
      <c r="C52" s="1597" t="s">
        <v>2822</v>
      </c>
      <c r="D52" s="1597"/>
      <c r="E52" s="1597"/>
      <c r="F52" s="1597"/>
      <c r="G52" s="2001" t="s">
        <v>2823</v>
      </c>
      <c r="H52" s="1810" t="s">
        <v>2824</v>
      </c>
      <c r="I52" s="1999"/>
      <c r="J52" s="2375"/>
      <c r="L52" s="2002" t="n">
        <v>0.5</v>
      </c>
      <c r="M52" s="1810" t="n">
        <v>4</v>
      </c>
      <c r="N52" s="2257"/>
    </row>
    <row r="53" customFormat="false" ht="12.75" hidden="false" customHeight="true" outlineLevel="0" collapsed="false">
      <c r="A53" s="2373"/>
      <c r="B53" s="931"/>
      <c r="C53" s="2390" t="s">
        <v>3260</v>
      </c>
      <c r="D53" s="1865"/>
      <c r="E53" s="1865"/>
      <c r="F53" s="2332" t="n">
        <f aca="false">IF(E54&lt;0,0,IF(E54&lt;L51,M51,IF(E54&lt;L52,M52,IF(E54&lt;L53,M53,M54))))</f>
        <v>6</v>
      </c>
      <c r="G53" s="2252" t="n">
        <f aca="false">F53</f>
        <v>6</v>
      </c>
      <c r="H53" s="2358" t="n">
        <f aca="false">MIN(6,G53)</f>
        <v>6</v>
      </c>
      <c r="I53" s="1753"/>
      <c r="J53" s="2375"/>
      <c r="L53" s="2026" t="n">
        <v>1</v>
      </c>
      <c r="M53" s="1763" t="n">
        <v>2</v>
      </c>
      <c r="N53" s="2257"/>
      <c r="O53" s="931"/>
    </row>
    <row r="54" customFormat="false" ht="12.75" hidden="false" customHeight="true" outlineLevel="0" collapsed="false">
      <c r="A54" s="2373"/>
      <c r="B54" s="931"/>
      <c r="C54" s="2117"/>
      <c r="D54" s="2293" t="s">
        <v>1130</v>
      </c>
      <c r="E54" s="2119" t="n">
        <f aca="false">'Saisie et Calculateur'!D1320</f>
        <v>0.201788663739274</v>
      </c>
      <c r="F54" s="2332"/>
      <c r="G54" s="2252"/>
      <c r="H54" s="2358"/>
      <c r="I54" s="1753"/>
      <c r="J54" s="2375"/>
      <c r="L54" s="2002"/>
      <c r="M54" s="1810" t="n">
        <v>0</v>
      </c>
      <c r="N54" s="2257"/>
    </row>
    <row r="55" customFormat="false" ht="12.75" hidden="false" customHeight="true" outlineLevel="0" collapsed="false">
      <c r="A55" s="2373"/>
      <c r="B55" s="931"/>
      <c r="C55" s="931"/>
      <c r="D55" s="931"/>
      <c r="E55" s="931"/>
      <c r="F55" s="2092"/>
      <c r="G55" s="931"/>
      <c r="H55" s="931"/>
      <c r="I55" s="931"/>
      <c r="J55" s="2375"/>
    </row>
    <row r="56" customFormat="false" ht="12.75" hidden="false" customHeight="true" outlineLevel="0" collapsed="false">
      <c r="A56" s="2373"/>
      <c r="B56" s="931"/>
      <c r="C56" s="931"/>
      <c r="D56" s="931"/>
      <c r="E56" s="931"/>
      <c r="F56" s="2092"/>
      <c r="G56" s="931"/>
      <c r="H56" s="931"/>
      <c r="I56" s="931"/>
      <c r="J56" s="2375"/>
    </row>
    <row r="57" customFormat="false" ht="15" hidden="false" customHeight="true" outlineLevel="0" collapsed="false">
      <c r="A57" s="2373"/>
      <c r="B57" s="931" t="s">
        <v>874</v>
      </c>
      <c r="C57" s="2361" t="s">
        <v>3261</v>
      </c>
      <c r="D57" s="2361"/>
      <c r="E57" s="2361"/>
      <c r="F57" s="2361"/>
      <c r="G57" s="2361"/>
      <c r="H57" s="2362" t="s">
        <v>2974</v>
      </c>
      <c r="I57" s="2391"/>
      <c r="J57" s="2375"/>
      <c r="L57" s="1903"/>
    </row>
    <row r="58" customFormat="false" ht="12.75" hidden="false" customHeight="true" outlineLevel="0" collapsed="false">
      <c r="A58" s="2373"/>
      <c r="B58" s="931"/>
      <c r="C58" s="931"/>
      <c r="D58" s="931"/>
      <c r="E58" s="931"/>
      <c r="F58" s="2092"/>
      <c r="G58" s="931"/>
      <c r="H58" s="931"/>
      <c r="I58" s="931"/>
      <c r="J58" s="2375"/>
    </row>
    <row r="59" customFormat="false" ht="27.75" hidden="false" customHeight="true" outlineLevel="0" collapsed="false">
      <c r="A59" s="2373"/>
      <c r="B59" s="931"/>
      <c r="C59" s="1597" t="s">
        <v>2822</v>
      </c>
      <c r="D59" s="1597"/>
      <c r="E59" s="1597"/>
      <c r="F59" s="1597"/>
      <c r="G59" s="2001" t="s">
        <v>2823</v>
      </c>
      <c r="H59" s="1810" t="s">
        <v>2824</v>
      </c>
      <c r="I59" s="1999"/>
      <c r="J59" s="2375"/>
      <c r="L59" s="2106" t="s">
        <v>3262</v>
      </c>
      <c r="M59" s="1810" t="s">
        <v>2895</v>
      </c>
    </row>
    <row r="60" customFormat="false" ht="15" hidden="false" customHeight="true" outlineLevel="0" collapsed="false">
      <c r="A60" s="2373"/>
      <c r="B60" s="931"/>
      <c r="C60" s="2369" t="s">
        <v>3263</v>
      </c>
      <c r="D60" s="1865"/>
      <c r="E60" s="1865"/>
      <c r="F60" s="2146" t="n">
        <f aca="false">IF(E61=L60,M60,M61)</f>
        <v>4</v>
      </c>
      <c r="G60" s="2252" t="n">
        <f aca="false">F60</f>
        <v>4</v>
      </c>
      <c r="H60" s="2358" t="n">
        <f aca="false">MIN(4,G60)</f>
        <v>4</v>
      </c>
      <c r="I60" s="1753"/>
      <c r="J60" s="2375"/>
      <c r="L60" s="2001" t="s">
        <v>253</v>
      </c>
      <c r="M60" s="2001" t="n">
        <v>4</v>
      </c>
      <c r="N60" s="1833"/>
    </row>
    <row r="61" customFormat="false" ht="15" hidden="false" customHeight="true" outlineLevel="0" collapsed="false">
      <c r="A61" s="2373"/>
      <c r="B61" s="931"/>
      <c r="C61" s="2117"/>
      <c r="D61" s="2392" t="s">
        <v>2843</v>
      </c>
      <c r="E61" s="2379" t="str">
        <f aca="false">'Saisie et Calculateur'!D1325</f>
        <v>oui</v>
      </c>
      <c r="F61" s="2146"/>
      <c r="G61" s="2252"/>
      <c r="H61" s="2358"/>
      <c r="I61" s="1753"/>
      <c r="J61" s="2375"/>
      <c r="L61" s="2270" t="s">
        <v>254</v>
      </c>
      <c r="M61" s="2270" t="n">
        <v>0</v>
      </c>
    </row>
    <row r="62" customFormat="false" ht="13.5" hidden="false" customHeight="true" outlineLevel="0" collapsed="false">
      <c r="A62" s="2373"/>
      <c r="B62" s="2134"/>
      <c r="C62" s="2134"/>
      <c r="D62" s="2134"/>
      <c r="E62" s="2134"/>
      <c r="F62" s="2372"/>
      <c r="G62" s="2134"/>
      <c r="H62" s="2134"/>
      <c r="I62" s="2134"/>
      <c r="J62" s="2375"/>
    </row>
    <row r="63" customFormat="false" ht="15" hidden="false" customHeight="true" outlineLevel="0" collapsed="false">
      <c r="F63" s="0"/>
      <c r="J63" s="0"/>
    </row>
    <row r="64" customFormat="false" ht="13.5" hidden="false" customHeight="true" outlineLevel="0" collapsed="false">
      <c r="A64" s="2393" t="s">
        <v>3264</v>
      </c>
      <c r="B64" s="2104" t="s">
        <v>868</v>
      </c>
      <c r="C64" s="2354" t="s">
        <v>3265</v>
      </c>
      <c r="D64" s="2354"/>
      <c r="E64" s="2354"/>
      <c r="F64" s="2354"/>
      <c r="G64" s="2354"/>
      <c r="H64" s="2355" t="s">
        <v>3266</v>
      </c>
      <c r="I64" s="2374"/>
      <c r="J64" s="2394" t="n">
        <f aca="false">MIN(20,SUM(H67,H76))</f>
        <v>14</v>
      </c>
      <c r="L64" s="1898"/>
    </row>
    <row r="65" customFormat="false" ht="12" hidden="false" customHeight="true" outlineLevel="0" collapsed="false">
      <c r="A65" s="2393"/>
      <c r="B65" s="931"/>
      <c r="C65" s="931"/>
      <c r="D65" s="931"/>
      <c r="E65" s="931"/>
      <c r="F65" s="2092"/>
      <c r="G65" s="931"/>
      <c r="H65" s="931"/>
      <c r="I65" s="931"/>
      <c r="J65" s="2394"/>
      <c r="L65" s="2062" t="s">
        <v>3267</v>
      </c>
      <c r="M65" s="2062"/>
      <c r="O65" s="2395"/>
      <c r="P65" s="2396"/>
      <c r="Q65" s="2397" t="s">
        <v>3268</v>
      </c>
      <c r="R65" s="2397"/>
      <c r="S65" s="2397"/>
      <c r="T65" s="2397"/>
      <c r="U65" s="2397"/>
    </row>
    <row r="66" customFormat="false" ht="26.25" hidden="false" customHeight="true" outlineLevel="0" collapsed="false">
      <c r="A66" s="2393"/>
      <c r="B66" s="931"/>
      <c r="C66" s="1597" t="s">
        <v>2822</v>
      </c>
      <c r="D66" s="1597"/>
      <c r="E66" s="1597"/>
      <c r="F66" s="1597"/>
      <c r="G66" s="2001" t="s">
        <v>2823</v>
      </c>
      <c r="H66" s="1810" t="s">
        <v>2824</v>
      </c>
      <c r="I66" s="1999"/>
      <c r="J66" s="2394"/>
      <c r="L66" s="2398" t="n">
        <f aca="false">E68</f>
        <v>647629</v>
      </c>
      <c r="M66" s="2398" t="n">
        <f aca="false">IF(L66&lt;=P67,P67,IF(L66&lt;=P68,P68,IF(L66&lt;=P69,P69,IF(L66&lt;=P70,P70,P71))))</f>
        <v>999999</v>
      </c>
      <c r="O66" s="2399"/>
      <c r="P66" s="2396"/>
      <c r="Q66" s="2400" t="n">
        <v>10000</v>
      </c>
      <c r="R66" s="2401" t="n">
        <v>25000</v>
      </c>
      <c r="S66" s="2401" t="n">
        <v>45000</v>
      </c>
      <c r="T66" s="2401" t="n">
        <v>70000</v>
      </c>
      <c r="U66" s="2402"/>
    </row>
    <row r="67" customFormat="false" ht="15" hidden="false" customHeight="true" outlineLevel="0" collapsed="false">
      <c r="A67" s="2393"/>
      <c r="B67" s="931"/>
      <c r="C67" s="2145" t="s">
        <v>3269</v>
      </c>
      <c r="D67" s="2145"/>
      <c r="E67" s="2145"/>
      <c r="F67" s="2146" t="n">
        <f aca="false">VLOOKUP(M66,P67:U71,M68,FALSE())</f>
        <v>6</v>
      </c>
      <c r="G67" s="2252" t="n">
        <f aca="false">F67</f>
        <v>6</v>
      </c>
      <c r="H67" s="2358" t="n">
        <f aca="false">MIN(15,G67)</f>
        <v>6</v>
      </c>
      <c r="I67" s="1753"/>
      <c r="J67" s="2394"/>
      <c r="L67" s="2062" t="s">
        <v>3270</v>
      </c>
      <c r="M67" s="2062"/>
      <c r="O67" s="2403" t="s">
        <v>3271</v>
      </c>
      <c r="P67" s="2404" t="n">
        <v>50000</v>
      </c>
      <c r="Q67" s="2405" t="n">
        <v>0</v>
      </c>
      <c r="R67" s="2406" t="n">
        <v>10</v>
      </c>
      <c r="S67" s="2407" t="n">
        <v>15</v>
      </c>
      <c r="T67" s="2407" t="n">
        <v>15</v>
      </c>
      <c r="U67" s="2407" t="n">
        <v>15</v>
      </c>
    </row>
    <row r="68" customFormat="false" ht="15" hidden="false" customHeight="true" outlineLevel="0" collapsed="false">
      <c r="A68" s="2393"/>
      <c r="B68" s="931"/>
      <c r="C68" s="1769"/>
      <c r="D68" s="650" t="s">
        <v>1637</v>
      </c>
      <c r="E68" s="2386" t="n">
        <f aca="false">'Saisie et Calculateur'!D1330</f>
        <v>647629</v>
      </c>
      <c r="F68" s="2146"/>
      <c r="G68" s="2252"/>
      <c r="H68" s="2358"/>
      <c r="I68" s="1753"/>
      <c r="J68" s="2394"/>
      <c r="L68" s="2408" t="n">
        <f aca="false">E70</f>
        <v>111703.5</v>
      </c>
      <c r="M68" s="2010" t="n">
        <f aca="false">IF(L68&lt;=Q66,2,IF(L68&lt;=R66,3,IF(L68&lt;=S66,4,IF(L68&lt;=T66,5,6))))</f>
        <v>6</v>
      </c>
      <c r="O68" s="2403"/>
      <c r="P68" s="2409" t="n">
        <v>100000</v>
      </c>
      <c r="Q68" s="2405" t="n">
        <v>0</v>
      </c>
      <c r="R68" s="2410" t="n">
        <v>8</v>
      </c>
      <c r="S68" s="2406" t="n">
        <v>12</v>
      </c>
      <c r="T68" s="2407" t="n">
        <v>15</v>
      </c>
      <c r="U68" s="2407" t="n">
        <v>15</v>
      </c>
    </row>
    <row r="69" customFormat="false" ht="15.75" hidden="false" customHeight="true" outlineLevel="0" collapsed="false">
      <c r="A69" s="2393"/>
      <c r="B69" s="931"/>
      <c r="C69" s="2113" t="s">
        <v>3272</v>
      </c>
      <c r="D69" s="2113"/>
      <c r="E69" s="2113"/>
      <c r="F69" s="2146"/>
      <c r="G69" s="2252"/>
      <c r="H69" s="2358"/>
      <c r="I69" s="1753"/>
      <c r="J69" s="2394"/>
      <c r="O69" s="2403"/>
      <c r="P69" s="2409" t="n">
        <v>200000</v>
      </c>
      <c r="Q69" s="2405" t="n">
        <v>0</v>
      </c>
      <c r="R69" s="2411" t="n">
        <v>6</v>
      </c>
      <c r="S69" s="2410" t="n">
        <v>8</v>
      </c>
      <c r="T69" s="2406" t="n">
        <v>12</v>
      </c>
      <c r="U69" s="2407" t="n">
        <v>15</v>
      </c>
    </row>
    <row r="70" customFormat="false" ht="15" hidden="false" customHeight="true" outlineLevel="0" collapsed="false">
      <c r="A70" s="2393"/>
      <c r="B70" s="931"/>
      <c r="C70" s="2117"/>
      <c r="D70" s="2293" t="s">
        <v>1637</v>
      </c>
      <c r="E70" s="2412" t="n">
        <f aca="false">'Saisie et Calculateur'!D1332</f>
        <v>111703.5</v>
      </c>
      <c r="F70" s="2146"/>
      <c r="G70" s="2252"/>
      <c r="H70" s="2358"/>
      <c r="I70" s="1753"/>
      <c r="J70" s="2394"/>
      <c r="O70" s="2403"/>
      <c r="P70" s="2413" t="n">
        <v>300000</v>
      </c>
      <c r="Q70" s="2405" t="n">
        <v>0</v>
      </c>
      <c r="R70" s="2414" t="n">
        <v>2</v>
      </c>
      <c r="S70" s="2415" t="n">
        <v>4</v>
      </c>
      <c r="T70" s="2411" t="n">
        <v>6</v>
      </c>
      <c r="U70" s="2406" t="n">
        <v>10</v>
      </c>
    </row>
    <row r="71" customFormat="false" ht="15.75" hidden="false" customHeight="true" outlineLevel="0" collapsed="false">
      <c r="A71" s="2393"/>
      <c r="B71" s="931"/>
      <c r="C71" s="931"/>
      <c r="D71" s="931"/>
      <c r="E71" s="931"/>
      <c r="F71" s="2416"/>
      <c r="G71" s="931"/>
      <c r="H71" s="931"/>
      <c r="I71" s="931"/>
      <c r="J71" s="2394"/>
      <c r="O71" s="2403"/>
      <c r="P71" s="2417" t="n">
        <v>999999</v>
      </c>
      <c r="Q71" s="2405" t="n">
        <v>0</v>
      </c>
      <c r="R71" s="2418" t="n">
        <v>0</v>
      </c>
      <c r="S71" s="2419" t="n">
        <v>2</v>
      </c>
      <c r="T71" s="2420" t="n">
        <v>4</v>
      </c>
      <c r="U71" s="2421" t="n">
        <v>6</v>
      </c>
    </row>
    <row r="72" customFormat="false" ht="13.5" hidden="false" customHeight="true" outlineLevel="0" collapsed="false">
      <c r="A72" s="2393"/>
      <c r="B72" s="931"/>
      <c r="C72" s="931"/>
      <c r="D72" s="931"/>
      <c r="E72" s="931"/>
      <c r="F72" s="2092"/>
      <c r="G72" s="931"/>
      <c r="H72" s="931"/>
      <c r="I72" s="931"/>
      <c r="J72" s="2394"/>
      <c r="L72" s="1999"/>
      <c r="M72" s="1999"/>
      <c r="N72" s="1999"/>
      <c r="O72" s="1999"/>
      <c r="Q72" s="2171"/>
      <c r="U72" s="1329"/>
    </row>
    <row r="73" customFormat="false" ht="13.5" hidden="false" customHeight="true" outlineLevel="0" collapsed="false">
      <c r="A73" s="2393"/>
      <c r="B73" s="931" t="s">
        <v>878</v>
      </c>
      <c r="C73" s="2361" t="s">
        <v>3273</v>
      </c>
      <c r="D73" s="2361"/>
      <c r="E73" s="2361"/>
      <c r="F73" s="2361"/>
      <c r="G73" s="2361"/>
      <c r="H73" s="2362" t="s">
        <v>2913</v>
      </c>
      <c r="I73" s="1903"/>
      <c r="J73" s="2394"/>
    </row>
    <row r="74" customFormat="false" ht="13.5" hidden="false" customHeight="true" outlineLevel="0" collapsed="false">
      <c r="A74" s="2393"/>
      <c r="B74" s="931"/>
      <c r="C74" s="931"/>
      <c r="D74" s="931"/>
      <c r="E74" s="931"/>
      <c r="F74" s="2092"/>
      <c r="G74" s="931"/>
      <c r="H74" s="931"/>
      <c r="I74" s="931"/>
      <c r="J74" s="2394"/>
      <c r="L74" s="1810" t="s">
        <v>3274</v>
      </c>
      <c r="M74" s="1810"/>
      <c r="N74" s="1810"/>
      <c r="O74" s="2381" t="s">
        <v>2895</v>
      </c>
    </row>
    <row r="75" customFormat="false" ht="27.75" hidden="false" customHeight="true" outlineLevel="0" collapsed="false">
      <c r="A75" s="2393"/>
      <c r="B75" s="931"/>
      <c r="C75" s="1597" t="s">
        <v>2822</v>
      </c>
      <c r="D75" s="1597"/>
      <c r="E75" s="1597"/>
      <c r="F75" s="1597"/>
      <c r="G75" s="2001" t="s">
        <v>2823</v>
      </c>
      <c r="H75" s="1810" t="s">
        <v>2824</v>
      </c>
      <c r="I75" s="1999"/>
      <c r="J75" s="2394"/>
      <c r="L75" s="1518" t="s">
        <v>880</v>
      </c>
      <c r="M75" s="1518"/>
      <c r="N75" s="1518"/>
      <c r="O75" s="1554" t="n">
        <v>5</v>
      </c>
      <c r="Q75" s="1554"/>
      <c r="R75" s="1523" t="s">
        <v>3275</v>
      </c>
      <c r="S75" s="1523" t="s">
        <v>3276</v>
      </c>
      <c r="U75" s="1554"/>
      <c r="V75" s="1523" t="s">
        <v>3277</v>
      </c>
    </row>
    <row r="76" customFormat="false" ht="13.5" hidden="false" customHeight="true" outlineLevel="0" collapsed="false">
      <c r="A76" s="2393"/>
      <c r="B76" s="931"/>
      <c r="C76" s="2369" t="s">
        <v>3278</v>
      </c>
      <c r="D76" s="1865"/>
      <c r="E76" s="1865"/>
      <c r="F76" s="2109" t="n">
        <f aca="false">IF(E77=L75,O75,IF(E77=L76,O76,IF(E77=L77,O77,O78)))</f>
        <v>5</v>
      </c>
      <c r="G76" s="2252" t="n">
        <f aca="false">F76+F79</f>
        <v>8</v>
      </c>
      <c r="H76" s="2358" t="n">
        <f aca="false">MIN(8,G76)</f>
        <v>8</v>
      </c>
      <c r="I76" s="1753"/>
      <c r="J76" s="2394"/>
      <c r="L76" s="1518" t="s">
        <v>881</v>
      </c>
      <c r="M76" s="1518"/>
      <c r="N76" s="1518"/>
      <c r="O76" s="1554" t="n">
        <v>3</v>
      </c>
      <c r="Q76" s="1554" t="s">
        <v>253</v>
      </c>
      <c r="R76" s="1554" t="n">
        <v>2</v>
      </c>
      <c r="S76" s="1554" t="n">
        <v>1</v>
      </c>
      <c r="U76" s="1554" t="s">
        <v>889</v>
      </c>
      <c r="V76" s="1554" t="n">
        <v>0</v>
      </c>
    </row>
    <row r="77" customFormat="false" ht="13.5" hidden="false" customHeight="true" outlineLevel="0" collapsed="false">
      <c r="A77" s="2393"/>
      <c r="B77" s="931"/>
      <c r="C77" s="1769"/>
      <c r="D77" s="931"/>
      <c r="E77" s="2041" t="str">
        <f aca="false">'Saisie et Calculateur'!D1337</f>
        <v>Existence quasi-certaine</v>
      </c>
      <c r="F77" s="2109"/>
      <c r="G77" s="2252"/>
      <c r="H77" s="2358"/>
      <c r="I77" s="1753"/>
      <c r="J77" s="2394"/>
      <c r="L77" s="1518" t="s">
        <v>882</v>
      </c>
      <c r="M77" s="1518"/>
      <c r="N77" s="1518"/>
      <c r="O77" s="1554" t="n">
        <v>1</v>
      </c>
      <c r="Q77" s="1554" t="s">
        <v>254</v>
      </c>
      <c r="R77" s="1554" t="n">
        <v>0</v>
      </c>
      <c r="S77" s="1554" t="n">
        <v>0</v>
      </c>
      <c r="U77" s="1554" t="s">
        <v>891</v>
      </c>
      <c r="V77" s="1554" t="n">
        <v>1</v>
      </c>
    </row>
    <row r="78" customFormat="false" ht="13.5" hidden="false" customHeight="true" outlineLevel="0" collapsed="false">
      <c r="A78" s="2393"/>
      <c r="B78" s="931"/>
      <c r="C78" s="1769"/>
      <c r="D78" s="931"/>
      <c r="E78" s="931"/>
      <c r="F78" s="2109"/>
      <c r="G78" s="2252"/>
      <c r="H78" s="2358"/>
      <c r="I78" s="1753"/>
      <c r="J78" s="2394"/>
      <c r="L78" s="1518" t="s">
        <v>3279</v>
      </c>
      <c r="M78" s="1518"/>
      <c r="N78" s="1518"/>
      <c r="O78" s="1554" t="n">
        <v>0</v>
      </c>
      <c r="U78" s="1554" t="s">
        <v>893</v>
      </c>
      <c r="V78" s="1554" t="n">
        <v>2</v>
      </c>
    </row>
    <row r="79" customFormat="false" ht="13.5" hidden="false" customHeight="true" outlineLevel="0" collapsed="false">
      <c r="A79" s="2393"/>
      <c r="B79" s="931"/>
      <c r="C79" s="1769" t="s">
        <v>3280</v>
      </c>
      <c r="D79" s="931"/>
      <c r="E79" s="931"/>
      <c r="F79" s="2422" t="n">
        <f aca="false">MIN(3,F82+F81+F80)</f>
        <v>3</v>
      </c>
      <c r="G79" s="2252"/>
      <c r="H79" s="2358"/>
      <c r="I79" s="1753"/>
      <c r="J79" s="2394"/>
    </row>
    <row r="80" customFormat="false" ht="13.5" hidden="false" customHeight="true" outlineLevel="0" collapsed="false">
      <c r="A80" s="2393"/>
      <c r="B80" s="931"/>
      <c r="C80" s="1769" t="s">
        <v>3281</v>
      </c>
      <c r="D80" s="931"/>
      <c r="E80" s="2041" t="str">
        <f aca="false">'Saisie et Calculateur'!D1340</f>
        <v>oui</v>
      </c>
      <c r="F80" s="2423" t="n">
        <f aca="false">IF(E80=Q76,R76,R77)</f>
        <v>2</v>
      </c>
      <c r="G80" s="2252"/>
      <c r="H80" s="2358"/>
      <c r="I80" s="1753"/>
      <c r="J80" s="2394"/>
    </row>
    <row r="81" customFormat="false" ht="13.5" hidden="false" customHeight="true" outlineLevel="0" collapsed="false">
      <c r="A81" s="2393"/>
      <c r="B81" s="931"/>
      <c r="C81" s="1769" t="s">
        <v>3282</v>
      </c>
      <c r="D81" s="931"/>
      <c r="E81" s="2041" t="str">
        <f aca="false">'Saisie et Calculateur'!D1343</f>
        <v>oui</v>
      </c>
      <c r="F81" s="2423" t="n">
        <f aca="false">IF(E81=Q76,S76,S77)</f>
        <v>1</v>
      </c>
      <c r="G81" s="2252"/>
      <c r="H81" s="2358"/>
      <c r="I81" s="1753"/>
      <c r="J81" s="2394"/>
    </row>
    <row r="82" customFormat="false" ht="13.5" hidden="false" customHeight="true" outlineLevel="0" collapsed="false">
      <c r="A82" s="2393"/>
      <c r="B82" s="931"/>
      <c r="C82" s="2117" t="s">
        <v>3283</v>
      </c>
      <c r="D82" s="2118"/>
      <c r="E82" s="2159" t="str">
        <f aca="false">'Saisie et Calculateur'!D1346</f>
        <v>Bonne</v>
      </c>
      <c r="F82" s="2424" t="n">
        <f aca="false">IF(E82=U78,V78,IF(E82=U77,V77,V76))</f>
        <v>2</v>
      </c>
      <c r="G82" s="2252"/>
      <c r="H82" s="2358"/>
      <c r="I82" s="1753"/>
      <c r="J82" s="2394"/>
    </row>
    <row r="83" customFormat="false" ht="13.5" hidden="false" customHeight="true" outlineLevel="0" collapsed="false">
      <c r="A83" s="2393"/>
      <c r="B83" s="2134"/>
      <c r="C83" s="2134"/>
      <c r="D83" s="2134"/>
      <c r="E83" s="2134"/>
      <c r="F83" s="2372"/>
      <c r="G83" s="2134"/>
      <c r="H83" s="2134"/>
      <c r="I83" s="2134"/>
      <c r="J83" s="2394"/>
    </row>
    <row r="84" customFormat="false" ht="13.5" hidden="false" customHeight="true" outlineLevel="0" collapsed="false">
      <c r="F84" s="0"/>
      <c r="J84" s="0"/>
      <c r="L84" s="1810" t="s">
        <v>3284</v>
      </c>
      <c r="M84" s="1810" t="s">
        <v>2855</v>
      </c>
    </row>
    <row r="85" customFormat="false" ht="13.5" hidden="false" customHeight="true" outlineLevel="0" collapsed="false">
      <c r="A85" s="2425" t="s">
        <v>3285</v>
      </c>
      <c r="B85" s="2426" t="s">
        <v>826</v>
      </c>
      <c r="C85" s="2427" t="s">
        <v>3286</v>
      </c>
      <c r="D85" s="2427"/>
      <c r="E85" s="2427"/>
      <c r="F85" s="2427"/>
      <c r="G85" s="2427"/>
      <c r="H85" s="2428" t="s">
        <v>3231</v>
      </c>
      <c r="I85" s="2429"/>
      <c r="J85" s="2430" t="n">
        <f aca="false">MIN(20,SUM(H88,H96))</f>
        <v>12</v>
      </c>
      <c r="L85" s="2431" t="n">
        <v>0.1</v>
      </c>
      <c r="M85" s="1810" t="n">
        <v>0</v>
      </c>
    </row>
    <row r="86" customFormat="false" ht="14.1" hidden="false" customHeight="true" outlineLevel="0" collapsed="false">
      <c r="A86" s="2425"/>
      <c r="B86" s="2432"/>
      <c r="C86" s="931"/>
      <c r="D86" s="931"/>
      <c r="E86" s="931"/>
      <c r="F86" s="2092"/>
      <c r="G86" s="931"/>
      <c r="H86" s="931"/>
      <c r="I86" s="2433"/>
      <c r="J86" s="2430"/>
      <c r="L86" s="2431" t="n">
        <v>0.2</v>
      </c>
      <c r="M86" s="1810" t="n">
        <v>2</v>
      </c>
    </row>
    <row r="87" customFormat="false" ht="27" hidden="false" customHeight="true" outlineLevel="0" collapsed="false">
      <c r="A87" s="2425"/>
      <c r="B87" s="2432"/>
      <c r="C87" s="1597" t="s">
        <v>2822</v>
      </c>
      <c r="D87" s="1597"/>
      <c r="E87" s="1597"/>
      <c r="F87" s="1597"/>
      <c r="G87" s="2001" t="s">
        <v>2823</v>
      </c>
      <c r="H87" s="1810" t="s">
        <v>2824</v>
      </c>
      <c r="I87" s="2434"/>
      <c r="J87" s="2430"/>
      <c r="L87" s="2431" t="n">
        <v>0.3</v>
      </c>
      <c r="M87" s="1810" t="n">
        <v>4</v>
      </c>
      <c r="O87" s="2257"/>
    </row>
    <row r="88" customFormat="false" ht="15" hidden="false" customHeight="true" outlineLevel="0" collapsed="false">
      <c r="A88" s="2425"/>
      <c r="B88" s="2432"/>
      <c r="C88" s="2369" t="s">
        <v>3287</v>
      </c>
      <c r="D88" s="1865"/>
      <c r="E88" s="1865"/>
      <c r="F88" s="2146" t="n">
        <f aca="false">IF(E89&gt;=L90,M91,IF(E89&gt;=L89,M90,IF(E89&gt;=L88,M89,IF(E89&gt;=L87,M88,IF(E89&gt;=L86,M87,IF(E89&gt;=L85,M86,M85))))))</f>
        <v>12</v>
      </c>
      <c r="G88" s="2252" t="n">
        <f aca="false">F88</f>
        <v>12</v>
      </c>
      <c r="H88" s="2358" t="n">
        <f aca="false">MIN(12,G88)</f>
        <v>12</v>
      </c>
      <c r="I88" s="2435"/>
      <c r="J88" s="2430"/>
      <c r="L88" s="2431" t="n">
        <v>0.4</v>
      </c>
      <c r="M88" s="1810" t="n">
        <v>6</v>
      </c>
      <c r="O88" s="2257"/>
    </row>
    <row r="89" customFormat="false" ht="13.5" hidden="false" customHeight="true" outlineLevel="0" collapsed="false">
      <c r="A89" s="2425"/>
      <c r="B89" s="2432"/>
      <c r="C89" s="2117"/>
      <c r="D89" s="2293" t="s">
        <v>3288</v>
      </c>
      <c r="E89" s="2436" t="n">
        <f aca="false">'Saisie et Calculateur'!D1354</f>
        <v>0.621708206832508</v>
      </c>
      <c r="F89" s="2146"/>
      <c r="G89" s="2252"/>
      <c r="H89" s="2358"/>
      <c r="I89" s="2435"/>
      <c r="J89" s="2430"/>
      <c r="L89" s="2431" t="n">
        <v>0.5</v>
      </c>
      <c r="M89" s="1810" t="n">
        <v>8</v>
      </c>
      <c r="O89" s="2257"/>
    </row>
    <row r="90" customFormat="false" ht="13.5" hidden="false" customHeight="true" outlineLevel="0" collapsed="false">
      <c r="A90" s="2425"/>
      <c r="B90" s="2432"/>
      <c r="C90" s="931"/>
      <c r="D90" s="931"/>
      <c r="E90" s="931"/>
      <c r="F90" s="2092"/>
      <c r="G90" s="931"/>
      <c r="H90" s="931"/>
      <c r="I90" s="2433"/>
      <c r="J90" s="2430"/>
      <c r="L90" s="2437" t="n">
        <v>0.6</v>
      </c>
      <c r="M90" s="2001" t="n">
        <v>10</v>
      </c>
      <c r="O90" s="2257"/>
    </row>
    <row r="91" customFormat="false" ht="15" hidden="false" customHeight="true" outlineLevel="0" collapsed="false">
      <c r="A91" s="2425"/>
      <c r="B91" s="2432"/>
      <c r="C91" s="931"/>
      <c r="D91" s="931"/>
      <c r="E91" s="931"/>
      <c r="F91" s="2092"/>
      <c r="G91" s="931"/>
      <c r="H91" s="931"/>
      <c r="I91" s="2433"/>
      <c r="J91" s="2430"/>
      <c r="L91" s="2438"/>
      <c r="M91" s="2017" t="n">
        <v>12</v>
      </c>
      <c r="O91" s="2257"/>
    </row>
    <row r="92" customFormat="false" ht="13.5" hidden="false" customHeight="true" outlineLevel="0" collapsed="false">
      <c r="A92" s="2425"/>
      <c r="B92" s="2432"/>
      <c r="C92" s="931"/>
      <c r="D92" s="931"/>
      <c r="E92" s="931"/>
      <c r="F92" s="2092"/>
      <c r="G92" s="931"/>
      <c r="H92" s="931"/>
      <c r="I92" s="2433"/>
      <c r="J92" s="2430"/>
      <c r="L92" s="2070"/>
      <c r="M92" s="2017"/>
      <c r="O92" s="2257"/>
    </row>
    <row r="93" customFormat="false" ht="13.5" hidden="false" customHeight="true" outlineLevel="0" collapsed="false">
      <c r="A93" s="2425"/>
      <c r="B93" s="2432" t="s">
        <v>833</v>
      </c>
      <c r="C93" s="2361" t="s">
        <v>3289</v>
      </c>
      <c r="D93" s="2361"/>
      <c r="E93" s="2361"/>
      <c r="F93" s="2361"/>
      <c r="G93" s="2361"/>
      <c r="H93" s="2362" t="s">
        <v>2913</v>
      </c>
      <c r="I93" s="2439"/>
      <c r="J93" s="2430"/>
      <c r="M93" s="1735"/>
      <c r="O93" s="2257"/>
    </row>
    <row r="94" customFormat="false" ht="14.1" hidden="false" customHeight="true" outlineLevel="0" collapsed="false">
      <c r="A94" s="2425"/>
      <c r="B94" s="2432"/>
      <c r="C94" s="931"/>
      <c r="D94" s="931"/>
      <c r="E94" s="931"/>
      <c r="F94" s="2092"/>
      <c r="G94" s="931"/>
      <c r="H94" s="931"/>
      <c r="I94" s="2433"/>
      <c r="J94" s="2430"/>
      <c r="L94" s="1810" t="s">
        <v>3290</v>
      </c>
      <c r="M94" s="1810"/>
      <c r="N94" s="1810" t="s">
        <v>2895</v>
      </c>
      <c r="O94" s="2257"/>
    </row>
    <row r="95" customFormat="false" ht="27" hidden="false" customHeight="true" outlineLevel="0" collapsed="false">
      <c r="A95" s="2425"/>
      <c r="B95" s="2432"/>
      <c r="C95" s="2000" t="s">
        <v>2822</v>
      </c>
      <c r="D95" s="2000"/>
      <c r="E95" s="2000"/>
      <c r="F95" s="2000"/>
      <c r="G95" s="2001" t="s">
        <v>2823</v>
      </c>
      <c r="H95" s="2001" t="s">
        <v>2824</v>
      </c>
      <c r="I95" s="2434"/>
      <c r="J95" s="2430"/>
      <c r="L95" s="1810" t="n">
        <v>400</v>
      </c>
      <c r="M95" s="1810"/>
      <c r="N95" s="1810" t="n">
        <v>8</v>
      </c>
      <c r="O95" s="2257"/>
    </row>
    <row r="96" customFormat="false" ht="14.1" hidden="false" customHeight="true" outlineLevel="0" collapsed="false">
      <c r="A96" s="2425"/>
      <c r="B96" s="2432"/>
      <c r="C96" s="2440" t="s">
        <v>3291</v>
      </c>
      <c r="D96" s="2216"/>
      <c r="E96" s="2216"/>
      <c r="F96" s="2441" t="n">
        <f aca="false">IF(E97&lt;L95,N95,IF(E97&lt;L96,N96,IF(E97&lt;L97,N97,IF(E97&lt;L98,N98,N99))))</f>
        <v>0</v>
      </c>
      <c r="G96" s="2442" t="n">
        <f aca="false">F96</f>
        <v>0</v>
      </c>
      <c r="H96" s="2443" t="n">
        <f aca="false">MIN(8,G96)</f>
        <v>0</v>
      </c>
      <c r="I96" s="2435"/>
      <c r="J96" s="2430"/>
      <c r="L96" s="1810" t="n">
        <v>600</v>
      </c>
      <c r="M96" s="1810"/>
      <c r="N96" s="1810" t="n">
        <v>6</v>
      </c>
      <c r="O96" s="2257"/>
    </row>
    <row r="97" customFormat="false" ht="14.1" hidden="false" customHeight="true" outlineLevel="0" collapsed="false">
      <c r="A97" s="2425"/>
      <c r="B97" s="2432"/>
      <c r="C97" s="2075"/>
      <c r="D97" s="2032" t="s">
        <v>3292</v>
      </c>
      <c r="E97" s="2444" t="n">
        <f aca="false">'Saisie et Calculateur'!D1359</f>
        <v>1970.54545454545</v>
      </c>
      <c r="F97" s="2441"/>
      <c r="G97" s="2442"/>
      <c r="H97" s="2443"/>
      <c r="I97" s="2435"/>
      <c r="J97" s="2430"/>
      <c r="L97" s="1810" t="n">
        <v>700</v>
      </c>
      <c r="M97" s="1810"/>
      <c r="N97" s="1810" t="n">
        <v>4</v>
      </c>
      <c r="O97" s="2257"/>
    </row>
    <row r="98" customFormat="false" ht="14.1" hidden="false" customHeight="true" outlineLevel="0" collapsed="false">
      <c r="A98" s="2425"/>
      <c r="B98" s="2445"/>
      <c r="C98" s="2240"/>
      <c r="D98" s="2240"/>
      <c r="E98" s="2446"/>
      <c r="F98" s="2447"/>
      <c r="G98" s="2448"/>
      <c r="H98" s="2449"/>
      <c r="I98" s="2450"/>
      <c r="J98" s="2430"/>
      <c r="L98" s="1810" t="n">
        <v>1300</v>
      </c>
      <c r="M98" s="1810"/>
      <c r="N98" s="1810" t="n">
        <v>2</v>
      </c>
      <c r="O98" s="2257"/>
    </row>
    <row r="99" customFormat="false" ht="13.5" hidden="false" customHeight="true" outlineLevel="0" collapsed="false">
      <c r="F99" s="0"/>
      <c r="J99" s="0"/>
      <c r="L99" s="1810"/>
      <c r="M99" s="1810"/>
      <c r="N99" s="1810" t="n">
        <v>0</v>
      </c>
    </row>
    <row r="100" customFormat="false" ht="29.25" hidden="false" customHeight="true" outlineLevel="0" collapsed="false">
      <c r="A100" s="2451" t="s">
        <v>3040</v>
      </c>
      <c r="B100" s="2451"/>
      <c r="C100" s="2451"/>
      <c r="D100" s="2451"/>
      <c r="E100" s="2451"/>
      <c r="F100" s="2451"/>
      <c r="G100" s="2451"/>
      <c r="H100" s="2451"/>
      <c r="I100" s="2451"/>
      <c r="J100" s="2452" t="n">
        <f aca="false">SUM(J85,J64,J26,J5)</f>
        <v>68</v>
      </c>
    </row>
  </sheetData>
  <mergeCells count="92">
    <mergeCell ref="A1:K1"/>
    <mergeCell ref="A3:A24"/>
    <mergeCell ref="C3:G3"/>
    <mergeCell ref="J3:J4"/>
    <mergeCell ref="C5:F5"/>
    <mergeCell ref="J5:J24"/>
    <mergeCell ref="C6:E6"/>
    <mergeCell ref="F6:F8"/>
    <mergeCell ref="G6:G9"/>
    <mergeCell ref="H6:H9"/>
    <mergeCell ref="C9:E9"/>
    <mergeCell ref="C12:G12"/>
    <mergeCell ref="C14:F14"/>
    <mergeCell ref="F15:F16"/>
    <mergeCell ref="G15:G16"/>
    <mergeCell ref="H15:H16"/>
    <mergeCell ref="C19:G19"/>
    <mergeCell ref="C21:F21"/>
    <mergeCell ref="F22:F23"/>
    <mergeCell ref="G22:G23"/>
    <mergeCell ref="H22:H23"/>
    <mergeCell ref="A26:A62"/>
    <mergeCell ref="C26:G26"/>
    <mergeCell ref="J26:J62"/>
    <mergeCell ref="C28:F28"/>
    <mergeCell ref="C29:E29"/>
    <mergeCell ref="F29:F31"/>
    <mergeCell ref="G29:G34"/>
    <mergeCell ref="H29:H34"/>
    <mergeCell ref="C32:E32"/>
    <mergeCell ref="F32:F34"/>
    <mergeCell ref="C33:E33"/>
    <mergeCell ref="C37:G37"/>
    <mergeCell ref="C39:F39"/>
    <mergeCell ref="C40:E40"/>
    <mergeCell ref="F40:F43"/>
    <mergeCell ref="G40:G47"/>
    <mergeCell ref="H40:H47"/>
    <mergeCell ref="C44:E44"/>
    <mergeCell ref="F44:F47"/>
    <mergeCell ref="C50:G50"/>
    <mergeCell ref="C52:F52"/>
    <mergeCell ref="F53:F54"/>
    <mergeCell ref="G53:G54"/>
    <mergeCell ref="H53:H54"/>
    <mergeCell ref="C57:G57"/>
    <mergeCell ref="C59:F59"/>
    <mergeCell ref="F60:F61"/>
    <mergeCell ref="G60:G61"/>
    <mergeCell ref="H60:H61"/>
    <mergeCell ref="A64:A83"/>
    <mergeCell ref="C64:G64"/>
    <mergeCell ref="J64:J83"/>
    <mergeCell ref="L65:M65"/>
    <mergeCell ref="Q65:U65"/>
    <mergeCell ref="C66:F66"/>
    <mergeCell ref="C67:E67"/>
    <mergeCell ref="F67:F70"/>
    <mergeCell ref="G67:G70"/>
    <mergeCell ref="H67:H70"/>
    <mergeCell ref="L67:M67"/>
    <mergeCell ref="O67:O71"/>
    <mergeCell ref="C69:E69"/>
    <mergeCell ref="C73:G73"/>
    <mergeCell ref="L74:N74"/>
    <mergeCell ref="C75:F75"/>
    <mergeCell ref="L75:N75"/>
    <mergeCell ref="F76:F78"/>
    <mergeCell ref="G76:G82"/>
    <mergeCell ref="H76:H82"/>
    <mergeCell ref="L76:N76"/>
    <mergeCell ref="L77:N77"/>
    <mergeCell ref="L78:N78"/>
    <mergeCell ref="A85:A98"/>
    <mergeCell ref="C85:G85"/>
    <mergeCell ref="J85:J98"/>
    <mergeCell ref="C87:F87"/>
    <mergeCell ref="F88:F89"/>
    <mergeCell ref="G88:G89"/>
    <mergeCell ref="H88:H89"/>
    <mergeCell ref="C93:G93"/>
    <mergeCell ref="L94:M94"/>
    <mergeCell ref="C95:F95"/>
    <mergeCell ref="L95:M95"/>
    <mergeCell ref="F96:F97"/>
    <mergeCell ref="G96:G97"/>
    <mergeCell ref="H96:H97"/>
    <mergeCell ref="L96:M96"/>
    <mergeCell ref="L97:M97"/>
    <mergeCell ref="L98:M98"/>
    <mergeCell ref="L99:M99"/>
    <mergeCell ref="A100:I100"/>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11.xml><?xml version="1.0" encoding="utf-8"?>
<worksheet xmlns="http://schemas.openxmlformats.org/spreadsheetml/2006/main" xmlns:r="http://schemas.openxmlformats.org/officeDocument/2006/relationships">
  <sheetPr filterMode="false">
    <tabColor rgb="FFFF0000"/>
    <pageSetUpPr fitToPage="false"/>
  </sheetPr>
  <dimension ref="A1:AF211"/>
  <sheetViews>
    <sheetView showFormulas="false" showGridLines="true" showRowColHeaders="true" showZeros="true" rightToLeft="false" tabSelected="false" showOutlineSymbols="true" defaultGridColor="true" view="normal" topLeftCell="A157" colorId="64" zoomScale="100" zoomScaleNormal="100" zoomScalePageLayoutView="100" workbookViewId="0">
      <selection pane="topLeft" activeCell="M70" activeCellId="0" sqref="M70"/>
    </sheetView>
  </sheetViews>
  <sheetFormatPr defaultRowHeight="12.75" zeroHeight="false" outlineLevelRow="0" outlineLevelCol="0"/>
  <cols>
    <col collapsed="false" customWidth="true" hidden="false" outlineLevel="0" max="1" min="1" style="0" width="11.98"/>
    <col collapsed="false" customWidth="true" hidden="false" outlineLevel="0" max="3" min="2" style="0" width="15.68"/>
    <col collapsed="false" customWidth="true" hidden="false" outlineLevel="0" max="4" min="4" style="0" width="54.79"/>
    <col collapsed="false" customWidth="true" hidden="false" outlineLevel="0" max="5" min="5" style="0" width="6.55"/>
    <col collapsed="false" customWidth="true" hidden="false" outlineLevel="0" max="6" min="6" style="2453" width="7.41"/>
    <col collapsed="false" customWidth="true" hidden="false" outlineLevel="0" max="7" min="7" style="2350" width="1.7"/>
    <col collapsed="false" customWidth="true" hidden="false" outlineLevel="0" max="8" min="8" style="1898" width="4.56"/>
    <col collapsed="false" customWidth="true" hidden="false" outlineLevel="0" max="9" min="9" style="1312" width="11.27"/>
    <col collapsed="false" customWidth="true" hidden="false" outlineLevel="0" max="10" min="10" style="1735" width="2.12"/>
    <col collapsed="false" customWidth="true" hidden="false" outlineLevel="0" max="11" min="11" style="2233" width="6.84"/>
    <col collapsed="false" customWidth="true" hidden="false" outlineLevel="0" max="12" min="12" style="0" width="10.69"/>
    <col collapsed="false" customWidth="true" hidden="false" outlineLevel="0" max="13" min="13" style="0" width="8.27"/>
    <col collapsed="false" customWidth="true" hidden="false" outlineLevel="0" max="14" min="14" style="0" width="2.12"/>
    <col collapsed="false" customWidth="true" hidden="false" outlineLevel="0" max="15" min="15" style="0" width="4.7"/>
    <col collapsed="false" customWidth="true" hidden="false" outlineLevel="0" max="1025" min="16" style="0" width="10.69"/>
  </cols>
  <sheetData>
    <row r="1" customFormat="false" ht="46.15" hidden="false" customHeight="true" outlineLevel="0" collapsed="false">
      <c r="A1" s="2454" t="s">
        <v>3293</v>
      </c>
      <c r="B1" s="2454"/>
      <c r="C1" s="2454"/>
      <c r="D1" s="2454"/>
      <c r="E1" s="2454"/>
      <c r="F1" s="2454"/>
      <c r="G1" s="2454"/>
      <c r="H1" s="2454"/>
      <c r="I1" s="2454"/>
      <c r="J1" s="2454"/>
      <c r="K1" s="2454"/>
      <c r="V1" s="2455"/>
      <c r="W1" s="2455"/>
      <c r="X1" s="2455"/>
      <c r="Y1" s="2455"/>
      <c r="Z1" s="2455"/>
      <c r="AA1" s="2455"/>
      <c r="AB1" s="2455"/>
      <c r="AC1" s="2455"/>
      <c r="AD1" s="2455"/>
      <c r="AE1" s="2455"/>
      <c r="AF1" s="2455"/>
    </row>
    <row r="2" customFormat="false" ht="12" hidden="false" customHeight="true" outlineLevel="0" collapsed="false">
      <c r="A2" s="2456"/>
      <c r="B2" s="2456"/>
      <c r="C2" s="2456"/>
      <c r="D2" s="2456"/>
      <c r="E2" s="2456"/>
      <c r="F2" s="2456"/>
      <c r="G2" s="2456"/>
      <c r="H2" s="2456"/>
      <c r="I2" s="2456"/>
      <c r="J2" s="2456"/>
      <c r="K2" s="2456"/>
      <c r="U2" s="2457"/>
      <c r="V2" s="2457"/>
      <c r="W2" s="2457"/>
      <c r="X2" s="2457"/>
      <c r="Y2" s="2457"/>
      <c r="Z2" s="2457"/>
      <c r="AA2" s="2457"/>
      <c r="AB2" s="2457"/>
      <c r="AC2" s="2457"/>
      <c r="AD2" s="2457"/>
      <c r="AE2" s="2457"/>
      <c r="AF2" s="2457"/>
    </row>
    <row r="3" customFormat="false" ht="12" hidden="false" customHeight="true" outlineLevel="0" collapsed="false">
      <c r="A3" s="2456"/>
      <c r="B3" s="2456"/>
      <c r="C3" s="2456"/>
      <c r="D3" s="2456"/>
      <c r="E3" s="2456"/>
      <c r="F3" s="2456"/>
      <c r="G3" s="2456"/>
      <c r="H3" s="2456"/>
      <c r="I3" s="2456"/>
      <c r="J3" s="2456"/>
      <c r="K3" s="2456"/>
      <c r="U3" s="2457"/>
      <c r="V3" s="2457"/>
      <c r="W3" s="2457"/>
      <c r="X3" s="2457"/>
      <c r="Y3" s="2457"/>
      <c r="Z3" s="2457"/>
      <c r="AA3" s="2457"/>
      <c r="AB3" s="2457"/>
      <c r="AC3" s="2457"/>
      <c r="AD3" s="2457"/>
      <c r="AE3" s="2457"/>
      <c r="AF3" s="2457"/>
    </row>
    <row r="4" customFormat="false" ht="29.25" hidden="false" customHeight="true" outlineLevel="0" collapsed="false">
      <c r="A4" s="2458" t="s">
        <v>3294</v>
      </c>
      <c r="B4" s="2458"/>
      <c r="C4" s="2458"/>
      <c r="D4" s="2458"/>
      <c r="E4" s="2458"/>
      <c r="F4" s="2458"/>
      <c r="G4" s="2458"/>
      <c r="H4" s="2458"/>
      <c r="I4" s="2458"/>
      <c r="J4" s="2458"/>
      <c r="K4" s="2458"/>
      <c r="U4" s="2457"/>
      <c r="V4" s="2457"/>
      <c r="W4" s="2457"/>
      <c r="X4" s="2457"/>
      <c r="Y4" s="2457"/>
      <c r="Z4" s="2457"/>
      <c r="AA4" s="2457"/>
      <c r="AB4" s="2457"/>
      <c r="AC4" s="2457"/>
      <c r="AD4" s="2457"/>
      <c r="AE4" s="2457"/>
      <c r="AF4" s="2457"/>
    </row>
    <row r="5" customFormat="false" ht="14.1" hidden="false" customHeight="true" outlineLevel="0" collapsed="false"/>
    <row r="6" customFormat="false" ht="14.1" hidden="false" customHeight="true" outlineLevel="0" collapsed="false"/>
    <row r="7" customFormat="false" ht="14.1" hidden="false" customHeight="true" outlineLevel="0" collapsed="false">
      <c r="A7" s="2459" t="s">
        <v>3295</v>
      </c>
      <c r="B7" s="2459" t="s">
        <v>3296</v>
      </c>
      <c r="C7" s="2459"/>
      <c r="D7" s="2459" t="s">
        <v>3297</v>
      </c>
      <c r="E7" s="2459"/>
      <c r="F7" s="2459"/>
      <c r="G7" s="2459"/>
      <c r="H7" s="2459"/>
      <c r="I7" s="2459" t="s">
        <v>3296</v>
      </c>
      <c r="J7" s="2459"/>
      <c r="K7" s="2459"/>
    </row>
    <row r="8" customFormat="false" ht="24" hidden="false" customHeight="true" outlineLevel="0" collapsed="false">
      <c r="A8" s="2460" t="s">
        <v>3298</v>
      </c>
      <c r="B8" s="2460" t="s">
        <v>3298</v>
      </c>
      <c r="C8" s="2460"/>
      <c r="D8" s="2461" t="s">
        <v>3298</v>
      </c>
      <c r="E8" s="2462" t="s">
        <v>3299</v>
      </c>
      <c r="F8" s="2463" t="s">
        <v>3300</v>
      </c>
      <c r="G8" s="2463"/>
      <c r="H8" s="2463"/>
      <c r="I8" s="2464" t="s">
        <v>3300</v>
      </c>
      <c r="J8" s="2464"/>
      <c r="K8" s="2464"/>
    </row>
    <row r="9" customFormat="false" ht="14.1" hidden="false" customHeight="true" outlineLevel="0" collapsed="false"/>
    <row r="10" customFormat="false" ht="14.1" hidden="false" customHeight="true" outlineLevel="0" collapsed="false">
      <c r="A10" s="2465" t="s">
        <v>3301</v>
      </c>
      <c r="B10" s="2466" t="s">
        <v>2819</v>
      </c>
      <c r="C10" s="2466"/>
      <c r="D10" s="2467" t="s">
        <v>3302</v>
      </c>
      <c r="E10" s="2468" t="s">
        <v>471</v>
      </c>
      <c r="F10" s="2469" t="n">
        <f aca="false">'Dimension agroécologique'!I6</f>
        <v>3</v>
      </c>
      <c r="G10" s="2470" t="s">
        <v>3303</v>
      </c>
      <c r="H10" s="2471" t="n">
        <v>5</v>
      </c>
      <c r="I10" s="2472" t="n">
        <f aca="false">MIN(20,SUM(F10:F14))</f>
        <v>8</v>
      </c>
      <c r="J10" s="2473" t="s">
        <v>3303</v>
      </c>
      <c r="K10" s="2474" t="n">
        <v>20</v>
      </c>
    </row>
    <row r="11" customFormat="false" ht="14.1" hidden="false" customHeight="true" outlineLevel="0" collapsed="false">
      <c r="A11" s="2465"/>
      <c r="B11" s="2466"/>
      <c r="C11" s="2466"/>
      <c r="D11" s="2475" t="s">
        <v>3304</v>
      </c>
      <c r="E11" s="2476" t="s">
        <v>3305</v>
      </c>
      <c r="F11" s="2477" t="n">
        <f aca="false">'Dimension agroécologique'!I22</f>
        <v>2</v>
      </c>
      <c r="G11" s="1999" t="s">
        <v>3303</v>
      </c>
      <c r="H11" s="2478" t="n">
        <v>5</v>
      </c>
      <c r="I11" s="2472"/>
      <c r="J11" s="2473"/>
      <c r="K11" s="2474"/>
    </row>
    <row r="12" customFormat="false" ht="14.1" hidden="false" customHeight="true" outlineLevel="0" collapsed="false">
      <c r="A12" s="2465"/>
      <c r="B12" s="2466"/>
      <c r="C12" s="2466"/>
      <c r="D12" s="2475" t="s">
        <v>3306</v>
      </c>
      <c r="E12" s="2476" t="s">
        <v>3307</v>
      </c>
      <c r="F12" s="2477" t="n">
        <f aca="false">'Dimension agroécologique'!I45</f>
        <v>0</v>
      </c>
      <c r="G12" s="1999" t="s">
        <v>3303</v>
      </c>
      <c r="H12" s="2478" t="n">
        <v>5</v>
      </c>
      <c r="I12" s="2472"/>
      <c r="J12" s="2473"/>
      <c r="K12" s="2474"/>
    </row>
    <row r="13" customFormat="false" ht="13.5" hidden="false" customHeight="true" outlineLevel="0" collapsed="false">
      <c r="A13" s="2465"/>
      <c r="B13" s="2466"/>
      <c r="C13" s="2466"/>
      <c r="D13" s="2475" t="s">
        <v>3308</v>
      </c>
      <c r="E13" s="2476" t="s">
        <v>3309</v>
      </c>
      <c r="F13" s="2477" t="n">
        <f aca="false">'Dimension agroécologique'!I69</f>
        <v>1</v>
      </c>
      <c r="G13" s="1999" t="s">
        <v>3303</v>
      </c>
      <c r="H13" s="2478" t="n">
        <v>5</v>
      </c>
      <c r="I13" s="2472"/>
      <c r="J13" s="2473"/>
      <c r="K13" s="2474"/>
    </row>
    <row r="14" customFormat="false" ht="14.1" hidden="false" customHeight="true" outlineLevel="0" collapsed="false">
      <c r="A14" s="2465"/>
      <c r="B14" s="2466"/>
      <c r="C14" s="2466"/>
      <c r="D14" s="2479" t="s">
        <v>3310</v>
      </c>
      <c r="E14" s="2480" t="s">
        <v>3311</v>
      </c>
      <c r="F14" s="2481" t="n">
        <f aca="false">'Dimension agroécologique'!I85</f>
        <v>2</v>
      </c>
      <c r="G14" s="2482" t="s">
        <v>3303</v>
      </c>
      <c r="H14" s="2483" t="n">
        <v>5</v>
      </c>
      <c r="I14" s="2472"/>
      <c r="J14" s="2473"/>
      <c r="K14" s="2474"/>
    </row>
    <row r="15" customFormat="false" ht="14.1" hidden="false" customHeight="true" outlineLevel="0" collapsed="false">
      <c r="A15" s="2465"/>
      <c r="B15" s="2484" t="s">
        <v>3312</v>
      </c>
      <c r="C15" s="2484"/>
      <c r="D15" s="2485" t="s">
        <v>3313</v>
      </c>
      <c r="E15" s="2468" t="s">
        <v>3314</v>
      </c>
      <c r="F15" s="2469" t="n">
        <f aca="false">'Dimension agroécologique'!I100</f>
        <v>2</v>
      </c>
      <c r="G15" s="2470" t="s">
        <v>3303</v>
      </c>
      <c r="H15" s="2471" t="n">
        <v>8</v>
      </c>
      <c r="I15" s="2472" t="n">
        <f aca="false">MIN(20,SUM(F15:F17))</f>
        <v>5</v>
      </c>
      <c r="J15" s="2473" t="s">
        <v>3303</v>
      </c>
      <c r="K15" s="2474" t="n">
        <v>20</v>
      </c>
    </row>
    <row r="16" customFormat="false" ht="14.1" hidden="false" customHeight="true" outlineLevel="0" collapsed="false">
      <c r="A16" s="2465"/>
      <c r="B16" s="2484"/>
      <c r="C16" s="2484"/>
      <c r="D16" s="2486" t="s">
        <v>3315</v>
      </c>
      <c r="E16" s="2476" t="s">
        <v>3316</v>
      </c>
      <c r="F16" s="2477" t="n">
        <f aca="false">'Dimension agroécologique'!I111</f>
        <v>0</v>
      </c>
      <c r="G16" s="1999" t="s">
        <v>3303</v>
      </c>
      <c r="H16" s="2478" t="n">
        <v>8</v>
      </c>
      <c r="I16" s="2472"/>
      <c r="J16" s="2473"/>
      <c r="K16" s="2474"/>
    </row>
    <row r="17" customFormat="false" ht="14.1" hidden="false" customHeight="true" outlineLevel="0" collapsed="false">
      <c r="A17" s="2465"/>
      <c r="B17" s="2484"/>
      <c r="C17" s="2484"/>
      <c r="D17" s="2487" t="s">
        <v>3317</v>
      </c>
      <c r="E17" s="2480" t="s">
        <v>3318</v>
      </c>
      <c r="F17" s="2481" t="n">
        <f aca="false">'Dimension agroécologique'!I121</f>
        <v>3</v>
      </c>
      <c r="G17" s="2482" t="s">
        <v>3303</v>
      </c>
      <c r="H17" s="2483" t="n">
        <v>8</v>
      </c>
      <c r="I17" s="2472"/>
      <c r="J17" s="2473"/>
      <c r="K17" s="2474"/>
    </row>
    <row r="18" customFormat="false" ht="14.1" hidden="false" customHeight="true" outlineLevel="0" collapsed="false">
      <c r="A18" s="2465"/>
      <c r="B18" s="2488" t="s">
        <v>2933</v>
      </c>
      <c r="C18" s="2488"/>
      <c r="D18" s="2489" t="s">
        <v>3319</v>
      </c>
      <c r="E18" s="2490" t="s">
        <v>3320</v>
      </c>
      <c r="F18" s="2469" t="n">
        <f aca="false">'Dimension agroécologique'!I132</f>
        <v>0</v>
      </c>
      <c r="G18" s="2470" t="s">
        <v>3303</v>
      </c>
      <c r="H18" s="2471" t="n">
        <v>8</v>
      </c>
      <c r="I18" s="2472" t="n">
        <f aca="false">MIN(20,SUM(F18,F19,F20))</f>
        <v>11</v>
      </c>
      <c r="J18" s="2473" t="s">
        <v>3303</v>
      </c>
      <c r="K18" s="2474" t="n">
        <v>20</v>
      </c>
    </row>
    <row r="19" customFormat="false" ht="14.1" hidden="false" customHeight="true" outlineLevel="0" collapsed="false">
      <c r="A19" s="2465"/>
      <c r="B19" s="2488"/>
      <c r="C19" s="2488"/>
      <c r="D19" s="2491" t="s">
        <v>3321</v>
      </c>
      <c r="E19" s="2492" t="s">
        <v>3322</v>
      </c>
      <c r="F19" s="2477" t="n">
        <f aca="false">'Dimension agroécologique'!I140</f>
        <v>6</v>
      </c>
      <c r="G19" s="1999" t="s">
        <v>3303</v>
      </c>
      <c r="H19" s="2478" t="n">
        <v>8</v>
      </c>
      <c r="I19" s="2472"/>
      <c r="J19" s="2473"/>
      <c r="K19" s="2474"/>
    </row>
    <row r="20" customFormat="false" ht="14.1" hidden="false" customHeight="true" outlineLevel="0" collapsed="false">
      <c r="A20" s="2465"/>
      <c r="B20" s="2488"/>
      <c r="C20" s="2488"/>
      <c r="D20" s="2493" t="s">
        <v>3323</v>
      </c>
      <c r="E20" s="2494" t="s">
        <v>3324</v>
      </c>
      <c r="F20" s="2481" t="n">
        <f aca="false">'Dimension agroécologique'!I147</f>
        <v>5</v>
      </c>
      <c r="G20" s="2482" t="s">
        <v>3303</v>
      </c>
      <c r="H20" s="2483" t="n">
        <v>8</v>
      </c>
      <c r="I20" s="2472"/>
      <c r="J20" s="2473"/>
      <c r="K20" s="2474"/>
    </row>
    <row r="21" customFormat="false" ht="14.1" hidden="false" customHeight="true" outlineLevel="0" collapsed="false">
      <c r="A21" s="2465"/>
      <c r="B21" s="2495" t="s">
        <v>2944</v>
      </c>
      <c r="C21" s="2495"/>
      <c r="D21" s="2485" t="s">
        <v>3325</v>
      </c>
      <c r="E21" s="2468" t="s">
        <v>3326</v>
      </c>
      <c r="F21" s="2469" t="n">
        <f aca="false">'Dimension agroécologique'!I154</f>
        <v>8</v>
      </c>
      <c r="G21" s="2470" t="s">
        <v>3303</v>
      </c>
      <c r="H21" s="2471" t="n">
        <v>8</v>
      </c>
      <c r="I21" s="2472" t="n">
        <f aca="false">MIN(20,SUM(F21:F24))</f>
        <v>16</v>
      </c>
      <c r="J21" s="2473" t="s">
        <v>3303</v>
      </c>
      <c r="K21" s="2474" t="n">
        <v>20</v>
      </c>
    </row>
    <row r="22" customFormat="false" ht="14.1" hidden="false" customHeight="true" outlineLevel="0" collapsed="false">
      <c r="A22" s="2465"/>
      <c r="B22" s="2495"/>
      <c r="C22" s="2495"/>
      <c r="D22" s="2486" t="s">
        <v>3327</v>
      </c>
      <c r="E22" s="2476" t="s">
        <v>519</v>
      </c>
      <c r="F22" s="2477" t="n">
        <f aca="false">'Dimension agroécologique'!I169</f>
        <v>2</v>
      </c>
      <c r="G22" s="1999" t="s">
        <v>3303</v>
      </c>
      <c r="H22" s="2478" t="n">
        <v>8</v>
      </c>
      <c r="I22" s="2472"/>
      <c r="J22" s="2473"/>
      <c r="K22" s="2474"/>
    </row>
    <row r="23" customFormat="false" ht="27.75" hidden="false" customHeight="true" outlineLevel="0" collapsed="false">
      <c r="A23" s="2465"/>
      <c r="B23" s="2495"/>
      <c r="C23" s="2495"/>
      <c r="D23" s="2486" t="s">
        <v>3328</v>
      </c>
      <c r="E23" s="2476" t="s">
        <v>267</v>
      </c>
      <c r="F23" s="2477" t="n">
        <f aca="false">'Dimension agroécologique'!I189</f>
        <v>2</v>
      </c>
      <c r="G23" s="1999" t="s">
        <v>3303</v>
      </c>
      <c r="H23" s="2478" t="n">
        <v>4</v>
      </c>
      <c r="I23" s="2472"/>
      <c r="J23" s="2473"/>
      <c r="K23" s="2474"/>
    </row>
    <row r="24" customFormat="false" ht="13.5" hidden="false" customHeight="true" outlineLevel="0" collapsed="false">
      <c r="A24" s="2465"/>
      <c r="B24" s="2495"/>
      <c r="C24" s="2495"/>
      <c r="D24" s="2496" t="s">
        <v>3329</v>
      </c>
      <c r="E24" s="2480" t="s">
        <v>248</v>
      </c>
      <c r="F24" s="2481" t="n">
        <f aca="false">'Dimension agroécologique'!I198</f>
        <v>4</v>
      </c>
      <c r="G24" s="2482" t="s">
        <v>3303</v>
      </c>
      <c r="H24" s="2483" t="n">
        <v>4</v>
      </c>
      <c r="I24" s="2472"/>
      <c r="J24" s="2473"/>
      <c r="K24" s="2474"/>
    </row>
    <row r="25" customFormat="false" ht="14.1" hidden="false" customHeight="true" outlineLevel="0" collapsed="false">
      <c r="A25" s="2465"/>
      <c r="B25" s="2497" t="s">
        <v>2987</v>
      </c>
      <c r="C25" s="2497"/>
      <c r="D25" s="2498" t="s">
        <v>3330</v>
      </c>
      <c r="E25" s="2499" t="s">
        <v>594</v>
      </c>
      <c r="F25" s="2469" t="n">
        <f aca="false">'Dimension agroécologique'!I209</f>
        <v>1</v>
      </c>
      <c r="G25" s="2470" t="s">
        <v>3303</v>
      </c>
      <c r="H25" s="2471" t="n">
        <v>6</v>
      </c>
      <c r="I25" s="2472" t="n">
        <f aca="false">MIN(20,SUM(F25:F28))</f>
        <v>12</v>
      </c>
      <c r="J25" s="2473" t="s">
        <v>3303</v>
      </c>
      <c r="K25" s="2474" t="n">
        <v>20</v>
      </c>
    </row>
    <row r="26" customFormat="false" ht="14.1" hidden="false" customHeight="true" outlineLevel="0" collapsed="false">
      <c r="A26" s="2465"/>
      <c r="B26" s="2497"/>
      <c r="C26" s="2497"/>
      <c r="D26" s="2491" t="s">
        <v>3331</v>
      </c>
      <c r="E26" s="2500" t="s">
        <v>493</v>
      </c>
      <c r="F26" s="2501" t="n">
        <f aca="false">'Dimension agroécologique'!I229</f>
        <v>3</v>
      </c>
      <c r="G26" s="1999" t="s">
        <v>3303</v>
      </c>
      <c r="H26" s="2478" t="n">
        <v>6</v>
      </c>
      <c r="I26" s="2472"/>
      <c r="J26" s="2473"/>
      <c r="K26" s="2474"/>
    </row>
    <row r="27" customFormat="false" ht="14.1" hidden="false" customHeight="true" outlineLevel="0" collapsed="false">
      <c r="A27" s="2465"/>
      <c r="B27" s="2497"/>
      <c r="C27" s="2497"/>
      <c r="D27" s="2491" t="s">
        <v>3332</v>
      </c>
      <c r="E27" s="2500" t="s">
        <v>559</v>
      </c>
      <c r="F27" s="2477" t="n">
        <f aca="false">'Dimension agroécologique'!I240</f>
        <v>5</v>
      </c>
      <c r="G27" s="1999" t="s">
        <v>3303</v>
      </c>
      <c r="H27" s="2478" t="n">
        <v>6</v>
      </c>
      <c r="I27" s="2472"/>
      <c r="J27" s="2473"/>
      <c r="K27" s="2474"/>
    </row>
    <row r="28" customFormat="false" ht="27" hidden="false" customHeight="true" outlineLevel="0" collapsed="false">
      <c r="A28" s="2465"/>
      <c r="B28" s="2497"/>
      <c r="C28" s="2497"/>
      <c r="D28" s="2502" t="s">
        <v>3333</v>
      </c>
      <c r="E28" s="2503" t="s">
        <v>260</v>
      </c>
      <c r="F28" s="2481" t="n">
        <f aca="false">'Dimension agroécologique'!I247</f>
        <v>3</v>
      </c>
      <c r="G28" s="2482" t="s">
        <v>3303</v>
      </c>
      <c r="H28" s="2483" t="n">
        <v>6</v>
      </c>
      <c r="I28" s="2472"/>
      <c r="J28" s="2473"/>
      <c r="K28" s="2474"/>
    </row>
    <row r="29" customFormat="false" ht="14.1" hidden="false" customHeight="true" outlineLevel="0" collapsed="false">
      <c r="A29" s="411"/>
      <c r="B29" s="411"/>
      <c r="C29" s="411"/>
      <c r="F29" s="2504" t="s">
        <v>1244</v>
      </c>
      <c r="G29" s="2504"/>
      <c r="H29" s="2504"/>
      <c r="I29" s="2505" t="n">
        <f aca="false">I10+I15+I18+I21+I25</f>
        <v>52</v>
      </c>
      <c r="J29" s="2506" t="s">
        <v>3303</v>
      </c>
      <c r="K29" s="2507" t="n">
        <v>100</v>
      </c>
      <c r="T29" s="2508"/>
      <c r="U29" s="2508"/>
    </row>
    <row r="30" customFormat="false" ht="14.1" hidden="false" customHeight="true" outlineLevel="0" collapsed="false">
      <c r="A30" s="411"/>
      <c r="B30" s="411"/>
      <c r="C30" s="411"/>
      <c r="E30" s="548"/>
      <c r="T30" s="2508"/>
      <c r="U30" s="2508"/>
    </row>
    <row r="31" customFormat="false" ht="14.1" hidden="false" customHeight="true" outlineLevel="0" collapsed="false">
      <c r="A31" s="456"/>
      <c r="B31" s="456"/>
      <c r="C31" s="456"/>
      <c r="E31" s="456"/>
      <c r="F31" s="2509"/>
    </row>
    <row r="32" customFormat="false" ht="14.1" hidden="false" customHeight="true" outlineLevel="0" collapsed="false">
      <c r="A32" s="2510" t="s">
        <v>3334</v>
      </c>
      <c r="B32" s="2511" t="s">
        <v>3042</v>
      </c>
      <c r="C32" s="2511"/>
      <c r="D32" s="2512" t="s">
        <v>3335</v>
      </c>
      <c r="E32" s="2513" t="s">
        <v>3043</v>
      </c>
      <c r="F32" s="2469" t="n">
        <f aca="false">'Dimension socio-territoriale'!I7</f>
        <v>6</v>
      </c>
      <c r="G32" s="2470" t="s">
        <v>3303</v>
      </c>
      <c r="H32" s="2514" t="n">
        <v>6</v>
      </c>
      <c r="I32" s="2515" t="n">
        <f aca="false">MIN(25,SUM(F32:F36))</f>
        <v>17</v>
      </c>
      <c r="J32" s="2473" t="s">
        <v>3303</v>
      </c>
      <c r="K32" s="2474" t="n">
        <v>25</v>
      </c>
    </row>
    <row r="33" customFormat="false" ht="14.1" hidden="false" customHeight="true" outlineLevel="0" collapsed="false">
      <c r="A33" s="2510"/>
      <c r="B33" s="2511"/>
      <c r="C33" s="2511"/>
      <c r="D33" s="2516" t="s">
        <v>3336</v>
      </c>
      <c r="E33" s="2517" t="s">
        <v>230</v>
      </c>
      <c r="F33" s="2477" t="n">
        <f aca="false">'Dimension socio-territoriale'!I19</f>
        <v>6</v>
      </c>
      <c r="G33" s="1999" t="s">
        <v>3303</v>
      </c>
      <c r="H33" s="2518" t="n">
        <v>6</v>
      </c>
      <c r="I33" s="2515"/>
      <c r="J33" s="2473"/>
      <c r="K33" s="2474"/>
    </row>
    <row r="34" customFormat="false" ht="14.1" hidden="false" customHeight="true" outlineLevel="0" collapsed="false">
      <c r="A34" s="2510"/>
      <c r="B34" s="2511"/>
      <c r="C34" s="2511"/>
      <c r="D34" s="2516" t="s">
        <v>3337</v>
      </c>
      <c r="E34" s="2517" t="s">
        <v>673</v>
      </c>
      <c r="F34" s="2477" t="n">
        <f aca="false">'Dimension socio-territoriale'!I30</f>
        <v>0</v>
      </c>
      <c r="G34" s="1999" t="s">
        <v>3303</v>
      </c>
      <c r="H34" s="2518" t="n">
        <v>6</v>
      </c>
      <c r="I34" s="2515"/>
      <c r="J34" s="2473"/>
      <c r="K34" s="2474"/>
    </row>
    <row r="35" customFormat="false" ht="14.1" hidden="false" customHeight="true" outlineLevel="0" collapsed="false">
      <c r="A35" s="2510"/>
      <c r="B35" s="2511"/>
      <c r="C35" s="2511"/>
      <c r="D35" s="2516" t="s">
        <v>3338</v>
      </c>
      <c r="E35" s="2517" t="s">
        <v>688</v>
      </c>
      <c r="F35" s="2477" t="n">
        <f aca="false">'Dimension socio-territoriale'!I45</f>
        <v>2</v>
      </c>
      <c r="G35" s="1999" t="s">
        <v>3303</v>
      </c>
      <c r="H35" s="2518" t="n">
        <v>6</v>
      </c>
      <c r="I35" s="2515"/>
      <c r="J35" s="2473"/>
      <c r="K35" s="2474"/>
    </row>
    <row r="36" customFormat="false" ht="14.1" hidden="false" customHeight="true" outlineLevel="0" collapsed="false">
      <c r="A36" s="2510"/>
      <c r="B36" s="2511"/>
      <c r="C36" s="2511"/>
      <c r="D36" s="2519" t="s">
        <v>741</v>
      </c>
      <c r="E36" s="2520" t="s">
        <v>740</v>
      </c>
      <c r="F36" s="2481" t="n">
        <f aca="false">'Dimension socio-territoriale'!I52</f>
        <v>3</v>
      </c>
      <c r="G36" s="2482" t="s">
        <v>3303</v>
      </c>
      <c r="H36" s="2521" t="n">
        <v>6</v>
      </c>
      <c r="I36" s="2515"/>
      <c r="J36" s="2473"/>
      <c r="K36" s="2474"/>
    </row>
    <row r="37" customFormat="false" ht="27" hidden="false" customHeight="true" outlineLevel="0" collapsed="false">
      <c r="A37" s="2510"/>
      <c r="B37" s="2522" t="s">
        <v>3339</v>
      </c>
      <c r="C37" s="2522"/>
      <c r="D37" s="2523" t="s">
        <v>3340</v>
      </c>
      <c r="E37" s="2524" t="s">
        <v>3341</v>
      </c>
      <c r="F37" s="2525" t="n">
        <f aca="false">'Dimension socio-territoriale'!I68</f>
        <v>0</v>
      </c>
      <c r="G37" s="2470" t="s">
        <v>3303</v>
      </c>
      <c r="H37" s="2514" t="n">
        <v>5</v>
      </c>
      <c r="I37" s="2526" t="n">
        <f aca="false">MIN(25,SUM(F37:F44))</f>
        <v>16</v>
      </c>
      <c r="J37" s="2473" t="s">
        <v>3303</v>
      </c>
      <c r="K37" s="2474" t="n">
        <v>25</v>
      </c>
    </row>
    <row r="38" customFormat="false" ht="14.1" hidden="false" customHeight="true" outlineLevel="0" collapsed="false">
      <c r="A38" s="2510"/>
      <c r="B38" s="2522"/>
      <c r="C38" s="2522"/>
      <c r="D38" s="2527" t="s">
        <v>3342</v>
      </c>
      <c r="E38" s="2528" t="s">
        <v>716</v>
      </c>
      <c r="F38" s="2477" t="n">
        <f aca="false">'Dimension socio-territoriale'!I78</f>
        <v>0</v>
      </c>
      <c r="G38" s="1999" t="s">
        <v>3303</v>
      </c>
      <c r="H38" s="2518" t="n">
        <v>3</v>
      </c>
      <c r="I38" s="2526"/>
      <c r="J38" s="2473"/>
      <c r="K38" s="2474"/>
    </row>
    <row r="39" customFormat="false" ht="14.1" hidden="false" customHeight="true" outlineLevel="0" collapsed="false">
      <c r="A39" s="2510"/>
      <c r="B39" s="2522"/>
      <c r="C39" s="2522"/>
      <c r="D39" s="2527" t="s">
        <v>3343</v>
      </c>
      <c r="E39" s="2528" t="s">
        <v>955</v>
      </c>
      <c r="F39" s="2477" t="n">
        <f aca="false">'Dimension socio-territoriale'!I89</f>
        <v>0</v>
      </c>
      <c r="G39" s="1999" t="s">
        <v>3303</v>
      </c>
      <c r="H39" s="2518" t="n">
        <v>5</v>
      </c>
      <c r="I39" s="2526"/>
      <c r="J39" s="2473"/>
      <c r="K39" s="2474"/>
    </row>
    <row r="40" customFormat="false" ht="14.1" hidden="false" customHeight="true" outlineLevel="0" collapsed="false">
      <c r="A40" s="2510"/>
      <c r="B40" s="2522"/>
      <c r="C40" s="2522"/>
      <c r="D40" s="2527" t="s">
        <v>3344</v>
      </c>
      <c r="E40" s="2528" t="s">
        <v>227</v>
      </c>
      <c r="F40" s="2477" t="n">
        <f aca="false">'Dimension socio-territoriale'!I102</f>
        <v>5</v>
      </c>
      <c r="G40" s="1999" t="s">
        <v>3303</v>
      </c>
      <c r="H40" s="2518" t="n">
        <v>5</v>
      </c>
      <c r="I40" s="2526"/>
      <c r="J40" s="2473"/>
      <c r="K40" s="2474"/>
    </row>
    <row r="41" customFormat="false" ht="25.5" hidden="false" customHeight="true" outlineLevel="0" collapsed="false">
      <c r="A41" s="2510"/>
      <c r="B41" s="2522"/>
      <c r="C41" s="2522"/>
      <c r="D41" s="2516" t="s">
        <v>3345</v>
      </c>
      <c r="E41" s="2528" t="s">
        <v>257</v>
      </c>
      <c r="F41" s="2501" t="n">
        <f aca="false">'Dimension socio-territoriale'!I125</f>
        <v>3</v>
      </c>
      <c r="G41" s="1999" t="s">
        <v>3303</v>
      </c>
      <c r="H41" s="2518" t="n">
        <v>3</v>
      </c>
      <c r="I41" s="2526"/>
      <c r="J41" s="2473"/>
      <c r="K41" s="2474"/>
    </row>
    <row r="42" customFormat="false" ht="14.1" hidden="false" customHeight="true" outlineLevel="0" collapsed="false">
      <c r="A42" s="2510"/>
      <c r="B42" s="2522"/>
      <c r="C42" s="2522"/>
      <c r="D42" s="2527" t="s">
        <v>3346</v>
      </c>
      <c r="E42" s="2528" t="s">
        <v>721</v>
      </c>
      <c r="F42" s="2477" t="n">
        <f aca="false">'Dimension socio-territoriale'!I141</f>
        <v>3</v>
      </c>
      <c r="G42" s="1999" t="s">
        <v>3303</v>
      </c>
      <c r="H42" s="2518" t="n">
        <v>3</v>
      </c>
      <c r="I42" s="2526"/>
      <c r="J42" s="2473"/>
      <c r="K42" s="2474"/>
    </row>
    <row r="43" customFormat="false" ht="14.1" hidden="false" customHeight="true" outlineLevel="0" collapsed="false">
      <c r="A43" s="2510"/>
      <c r="B43" s="2522"/>
      <c r="C43" s="2522"/>
      <c r="D43" s="2527" t="s">
        <v>3347</v>
      </c>
      <c r="E43" s="2528" t="s">
        <v>701</v>
      </c>
      <c r="F43" s="2501" t="n">
        <f aca="false">'Dimension socio-territoriale'!I154</f>
        <v>2</v>
      </c>
      <c r="G43" s="1999" t="s">
        <v>3303</v>
      </c>
      <c r="H43" s="2518" t="n">
        <v>3</v>
      </c>
      <c r="I43" s="2526"/>
      <c r="J43" s="2473"/>
      <c r="K43" s="2474"/>
    </row>
    <row r="44" customFormat="false" ht="13.5" hidden="false" customHeight="true" outlineLevel="0" collapsed="false">
      <c r="A44" s="2510"/>
      <c r="B44" s="2522"/>
      <c r="C44" s="2522"/>
      <c r="D44" s="2529" t="s">
        <v>3348</v>
      </c>
      <c r="E44" s="2530" t="s">
        <v>3349</v>
      </c>
      <c r="F44" s="2481" t="n">
        <f aca="false">'Dimension socio-territoriale'!I162</f>
        <v>3</v>
      </c>
      <c r="G44" s="2482" t="s">
        <v>3303</v>
      </c>
      <c r="H44" s="2521" t="n">
        <v>3</v>
      </c>
      <c r="I44" s="2526"/>
      <c r="J44" s="2473"/>
      <c r="K44" s="2474"/>
    </row>
    <row r="45" customFormat="false" ht="14.1" hidden="false" customHeight="true" outlineLevel="0" collapsed="false">
      <c r="A45" s="2510"/>
      <c r="B45" s="2531" t="s">
        <v>3137</v>
      </c>
      <c r="C45" s="2531"/>
      <c r="D45" s="2523" t="s">
        <v>3350</v>
      </c>
      <c r="E45" s="2524" t="s">
        <v>756</v>
      </c>
      <c r="F45" s="2469" t="n">
        <f aca="false">'Dimension socio-territoriale'!I172</f>
        <v>6</v>
      </c>
      <c r="G45" s="2470" t="s">
        <v>3303</v>
      </c>
      <c r="H45" s="2514" t="n">
        <v>6</v>
      </c>
      <c r="I45" s="2515" t="n">
        <f aca="false">MIN(25,SUM(F45:F49))</f>
        <v>20</v>
      </c>
      <c r="J45" s="2473" t="s">
        <v>3303</v>
      </c>
      <c r="K45" s="2474" t="n">
        <v>25</v>
      </c>
    </row>
    <row r="46" customFormat="false" ht="14.1" hidden="false" customHeight="true" outlineLevel="0" collapsed="false">
      <c r="A46" s="2510"/>
      <c r="B46" s="2531"/>
      <c r="C46" s="2531"/>
      <c r="D46" s="2527" t="s">
        <v>3351</v>
      </c>
      <c r="E46" s="2528" t="s">
        <v>669</v>
      </c>
      <c r="F46" s="2477" t="n">
        <f aca="false">'Dimension socio-territoriale'!I186</f>
        <v>2</v>
      </c>
      <c r="G46" s="1999" t="s">
        <v>3303</v>
      </c>
      <c r="H46" s="2518" t="n">
        <v>6</v>
      </c>
      <c r="I46" s="2515"/>
      <c r="J46" s="2473"/>
      <c r="K46" s="2474"/>
    </row>
    <row r="47" customFormat="false" ht="14.1" hidden="false" customHeight="true" outlineLevel="0" collapsed="false">
      <c r="A47" s="2510"/>
      <c r="B47" s="2531"/>
      <c r="C47" s="2531"/>
      <c r="D47" s="2527" t="s">
        <v>3352</v>
      </c>
      <c r="E47" s="2528" t="s">
        <v>774</v>
      </c>
      <c r="F47" s="2477" t="n">
        <f aca="false">'Dimension socio-territoriale'!I195</f>
        <v>5</v>
      </c>
      <c r="G47" s="1999" t="s">
        <v>3303</v>
      </c>
      <c r="H47" s="2518" t="n">
        <v>6</v>
      </c>
      <c r="I47" s="2515"/>
      <c r="J47" s="2473"/>
      <c r="K47" s="2474"/>
    </row>
    <row r="48" customFormat="false" ht="14.1" hidden="false" customHeight="true" outlineLevel="0" collapsed="false">
      <c r="A48" s="2510"/>
      <c r="B48" s="2531"/>
      <c r="C48" s="2531"/>
      <c r="D48" s="2527" t="s">
        <v>3353</v>
      </c>
      <c r="E48" s="2528" t="s">
        <v>782</v>
      </c>
      <c r="F48" s="2477" t="n">
        <f aca="false">'Dimension socio-territoriale'!I210</f>
        <v>5</v>
      </c>
      <c r="G48" s="1999" t="s">
        <v>3303</v>
      </c>
      <c r="H48" s="2518" t="n">
        <v>5</v>
      </c>
      <c r="I48" s="2515"/>
      <c r="J48" s="2473"/>
      <c r="K48" s="2474"/>
    </row>
    <row r="49" customFormat="false" ht="14.1" hidden="false" customHeight="true" outlineLevel="0" collapsed="false">
      <c r="A49" s="2510"/>
      <c r="B49" s="2531"/>
      <c r="C49" s="2531"/>
      <c r="D49" s="2529" t="s">
        <v>3354</v>
      </c>
      <c r="E49" s="2530" t="s">
        <v>751</v>
      </c>
      <c r="F49" s="2481" t="n">
        <f aca="false">'Dimension socio-territoriale'!I224</f>
        <v>2</v>
      </c>
      <c r="G49" s="2482" t="s">
        <v>3303</v>
      </c>
      <c r="H49" s="2521" t="n">
        <v>5</v>
      </c>
      <c r="I49" s="2515"/>
      <c r="J49" s="2473"/>
      <c r="K49" s="2474"/>
    </row>
    <row r="50" customFormat="false" ht="14.1" hidden="false" customHeight="true" outlineLevel="0" collapsed="false">
      <c r="A50" s="2510"/>
      <c r="B50" s="2532" t="s">
        <v>3183</v>
      </c>
      <c r="C50" s="2532"/>
      <c r="D50" s="2533" t="s">
        <v>3355</v>
      </c>
      <c r="E50" s="2534" t="s">
        <v>791</v>
      </c>
      <c r="F50" s="2469" t="n">
        <f aca="false">'Dimension socio-territoriale'!I238</f>
        <v>4</v>
      </c>
      <c r="G50" s="2470" t="s">
        <v>3303</v>
      </c>
      <c r="H50" s="2514" t="n">
        <v>6</v>
      </c>
      <c r="I50" s="2515" t="n">
        <f aca="false">MIN(25,SUM(F50:F54))</f>
        <v>19</v>
      </c>
      <c r="J50" s="2473" t="s">
        <v>3303</v>
      </c>
      <c r="K50" s="2474" t="n">
        <v>25</v>
      </c>
    </row>
    <row r="51" customFormat="false" ht="14.1" hidden="false" customHeight="true" outlineLevel="0" collapsed="false">
      <c r="A51" s="2510"/>
      <c r="B51" s="2532"/>
      <c r="C51" s="2532"/>
      <c r="D51" s="2535" t="s">
        <v>3356</v>
      </c>
      <c r="E51" s="2528" t="s">
        <v>800</v>
      </c>
      <c r="F51" s="2477" t="n">
        <f aca="false">'Dimension socio-territoriale'!I259</f>
        <v>2</v>
      </c>
      <c r="G51" s="1999" t="s">
        <v>3303</v>
      </c>
      <c r="H51" s="2518" t="n">
        <v>6</v>
      </c>
      <c r="I51" s="2515"/>
      <c r="J51" s="2473"/>
      <c r="K51" s="2474"/>
    </row>
    <row r="52" customFormat="false" ht="14.1" hidden="false" customHeight="true" outlineLevel="0" collapsed="false">
      <c r="A52" s="2510"/>
      <c r="B52" s="2532"/>
      <c r="C52" s="2532"/>
      <c r="D52" s="2535" t="s">
        <v>3357</v>
      </c>
      <c r="E52" s="2528" t="s">
        <v>808</v>
      </c>
      <c r="F52" s="2477" t="n">
        <f aca="false">'Dimension socio-territoriale'!I269</f>
        <v>5</v>
      </c>
      <c r="G52" s="1999" t="s">
        <v>3303</v>
      </c>
      <c r="H52" s="2518" t="n">
        <v>6</v>
      </c>
      <c r="I52" s="2515"/>
      <c r="J52" s="2473"/>
      <c r="K52" s="2474"/>
    </row>
    <row r="53" customFormat="false" ht="14.1" hidden="false" customHeight="true" outlineLevel="0" collapsed="false">
      <c r="A53" s="2510"/>
      <c r="B53" s="2532"/>
      <c r="C53" s="2532"/>
      <c r="D53" s="2535" t="s">
        <v>3358</v>
      </c>
      <c r="E53" s="2528" t="s">
        <v>811</v>
      </c>
      <c r="F53" s="2477" t="n">
        <f aca="false">'Dimension socio-territoriale'!I276</f>
        <v>3</v>
      </c>
      <c r="G53" s="1999" t="s">
        <v>3303</v>
      </c>
      <c r="H53" s="2518" t="n">
        <v>6</v>
      </c>
      <c r="I53" s="2515"/>
      <c r="J53" s="2473"/>
      <c r="K53" s="2474"/>
    </row>
    <row r="54" customFormat="false" ht="14.1" hidden="false" customHeight="true" outlineLevel="0" collapsed="false">
      <c r="A54" s="2510"/>
      <c r="B54" s="2532"/>
      <c r="C54" s="2532"/>
      <c r="D54" s="2536" t="s">
        <v>3359</v>
      </c>
      <c r="E54" s="2530" t="s">
        <v>3205</v>
      </c>
      <c r="F54" s="2481" t="n">
        <f aca="false">'Dimension socio-territoriale'!I284</f>
        <v>5</v>
      </c>
      <c r="G54" s="2482" t="s">
        <v>3303</v>
      </c>
      <c r="H54" s="2521" t="n">
        <v>6</v>
      </c>
      <c r="I54" s="2515"/>
      <c r="J54" s="2473"/>
      <c r="K54" s="2474"/>
    </row>
    <row r="55" customFormat="false" ht="14.1" hidden="false" customHeight="true" outlineLevel="0" collapsed="false">
      <c r="A55" s="411"/>
      <c r="B55" s="411"/>
      <c r="C55" s="411"/>
      <c r="D55" s="411"/>
      <c r="E55" s="548"/>
      <c r="F55" s="2504" t="s">
        <v>1244</v>
      </c>
      <c r="G55" s="2504"/>
      <c r="H55" s="2504"/>
      <c r="I55" s="2537" t="n">
        <f aca="false">I32+I37+I45+I50</f>
        <v>72</v>
      </c>
      <c r="J55" s="2538" t="s">
        <v>3303</v>
      </c>
      <c r="K55" s="2539" t="n">
        <v>100</v>
      </c>
    </row>
    <row r="56" customFormat="false" ht="14.1" hidden="false" customHeight="true" outlineLevel="0" collapsed="false">
      <c r="A56" s="411"/>
      <c r="B56" s="411"/>
      <c r="C56" s="411"/>
      <c r="D56" s="411"/>
      <c r="E56" s="548"/>
      <c r="F56" s="2540"/>
      <c r="T56" s="2508"/>
      <c r="U56" s="2508"/>
    </row>
    <row r="57" customFormat="false" ht="14.1" hidden="false" customHeight="true" outlineLevel="0" collapsed="false">
      <c r="A57" s="456"/>
      <c r="B57" s="456"/>
      <c r="C57" s="456"/>
      <c r="D57" s="456"/>
      <c r="E57" s="456"/>
      <c r="F57" s="2509"/>
      <c r="T57" s="2508"/>
      <c r="U57" s="2508"/>
    </row>
    <row r="58" customFormat="false" ht="14.1" hidden="false" customHeight="true" outlineLevel="0" collapsed="false">
      <c r="A58" s="2541" t="s">
        <v>3360</v>
      </c>
      <c r="B58" s="2542" t="s">
        <v>3223</v>
      </c>
      <c r="C58" s="2542"/>
      <c r="D58" s="2543" t="s">
        <v>3361</v>
      </c>
      <c r="E58" s="2513" t="s">
        <v>840</v>
      </c>
      <c r="F58" s="2469" t="n">
        <f aca="false">'Dimension économique'!H6</f>
        <v>16</v>
      </c>
      <c r="G58" s="2470" t="s">
        <v>3303</v>
      </c>
      <c r="H58" s="2471" t="n">
        <v>20</v>
      </c>
      <c r="I58" s="2544" t="n">
        <f aca="false">MIN(35,SUM(F58:F60))</f>
        <v>22</v>
      </c>
      <c r="J58" s="2473" t="s">
        <v>3303</v>
      </c>
      <c r="K58" s="2474" t="n">
        <v>35</v>
      </c>
    </row>
    <row r="59" customFormat="false" ht="14.1" hidden="false" customHeight="true" outlineLevel="0" collapsed="false">
      <c r="A59" s="2541"/>
      <c r="B59" s="2542"/>
      <c r="C59" s="2542"/>
      <c r="D59" s="2545" t="s">
        <v>3233</v>
      </c>
      <c r="E59" s="2517" t="s">
        <v>865</v>
      </c>
      <c r="F59" s="2477" t="n">
        <f aca="false">'Dimension économique'!H15</f>
        <v>0</v>
      </c>
      <c r="G59" s="1999" t="s">
        <v>3303</v>
      </c>
      <c r="H59" s="2478" t="n">
        <v>12</v>
      </c>
      <c r="I59" s="2544"/>
      <c r="J59" s="2473"/>
      <c r="K59" s="2474"/>
    </row>
    <row r="60" customFormat="false" ht="14.1" hidden="false" customHeight="true" outlineLevel="0" collapsed="false">
      <c r="A60" s="2541"/>
      <c r="B60" s="2542"/>
      <c r="C60" s="2542"/>
      <c r="D60" s="2546" t="s">
        <v>3362</v>
      </c>
      <c r="E60" s="2520" t="s">
        <v>859</v>
      </c>
      <c r="F60" s="2481" t="n">
        <f aca="false">'Dimension économique'!H22</f>
        <v>6</v>
      </c>
      <c r="G60" s="2482" t="s">
        <v>3303</v>
      </c>
      <c r="H60" s="2483" t="n">
        <v>6</v>
      </c>
      <c r="I60" s="2544"/>
      <c r="J60" s="2473"/>
      <c r="K60" s="2474"/>
    </row>
    <row r="61" customFormat="false" ht="14.1" hidden="false" customHeight="true" outlineLevel="0" collapsed="false">
      <c r="A61" s="2541"/>
      <c r="B61" s="2547" t="s">
        <v>3238</v>
      </c>
      <c r="C61" s="2547"/>
      <c r="D61" s="2543" t="s">
        <v>3363</v>
      </c>
      <c r="E61" s="2513" t="s">
        <v>3239</v>
      </c>
      <c r="F61" s="2469" t="n">
        <f aca="false">'Dimension économique'!H29</f>
        <v>6</v>
      </c>
      <c r="G61" s="2470" t="s">
        <v>3303</v>
      </c>
      <c r="H61" s="2471" t="n">
        <v>10</v>
      </c>
      <c r="I61" s="2544" t="n">
        <f aca="false">MIN(25,SUM(F61:F64))</f>
        <v>20</v>
      </c>
      <c r="J61" s="2473" t="s">
        <v>3303</v>
      </c>
      <c r="K61" s="2474" t="n">
        <v>25</v>
      </c>
    </row>
    <row r="62" customFormat="false" ht="14.1" hidden="false" customHeight="true" outlineLevel="0" collapsed="false">
      <c r="A62" s="2541"/>
      <c r="B62" s="2547"/>
      <c r="C62" s="2547"/>
      <c r="D62" s="2545" t="s">
        <v>3364</v>
      </c>
      <c r="E62" s="2517" t="s">
        <v>945</v>
      </c>
      <c r="F62" s="2477" t="n">
        <f aca="false">'Dimension économique'!H40</f>
        <v>4</v>
      </c>
      <c r="G62" s="1999" t="s">
        <v>3303</v>
      </c>
      <c r="H62" s="2478" t="n">
        <v>10</v>
      </c>
      <c r="I62" s="2544"/>
      <c r="J62" s="2473"/>
      <c r="K62" s="2474"/>
    </row>
    <row r="63" customFormat="false" ht="14.1" hidden="false" customHeight="true" outlineLevel="0" collapsed="false">
      <c r="A63" s="2541"/>
      <c r="B63" s="2547"/>
      <c r="C63" s="2547"/>
      <c r="D63" s="2545" t="s">
        <v>3365</v>
      </c>
      <c r="E63" s="2517" t="s">
        <v>851</v>
      </c>
      <c r="F63" s="2477" t="n">
        <f aca="false">'Dimension économique'!H53</f>
        <v>6</v>
      </c>
      <c r="G63" s="1999" t="s">
        <v>3303</v>
      </c>
      <c r="H63" s="2478" t="n">
        <v>6</v>
      </c>
      <c r="I63" s="2544"/>
      <c r="J63" s="2473"/>
      <c r="K63" s="2474"/>
    </row>
    <row r="64" customFormat="false" ht="14.1" hidden="false" customHeight="true" outlineLevel="0" collapsed="false">
      <c r="A64" s="2541"/>
      <c r="B64" s="2547"/>
      <c r="C64" s="2547"/>
      <c r="D64" s="2546" t="s">
        <v>3366</v>
      </c>
      <c r="E64" s="2520" t="s">
        <v>874</v>
      </c>
      <c r="F64" s="2481" t="n">
        <f aca="false">'Dimension économique'!H60</f>
        <v>4</v>
      </c>
      <c r="G64" s="2482" t="s">
        <v>3303</v>
      </c>
      <c r="H64" s="2483" t="n">
        <v>4</v>
      </c>
      <c r="I64" s="2544"/>
      <c r="J64" s="2473"/>
      <c r="K64" s="2474"/>
    </row>
    <row r="65" customFormat="false" ht="14.1" hidden="false" customHeight="true" outlineLevel="0" collapsed="false">
      <c r="A65" s="2541"/>
      <c r="B65" s="2548" t="s">
        <v>3264</v>
      </c>
      <c r="C65" s="2548"/>
      <c r="D65" s="2543" t="s">
        <v>3367</v>
      </c>
      <c r="E65" s="2513" t="s">
        <v>868</v>
      </c>
      <c r="F65" s="2525" t="n">
        <f aca="false">'Dimension économique'!H67</f>
        <v>6</v>
      </c>
      <c r="G65" s="2470" t="s">
        <v>3303</v>
      </c>
      <c r="H65" s="2471" t="n">
        <v>15</v>
      </c>
      <c r="I65" s="2549" t="n">
        <f aca="false">MIN(20,SUM(F65:F66))</f>
        <v>14</v>
      </c>
      <c r="J65" s="2473" t="s">
        <v>3303</v>
      </c>
      <c r="K65" s="2474" t="n">
        <v>20</v>
      </c>
    </row>
    <row r="66" customFormat="false" ht="14.1" hidden="false" customHeight="true" outlineLevel="0" collapsed="false">
      <c r="A66" s="2541"/>
      <c r="B66" s="2548"/>
      <c r="C66" s="2548"/>
      <c r="D66" s="2546" t="s">
        <v>3368</v>
      </c>
      <c r="E66" s="2520" t="s">
        <v>878</v>
      </c>
      <c r="F66" s="2550" t="n">
        <f aca="false">'Dimension économique'!H76</f>
        <v>8</v>
      </c>
      <c r="G66" s="2482" t="s">
        <v>3303</v>
      </c>
      <c r="H66" s="2483" t="n">
        <v>8</v>
      </c>
      <c r="I66" s="2549"/>
      <c r="J66" s="2473"/>
      <c r="K66" s="2474"/>
    </row>
    <row r="67" customFormat="false" ht="14.1" hidden="false" customHeight="true" outlineLevel="0" collapsed="false">
      <c r="A67" s="2541"/>
      <c r="B67" s="2551" t="s">
        <v>3285</v>
      </c>
      <c r="C67" s="2551"/>
      <c r="D67" s="2543" t="s">
        <v>3369</v>
      </c>
      <c r="E67" s="2513" t="s">
        <v>826</v>
      </c>
      <c r="F67" s="2525" t="n">
        <f aca="false">'Dimension économique'!H88</f>
        <v>12</v>
      </c>
      <c r="G67" s="2470" t="s">
        <v>3303</v>
      </c>
      <c r="H67" s="2471" t="n">
        <v>12</v>
      </c>
      <c r="I67" s="2549" t="n">
        <f aca="false">MIN(20,SUM(F67:F68))</f>
        <v>12</v>
      </c>
      <c r="J67" s="2473" t="s">
        <v>3303</v>
      </c>
      <c r="K67" s="2474" t="n">
        <v>20</v>
      </c>
    </row>
    <row r="68" customFormat="false" ht="14.1" hidden="false" customHeight="true" outlineLevel="0" collapsed="false">
      <c r="A68" s="2541"/>
      <c r="B68" s="2551"/>
      <c r="C68" s="2551"/>
      <c r="D68" s="2546" t="s">
        <v>3370</v>
      </c>
      <c r="E68" s="2520" t="s">
        <v>833</v>
      </c>
      <c r="F68" s="2550" t="n">
        <f aca="false">'Dimension économique'!H96</f>
        <v>0</v>
      </c>
      <c r="G68" s="2482" t="s">
        <v>3303</v>
      </c>
      <c r="H68" s="2483" t="n">
        <v>8</v>
      </c>
      <c r="I68" s="2549"/>
      <c r="J68" s="2473"/>
      <c r="K68" s="2474"/>
    </row>
    <row r="69" customFormat="false" ht="14.1" hidden="false" customHeight="true" outlineLevel="0" collapsed="false">
      <c r="A69" s="456"/>
      <c r="B69" s="456"/>
      <c r="C69" s="456"/>
      <c r="D69" s="456"/>
      <c r="E69" s="548"/>
      <c r="F69" s="2504" t="s">
        <v>1244</v>
      </c>
      <c r="G69" s="2504"/>
      <c r="H69" s="2504"/>
      <c r="I69" s="2505" t="n">
        <f aca="false">I58+I61+I65+I67</f>
        <v>68</v>
      </c>
      <c r="J69" s="2506" t="s">
        <v>3303</v>
      </c>
      <c r="K69" s="2507" t="n">
        <v>100</v>
      </c>
    </row>
    <row r="70" customFormat="false" ht="14.1" hidden="false" customHeight="true" outlineLevel="0" collapsed="false">
      <c r="E70" s="548"/>
      <c r="F70" s="2552"/>
    </row>
    <row r="71" customFormat="false" ht="14.1" hidden="false" customHeight="true" outlineLevel="0" collapsed="false"/>
    <row r="72" customFormat="false" ht="14.1" hidden="false" customHeight="true" outlineLevel="0" collapsed="false">
      <c r="E72" s="2553" t="s">
        <v>3371</v>
      </c>
      <c r="F72" s="2553"/>
      <c r="G72" s="2553"/>
      <c r="H72" s="2553"/>
      <c r="I72" s="2505" t="n">
        <f aca="false">MIN(I29,I55,I69)</f>
        <v>52</v>
      </c>
      <c r="J72" s="2506" t="s">
        <v>3303</v>
      </c>
      <c r="K72" s="2507" t="n">
        <v>100</v>
      </c>
    </row>
    <row r="73" customFormat="false" ht="14.1" hidden="false" customHeight="true" outlineLevel="0" collapsed="false">
      <c r="E73" s="456"/>
      <c r="F73" s="2509"/>
    </row>
    <row r="74" customFormat="false" ht="14.1" hidden="false" customHeight="true" outlineLevel="0" collapsed="false">
      <c r="E74" s="456"/>
      <c r="F74" s="2509"/>
    </row>
    <row r="75" customFormat="false" ht="29.25" hidden="false" customHeight="true" outlineLevel="0" collapsed="false">
      <c r="A75" s="2458" t="s">
        <v>3372</v>
      </c>
      <c r="B75" s="2458"/>
      <c r="C75" s="2458"/>
      <c r="D75" s="2458"/>
      <c r="E75" s="2458"/>
      <c r="F75" s="2458"/>
      <c r="G75" s="2458"/>
      <c r="H75" s="2458"/>
      <c r="I75" s="2458"/>
      <c r="J75" s="2458"/>
      <c r="K75" s="2458"/>
    </row>
    <row r="76" customFormat="false" ht="14.1" hidden="false" customHeight="true" outlineLevel="0" collapsed="false"/>
    <row r="77" customFormat="false" ht="14.1" hidden="false" customHeight="true" outlineLevel="0" collapsed="false"/>
    <row r="80" customFormat="false" ht="12.75" hidden="false" customHeight="true" outlineLevel="0" collapsed="false">
      <c r="D80" s="2554" t="s">
        <v>3373</v>
      </c>
    </row>
    <row r="81" customFormat="false" ht="12.75" hidden="false" customHeight="true" outlineLevel="0" collapsed="false">
      <c r="D81" s="2554"/>
    </row>
    <row r="82" customFormat="false" ht="12.75" hidden="false" customHeight="true" outlineLevel="0" collapsed="false">
      <c r="D82" s="2555"/>
    </row>
    <row r="83" customFormat="false" ht="12.75" hidden="false" customHeight="true" outlineLevel="0" collapsed="false">
      <c r="D83" s="2555"/>
    </row>
    <row r="84" customFormat="false" ht="12.75" hidden="false" customHeight="true" outlineLevel="0" collapsed="false">
      <c r="D84" s="2556" t="s">
        <v>3040</v>
      </c>
      <c r="E84" s="456"/>
      <c r="F84" s="456"/>
    </row>
    <row r="85" customFormat="false" ht="12.75" hidden="false" customHeight="true" outlineLevel="0" collapsed="false">
      <c r="D85" s="2554" t="s">
        <v>3374</v>
      </c>
      <c r="E85" s="2554" t="n">
        <f aca="false">I29</f>
        <v>52</v>
      </c>
      <c r="F85" s="2557" t="s">
        <v>3375</v>
      </c>
    </row>
    <row r="86" customFormat="false" ht="12.75" hidden="false" customHeight="true" outlineLevel="0" collapsed="false">
      <c r="C86" s="456"/>
      <c r="D86" s="2554" t="s">
        <v>3376</v>
      </c>
      <c r="E86" s="2558" t="n">
        <f aca="false">I55</f>
        <v>72</v>
      </c>
      <c r="F86" s="2557" t="s">
        <v>3375</v>
      </c>
    </row>
    <row r="87" customFormat="false" ht="12.75" hidden="false" customHeight="true" outlineLevel="0" collapsed="false">
      <c r="C87" s="456"/>
      <c r="D87" s="2554" t="s">
        <v>3377</v>
      </c>
      <c r="E87" s="2558" t="n">
        <f aca="false">I69</f>
        <v>68</v>
      </c>
      <c r="F87" s="2557" t="s">
        <v>3375</v>
      </c>
    </row>
    <row r="88" customFormat="false" ht="12.75" hidden="false" customHeight="true" outlineLevel="0" collapsed="false">
      <c r="D88" s="2554" t="s">
        <v>3371</v>
      </c>
      <c r="E88" s="2558" t="n">
        <f aca="false">MIN(E85:E87)</f>
        <v>52</v>
      </c>
      <c r="F88" s="2559" t="s">
        <v>3375</v>
      </c>
    </row>
    <row r="105" customFormat="false" ht="29.25" hidden="false" customHeight="true" outlineLevel="0" collapsed="false">
      <c r="A105" s="2458" t="s">
        <v>3378</v>
      </c>
      <c r="B105" s="2458"/>
      <c r="C105" s="2458"/>
      <c r="D105" s="2458"/>
      <c r="E105" s="2458"/>
      <c r="F105" s="2458"/>
      <c r="G105" s="2458"/>
      <c r="H105" s="2458"/>
      <c r="I105" s="2458"/>
      <c r="J105" s="2458"/>
      <c r="K105" s="2458"/>
      <c r="L105" s="2458"/>
      <c r="M105" s="2458"/>
      <c r="N105" s="2458"/>
      <c r="O105" s="2458"/>
      <c r="P105" s="2458"/>
      <c r="Q105" s="2458"/>
      <c r="R105" s="2458"/>
      <c r="S105" s="2458"/>
      <c r="T105" s="2458"/>
      <c r="U105" s="2458"/>
      <c r="V105" s="2458"/>
      <c r="W105" s="2458"/>
      <c r="X105" s="2458"/>
      <c r="Y105" s="2458"/>
      <c r="Z105" s="2458"/>
      <c r="AA105" s="2458"/>
      <c r="AB105" s="2458"/>
      <c r="AC105" s="2458"/>
      <c r="AD105" s="2458"/>
    </row>
    <row r="112" customFormat="false" ht="12.75" hidden="false" customHeight="true" outlineLevel="0" collapsed="false">
      <c r="D112" s="2554" t="s">
        <v>3373</v>
      </c>
    </row>
    <row r="114" customFormat="false" ht="26.45" hidden="false" customHeight="true" outlineLevel="0" collapsed="false">
      <c r="D114" s="2560" t="s">
        <v>3379</v>
      </c>
      <c r="M114" s="2561" t="s">
        <v>3380</v>
      </c>
      <c r="N114" s="2561"/>
      <c r="O114" s="2561"/>
    </row>
    <row r="115" customFormat="false" ht="12.75" hidden="false" customHeight="true" outlineLevel="0" collapsed="false">
      <c r="D115" s="2554" t="s">
        <v>2819</v>
      </c>
      <c r="F115" s="2562" t="n">
        <f aca="false">I10</f>
        <v>8</v>
      </c>
      <c r="G115" s="2563" t="s">
        <v>3303</v>
      </c>
      <c r="H115" s="2564" t="n">
        <v>20</v>
      </c>
      <c r="K115" s="2564" t="n">
        <f aca="false">H115-F115</f>
        <v>12</v>
      </c>
      <c r="M115" s="2565" t="n">
        <f aca="false">(F115/H115)*100</f>
        <v>40</v>
      </c>
      <c r="N115" s="2563" t="s">
        <v>3303</v>
      </c>
      <c r="O115" s="2564" t="n">
        <v>100</v>
      </c>
    </row>
    <row r="116" customFormat="false" ht="12.75" hidden="false" customHeight="true" outlineLevel="0" collapsed="false">
      <c r="D116" s="2554" t="s">
        <v>2911</v>
      </c>
      <c r="F116" s="2566" t="n">
        <f aca="false">I15</f>
        <v>5</v>
      </c>
      <c r="G116" s="2563" t="s">
        <v>3303</v>
      </c>
      <c r="H116" s="2564" t="n">
        <v>20</v>
      </c>
      <c r="K116" s="2564" t="n">
        <f aca="false">H116-F116</f>
        <v>15</v>
      </c>
      <c r="M116" s="2565" t="n">
        <f aca="false">(F116/H116)*100</f>
        <v>25</v>
      </c>
      <c r="N116" s="2563" t="s">
        <v>3303</v>
      </c>
      <c r="O116" s="2564" t="n">
        <v>100</v>
      </c>
    </row>
    <row r="117" customFormat="false" ht="12.75" hidden="false" customHeight="true" outlineLevel="0" collapsed="false">
      <c r="D117" s="2554" t="s">
        <v>2933</v>
      </c>
      <c r="F117" s="2562" t="n">
        <f aca="false">I18</f>
        <v>11</v>
      </c>
      <c r="G117" s="2563" t="s">
        <v>3303</v>
      </c>
      <c r="H117" s="2564" t="n">
        <v>20</v>
      </c>
      <c r="K117" s="2564" t="n">
        <f aca="false">H117-F117</f>
        <v>9</v>
      </c>
      <c r="M117" s="2565" t="n">
        <f aca="false">(F117/H117)*100</f>
        <v>55</v>
      </c>
      <c r="N117" s="2563" t="s">
        <v>3303</v>
      </c>
      <c r="O117" s="2564" t="n">
        <v>100</v>
      </c>
    </row>
    <row r="118" customFormat="false" ht="12.75" hidden="false" customHeight="true" outlineLevel="0" collapsed="false">
      <c r="D118" s="2554" t="s">
        <v>2944</v>
      </c>
      <c r="F118" s="2562" t="n">
        <f aca="false">I21</f>
        <v>16</v>
      </c>
      <c r="G118" s="2563" t="s">
        <v>3303</v>
      </c>
      <c r="H118" s="2564" t="n">
        <v>20</v>
      </c>
      <c r="K118" s="2564" t="n">
        <f aca="false">H118-F118</f>
        <v>4</v>
      </c>
      <c r="M118" s="2565" t="n">
        <f aca="false">(F118/H118)*100</f>
        <v>80</v>
      </c>
      <c r="N118" s="2563" t="s">
        <v>3303</v>
      </c>
      <c r="O118" s="2564" t="n">
        <v>100</v>
      </c>
    </row>
    <row r="119" customFormat="false" ht="12.75" hidden="false" customHeight="true" outlineLevel="0" collapsed="false">
      <c r="D119" s="2554" t="s">
        <v>3381</v>
      </c>
      <c r="F119" s="2562" t="n">
        <f aca="false">I25</f>
        <v>12</v>
      </c>
      <c r="G119" s="2563" t="s">
        <v>3303</v>
      </c>
      <c r="H119" s="2564" t="n">
        <v>20</v>
      </c>
      <c r="K119" s="2564" t="n">
        <f aca="false">H119-F119</f>
        <v>8</v>
      </c>
      <c r="M119" s="2565" t="n">
        <f aca="false">(F119/H119)*100</f>
        <v>60</v>
      </c>
      <c r="N119" s="2563" t="s">
        <v>3303</v>
      </c>
      <c r="O119" s="2564" t="n">
        <v>100</v>
      </c>
    </row>
    <row r="120" customFormat="false" ht="12.75" hidden="false" customHeight="true" outlineLevel="0" collapsed="false">
      <c r="D120" s="2554" t="s">
        <v>3042</v>
      </c>
      <c r="F120" s="2567" t="n">
        <f aca="false">I32</f>
        <v>17</v>
      </c>
      <c r="G120" s="2563" t="s">
        <v>3303</v>
      </c>
      <c r="H120" s="2564" t="n">
        <v>25</v>
      </c>
      <c r="K120" s="2564" t="n">
        <f aca="false">H120-F120</f>
        <v>8</v>
      </c>
      <c r="M120" s="2565" t="n">
        <f aca="false">(F120/H120)*100</f>
        <v>68</v>
      </c>
      <c r="N120" s="2563" t="s">
        <v>3303</v>
      </c>
      <c r="O120" s="2564" t="n">
        <v>100</v>
      </c>
    </row>
    <row r="121" customFormat="false" ht="12.75" hidden="false" customHeight="true" outlineLevel="0" collapsed="false">
      <c r="D121" s="2554" t="s">
        <v>3079</v>
      </c>
      <c r="F121" s="2567" t="n">
        <f aca="false">I37</f>
        <v>16</v>
      </c>
      <c r="G121" s="2563" t="s">
        <v>3303</v>
      </c>
      <c r="H121" s="2564" t="n">
        <v>25</v>
      </c>
      <c r="K121" s="2564" t="n">
        <f aca="false">H121-F121</f>
        <v>9</v>
      </c>
      <c r="M121" s="2565" t="n">
        <f aca="false">(F121/H121)*100</f>
        <v>64</v>
      </c>
      <c r="N121" s="2563" t="s">
        <v>3303</v>
      </c>
      <c r="O121" s="2564" t="n">
        <v>100</v>
      </c>
    </row>
    <row r="122" customFormat="false" ht="12.75" hidden="false" customHeight="true" outlineLevel="0" collapsed="false">
      <c r="D122" s="2554" t="s">
        <v>3137</v>
      </c>
      <c r="F122" s="2567" t="n">
        <f aca="false">I45</f>
        <v>20</v>
      </c>
      <c r="G122" s="2563" t="s">
        <v>3303</v>
      </c>
      <c r="H122" s="2564" t="n">
        <v>25</v>
      </c>
      <c r="K122" s="2564" t="n">
        <f aca="false">H122-F122</f>
        <v>5</v>
      </c>
      <c r="M122" s="2565" t="n">
        <f aca="false">(F122/H122)*100</f>
        <v>80</v>
      </c>
      <c r="N122" s="2563" t="s">
        <v>3303</v>
      </c>
      <c r="O122" s="2564" t="n">
        <v>100</v>
      </c>
    </row>
    <row r="123" customFormat="false" ht="12.75" hidden="false" customHeight="true" outlineLevel="0" collapsed="false">
      <c r="D123" s="2554" t="s">
        <v>3183</v>
      </c>
      <c r="F123" s="2562" t="n">
        <f aca="false">I50</f>
        <v>19</v>
      </c>
      <c r="G123" s="2563" t="s">
        <v>3303</v>
      </c>
      <c r="H123" s="2564" t="n">
        <v>25</v>
      </c>
      <c r="K123" s="2564" t="n">
        <f aca="false">H123-F123</f>
        <v>6</v>
      </c>
      <c r="M123" s="2565" t="n">
        <f aca="false">(F123/H123)*100</f>
        <v>76</v>
      </c>
      <c r="N123" s="2563" t="s">
        <v>3303</v>
      </c>
      <c r="O123" s="2564" t="n">
        <v>100</v>
      </c>
    </row>
    <row r="124" customFormat="false" ht="12.75" hidden="false" customHeight="true" outlineLevel="0" collapsed="false">
      <c r="D124" s="2554" t="s">
        <v>3223</v>
      </c>
      <c r="F124" s="2562" t="n">
        <f aca="false">I58</f>
        <v>22</v>
      </c>
      <c r="G124" s="2563" t="s">
        <v>3303</v>
      </c>
      <c r="H124" s="2564" t="n">
        <v>35</v>
      </c>
      <c r="K124" s="2564" t="n">
        <f aca="false">H124-F124</f>
        <v>13</v>
      </c>
      <c r="M124" s="2565" t="n">
        <f aca="false">(F124/H124)*100</f>
        <v>62.8571428571429</v>
      </c>
      <c r="N124" s="2563" t="s">
        <v>3303</v>
      </c>
      <c r="O124" s="2564" t="n">
        <v>100</v>
      </c>
    </row>
    <row r="125" customFormat="false" ht="12.75" hidden="false" customHeight="true" outlineLevel="0" collapsed="false">
      <c r="D125" s="2554" t="s">
        <v>3238</v>
      </c>
      <c r="F125" s="2567" t="n">
        <f aca="false">I61</f>
        <v>20</v>
      </c>
      <c r="G125" s="2563" t="s">
        <v>3303</v>
      </c>
      <c r="H125" s="2564" t="n">
        <v>25</v>
      </c>
      <c r="K125" s="2564" t="n">
        <f aca="false">H125-F125</f>
        <v>5</v>
      </c>
      <c r="M125" s="2565" t="n">
        <f aca="false">(F125/H125)*100</f>
        <v>80</v>
      </c>
      <c r="N125" s="2563" t="s">
        <v>3303</v>
      </c>
      <c r="O125" s="2564" t="n">
        <v>100</v>
      </c>
    </row>
    <row r="126" customFormat="false" ht="12.75" hidden="false" customHeight="true" outlineLevel="0" collapsed="false">
      <c r="B126" s="456"/>
      <c r="C126" s="456"/>
      <c r="D126" s="2554" t="s">
        <v>3264</v>
      </c>
      <c r="F126" s="2567" t="n">
        <f aca="false">I65</f>
        <v>14</v>
      </c>
      <c r="G126" s="2563" t="s">
        <v>3303</v>
      </c>
      <c r="H126" s="2564" t="n">
        <v>20</v>
      </c>
      <c r="K126" s="2564" t="n">
        <f aca="false">H126-F126</f>
        <v>6</v>
      </c>
      <c r="M126" s="2565" t="n">
        <f aca="false">(F126/H126)*100</f>
        <v>70</v>
      </c>
      <c r="N126" s="2563" t="s">
        <v>3303</v>
      </c>
      <c r="O126" s="2564" t="n">
        <v>100</v>
      </c>
    </row>
    <row r="127" customFormat="false" ht="12.75" hidden="false" customHeight="true" outlineLevel="0" collapsed="false">
      <c r="D127" s="2568" t="s">
        <v>3285</v>
      </c>
      <c r="F127" s="2569" t="n">
        <f aca="false">I67</f>
        <v>12</v>
      </c>
      <c r="G127" s="2563" t="s">
        <v>3303</v>
      </c>
      <c r="H127" s="2564" t="n">
        <v>20</v>
      </c>
      <c r="K127" s="2564" t="n">
        <f aca="false">H127-F127</f>
        <v>8</v>
      </c>
      <c r="M127" s="2565" t="n">
        <f aca="false">(F127/H127)*100</f>
        <v>60</v>
      </c>
      <c r="N127" s="2563" t="s">
        <v>3303</v>
      </c>
      <c r="O127" s="2564" t="n">
        <v>100</v>
      </c>
    </row>
    <row r="128" customFormat="false" ht="12.75" hidden="false" customHeight="true" outlineLevel="0" collapsed="false">
      <c r="G128" s="2570"/>
    </row>
    <row r="145" customFormat="false" ht="29.25" hidden="false" customHeight="true" outlineLevel="0" collapsed="false">
      <c r="A145" s="2458" t="s">
        <v>3382</v>
      </c>
      <c r="B145" s="2458"/>
      <c r="C145" s="2458"/>
      <c r="D145" s="2458"/>
      <c r="E145" s="2458"/>
      <c r="F145" s="2458"/>
      <c r="G145" s="2458"/>
      <c r="H145" s="2458"/>
      <c r="I145" s="2458"/>
      <c r="J145" s="2458"/>
      <c r="K145" s="2458"/>
      <c r="L145" s="2458"/>
      <c r="M145" s="2458"/>
      <c r="N145" s="2458"/>
      <c r="O145" s="2458"/>
      <c r="P145" s="2458"/>
      <c r="Q145" s="2458"/>
      <c r="R145" s="2458"/>
      <c r="S145" s="2458"/>
      <c r="T145" s="2458"/>
      <c r="U145" s="2458"/>
      <c r="V145" s="2458"/>
      <c r="W145" s="2458"/>
      <c r="X145" s="2458"/>
      <c r="Y145" s="2458"/>
      <c r="Z145" s="2458"/>
      <c r="AA145" s="2458"/>
      <c r="AB145" s="2458"/>
      <c r="AC145" s="2458"/>
      <c r="AD145" s="2458"/>
    </row>
    <row r="147" customFormat="false" ht="10.15" hidden="false" customHeight="true" outlineLevel="0" collapsed="false">
      <c r="D147" s="2571"/>
      <c r="E147" s="2571"/>
      <c r="F147" s="2572"/>
      <c r="G147" s="2573"/>
      <c r="H147" s="2574"/>
      <c r="I147" s="2575"/>
      <c r="J147" s="2576"/>
      <c r="K147" s="2577"/>
      <c r="L147" s="2571"/>
    </row>
    <row r="148" customFormat="false" ht="10.15" hidden="false" customHeight="true" outlineLevel="0" collapsed="false">
      <c r="D148" s="2571"/>
      <c r="E148" s="2571"/>
      <c r="F148" s="2572"/>
      <c r="G148" s="2573"/>
      <c r="H148" s="2574"/>
      <c r="I148" s="2575"/>
      <c r="J148" s="2576"/>
      <c r="K148" s="2577"/>
      <c r="L148" s="2571"/>
    </row>
    <row r="149" customFormat="false" ht="10.15" hidden="false" customHeight="true" outlineLevel="0" collapsed="false">
      <c r="D149" s="2578" t="s">
        <v>3373</v>
      </c>
      <c r="E149" s="2571"/>
      <c r="F149" s="2572"/>
      <c r="G149" s="2573"/>
      <c r="H149" s="2574"/>
      <c r="I149" s="2575"/>
      <c r="J149" s="2576"/>
      <c r="K149" s="2577"/>
      <c r="L149" s="2571"/>
    </row>
    <row r="150" customFormat="false" ht="10.15" hidden="false" customHeight="true" outlineLevel="0" collapsed="false">
      <c r="D150" s="2579"/>
      <c r="E150" s="2580" t="s">
        <v>3383</v>
      </c>
      <c r="F150" s="2580"/>
      <c r="G150" s="2580"/>
      <c r="H150" s="2580"/>
      <c r="I150" s="2581" t="s">
        <v>3384</v>
      </c>
      <c r="J150" s="2581"/>
      <c r="K150" s="2581"/>
      <c r="L150" s="2571"/>
    </row>
    <row r="151" customFormat="false" ht="10.15" hidden="false" customHeight="true" outlineLevel="0" collapsed="false">
      <c r="D151" s="2579" t="str">
        <f aca="false">D10</f>
        <v>Diversité des espèces cultivées</v>
      </c>
      <c r="E151" s="2571"/>
      <c r="F151" s="2579" t="n">
        <f aca="false">F10</f>
        <v>3</v>
      </c>
      <c r="G151" s="2582" t="s">
        <v>3303</v>
      </c>
      <c r="H151" s="2579" t="n">
        <f aca="false">H10</f>
        <v>5</v>
      </c>
      <c r="I151" s="2575"/>
      <c r="J151" s="2576"/>
      <c r="K151" s="2579" t="n">
        <f aca="false">H151-F151</f>
        <v>2</v>
      </c>
      <c r="L151" s="2571"/>
    </row>
    <row r="152" customFormat="false" ht="10.15" hidden="false" customHeight="true" outlineLevel="0" collapsed="false">
      <c r="D152" s="2579" t="str">
        <f aca="false">D11</f>
        <v>Diversité génétique</v>
      </c>
      <c r="E152" s="2571"/>
      <c r="F152" s="2579" t="n">
        <f aca="false">F11</f>
        <v>2</v>
      </c>
      <c r="G152" s="2582" t="s">
        <v>3303</v>
      </c>
      <c r="H152" s="2579" t="n">
        <f aca="false">H11</f>
        <v>5</v>
      </c>
      <c r="I152" s="2575"/>
      <c r="J152" s="2576"/>
      <c r="K152" s="2579" t="n">
        <f aca="false">H152-F152</f>
        <v>3</v>
      </c>
      <c r="L152" s="2571"/>
    </row>
    <row r="153" customFormat="false" ht="10.15" hidden="false" customHeight="true" outlineLevel="0" collapsed="false">
      <c r="D153" s="2579" t="str">
        <f aca="false">D12</f>
        <v>Diversité temporelle des cultures</v>
      </c>
      <c r="E153" s="2571"/>
      <c r="F153" s="2579" t="n">
        <f aca="false">F12</f>
        <v>0</v>
      </c>
      <c r="G153" s="2582" t="s">
        <v>3303</v>
      </c>
      <c r="H153" s="2579" t="n">
        <f aca="false">H12</f>
        <v>5</v>
      </c>
      <c r="I153" s="2575"/>
      <c r="J153" s="2576"/>
      <c r="K153" s="2579" t="n">
        <f aca="false">H153-F153</f>
        <v>5</v>
      </c>
      <c r="L153" s="2571"/>
    </row>
    <row r="154" customFormat="false" ht="10.15" hidden="false" customHeight="true" outlineLevel="0" collapsed="false">
      <c r="D154" s="2579" t="str">
        <f aca="false">D13</f>
        <v>Qualité de l'organisation spatiale</v>
      </c>
      <c r="E154" s="2571"/>
      <c r="F154" s="2579" t="n">
        <f aca="false">F13</f>
        <v>1</v>
      </c>
      <c r="G154" s="2582" t="s">
        <v>3303</v>
      </c>
      <c r="H154" s="2579" t="n">
        <f aca="false">H13</f>
        <v>5</v>
      </c>
      <c r="I154" s="2575"/>
      <c r="J154" s="2576"/>
      <c r="K154" s="2579" t="n">
        <f aca="false">H154-F154</f>
        <v>4</v>
      </c>
      <c r="L154" s="2571"/>
    </row>
    <row r="155" customFormat="false" ht="10.15" hidden="false" customHeight="true" outlineLevel="0" collapsed="false">
      <c r="D155" s="2579" t="str">
        <f aca="false">D14</f>
        <v>Gestion des insectes pollinisateurs et des auxiliaires des cultures</v>
      </c>
      <c r="E155" s="2571"/>
      <c r="F155" s="2579" t="n">
        <f aca="false">F14</f>
        <v>2</v>
      </c>
      <c r="G155" s="2582" t="s">
        <v>3303</v>
      </c>
      <c r="H155" s="2579" t="n">
        <f aca="false">H14</f>
        <v>5</v>
      </c>
      <c r="I155" s="2575"/>
      <c r="J155" s="2576"/>
      <c r="K155" s="2579" t="n">
        <f aca="false">H155-F155</f>
        <v>3</v>
      </c>
      <c r="L155" s="2571"/>
    </row>
    <row r="156" customFormat="false" ht="10.15" hidden="false" customHeight="true" outlineLevel="0" collapsed="false">
      <c r="D156" s="2579" t="str">
        <f aca="false">D15</f>
        <v>Autonomie en énergie, matériaux, matériels, semences et plants</v>
      </c>
      <c r="E156" s="2571"/>
      <c r="F156" s="2579" t="n">
        <f aca="false">F15</f>
        <v>2</v>
      </c>
      <c r="G156" s="2582" t="s">
        <v>3303</v>
      </c>
      <c r="H156" s="2579" t="n">
        <f aca="false">H15</f>
        <v>8</v>
      </c>
      <c r="I156" s="2575"/>
      <c r="J156" s="2576"/>
      <c r="K156" s="2579" t="n">
        <f aca="false">H156-F156</f>
        <v>6</v>
      </c>
      <c r="L156" s="2571"/>
    </row>
    <row r="157" customFormat="false" ht="10.15" hidden="false" customHeight="true" outlineLevel="0" collapsed="false">
      <c r="D157" s="2579" t="str">
        <f aca="false">D16</f>
        <v>Autonomie alimentaire de l’élevage</v>
      </c>
      <c r="E157" s="2571"/>
      <c r="F157" s="2579" t="n">
        <f aca="false">F16</f>
        <v>0</v>
      </c>
      <c r="G157" s="2582" t="s">
        <v>3303</v>
      </c>
      <c r="H157" s="2579" t="n">
        <f aca="false">H16</f>
        <v>8</v>
      </c>
      <c r="I157" s="2575"/>
      <c r="J157" s="2576"/>
      <c r="K157" s="2579" t="n">
        <f aca="false">H157-F157</f>
        <v>8</v>
      </c>
      <c r="L157" s="2571"/>
    </row>
    <row r="158" customFormat="false" ht="10.15" hidden="false" customHeight="true" outlineLevel="0" collapsed="false">
      <c r="D158" s="2579" t="str">
        <f aca="false">D17</f>
        <v>Autonomie en azote</v>
      </c>
      <c r="E158" s="2571"/>
      <c r="F158" s="2579" t="n">
        <f aca="false">F17</f>
        <v>3</v>
      </c>
      <c r="G158" s="2582" t="s">
        <v>3303</v>
      </c>
      <c r="H158" s="2579" t="n">
        <f aca="false">H17</f>
        <v>8</v>
      </c>
      <c r="I158" s="2575"/>
      <c r="J158" s="2576"/>
      <c r="K158" s="2579" t="n">
        <f aca="false">H158-F158</f>
        <v>5</v>
      </c>
      <c r="L158" s="2571"/>
    </row>
    <row r="159" customFormat="false" ht="10.15" hidden="false" customHeight="true" outlineLevel="0" collapsed="false">
      <c r="D159" s="2579" t="str">
        <f aca="false">D18</f>
        <v>Sobriété dans l'usage de l'eau et partage de la ressource</v>
      </c>
      <c r="E159" s="2571"/>
      <c r="F159" s="2579" t="n">
        <f aca="false">F18</f>
        <v>0</v>
      </c>
      <c r="G159" s="2582" t="s">
        <v>3303</v>
      </c>
      <c r="H159" s="2579" t="n">
        <f aca="false">H18</f>
        <v>8</v>
      </c>
      <c r="I159" s="2575"/>
      <c r="J159" s="2576"/>
      <c r="K159" s="2579" t="n">
        <f aca="false">H159-F159</f>
        <v>8</v>
      </c>
      <c r="L159" s="2571"/>
    </row>
    <row r="160" customFormat="false" ht="10.15" hidden="false" customHeight="true" outlineLevel="0" collapsed="false">
      <c r="D160" s="2579" t="str">
        <f aca="false">D19</f>
        <v>Sobriété dans l'utilisation du phosphore</v>
      </c>
      <c r="E160" s="2571"/>
      <c r="F160" s="2579" t="n">
        <f aca="false">F19</f>
        <v>6</v>
      </c>
      <c r="G160" s="2582" t="s">
        <v>3303</v>
      </c>
      <c r="H160" s="2579" t="n">
        <f aca="false">H19</f>
        <v>8</v>
      </c>
      <c r="I160" s="2575"/>
      <c r="J160" s="2576"/>
      <c r="K160" s="2579" t="n">
        <f aca="false">H160-F160</f>
        <v>2</v>
      </c>
      <c r="L160" s="2571"/>
    </row>
    <row r="161" customFormat="false" ht="10.15" hidden="false" customHeight="true" outlineLevel="0" collapsed="false">
      <c r="D161" s="2579" t="str">
        <f aca="false">D20</f>
        <v>Sobriété dans la consommation en énergie</v>
      </c>
      <c r="E161" s="2571"/>
      <c r="F161" s="2579" t="n">
        <f aca="false">F20</f>
        <v>5</v>
      </c>
      <c r="G161" s="2582" t="s">
        <v>3303</v>
      </c>
      <c r="H161" s="2579" t="n">
        <f aca="false">H20</f>
        <v>8</v>
      </c>
      <c r="I161" s="2575"/>
      <c r="J161" s="2576"/>
      <c r="K161" s="2579" t="n">
        <f aca="false">H161-F161</f>
        <v>3</v>
      </c>
      <c r="L161" s="2571"/>
    </row>
    <row r="162" customFormat="false" ht="10.15" hidden="false" customHeight="true" outlineLevel="0" collapsed="false">
      <c r="D162" s="2579" t="str">
        <f aca="false">D21</f>
        <v>Raisonner l'utilisation de l'eau</v>
      </c>
      <c r="E162" s="2571"/>
      <c r="F162" s="2579" t="n">
        <f aca="false">F21</f>
        <v>8</v>
      </c>
      <c r="G162" s="2582" t="s">
        <v>3303</v>
      </c>
      <c r="H162" s="2579" t="n">
        <f aca="false">H21</f>
        <v>8</v>
      </c>
      <c r="I162" s="2575"/>
      <c r="J162" s="2576"/>
      <c r="K162" s="2579" t="n">
        <f aca="false">H162-F162</f>
        <v>0</v>
      </c>
      <c r="L162" s="2571"/>
    </row>
    <row r="163" customFormat="false" ht="10.15" hidden="false" customHeight="true" outlineLevel="0" collapsed="false">
      <c r="D163" s="2579" t="str">
        <f aca="false">D22</f>
        <v>Favoriser la fertilité du sol</v>
      </c>
      <c r="E163" s="2571"/>
      <c r="F163" s="2579" t="n">
        <f aca="false">F22</f>
        <v>2</v>
      </c>
      <c r="G163" s="2582" t="s">
        <v>3303</v>
      </c>
      <c r="H163" s="2579" t="n">
        <f aca="false">H22</f>
        <v>8</v>
      </c>
      <c r="I163" s="2575"/>
      <c r="J163" s="2576"/>
      <c r="K163" s="2579" t="n">
        <f aca="false">H163-F163</f>
        <v>6</v>
      </c>
      <c r="L163" s="2571"/>
    </row>
    <row r="164" customFormat="false" ht="10.15" hidden="false" customHeight="true" outlineLevel="0" collapsed="false">
      <c r="D164" s="2579" t="str">
        <f aca="false">D23</f>
        <v>Maintenir l'efficacité de la protection sanitaire 
des cultures et des animaux</v>
      </c>
      <c r="E164" s="2571"/>
      <c r="F164" s="2579" t="n">
        <f aca="false">F23</f>
        <v>2</v>
      </c>
      <c r="G164" s="2582" t="s">
        <v>3303</v>
      </c>
      <c r="H164" s="2579" t="n">
        <f aca="false">H23</f>
        <v>4</v>
      </c>
      <c r="I164" s="2575"/>
      <c r="J164" s="2576"/>
      <c r="K164" s="2579" t="n">
        <f aca="false">H164-F164</f>
        <v>2</v>
      </c>
      <c r="L164" s="2571"/>
    </row>
    <row r="165" customFormat="false" ht="10.15" hidden="false" customHeight="true" outlineLevel="0" collapsed="false">
      <c r="D165" s="2579" t="str">
        <f aca="false">D24</f>
        <v>Sécuriser la disponibilité des moyens matériels de production</v>
      </c>
      <c r="E165" s="2571"/>
      <c r="F165" s="2579" t="n">
        <f aca="false">F24</f>
        <v>4</v>
      </c>
      <c r="G165" s="2582" t="s">
        <v>3303</v>
      </c>
      <c r="H165" s="2579" t="n">
        <f aca="false">H24</f>
        <v>4</v>
      </c>
      <c r="I165" s="2575"/>
      <c r="J165" s="2576"/>
      <c r="K165" s="2579" t="n">
        <f aca="false">H165-F165</f>
        <v>0</v>
      </c>
      <c r="L165" s="2571"/>
    </row>
    <row r="166" customFormat="false" ht="10.15" hidden="false" customHeight="true" outlineLevel="0" collapsed="false">
      <c r="D166" s="2579" t="str">
        <f aca="false">D25</f>
        <v>Réduire l'impact des pratiques sur la qualité de l'eau</v>
      </c>
      <c r="E166" s="2571"/>
      <c r="F166" s="2579" t="n">
        <f aca="false">F25</f>
        <v>1</v>
      </c>
      <c r="G166" s="2582" t="s">
        <v>3303</v>
      </c>
      <c r="H166" s="2579" t="n">
        <f aca="false">H25</f>
        <v>6</v>
      </c>
      <c r="I166" s="2575"/>
      <c r="J166" s="2576"/>
      <c r="K166" s="2579" t="n">
        <f aca="false">H166-F166</f>
        <v>5</v>
      </c>
      <c r="L166" s="2571"/>
    </row>
    <row r="167" customFormat="false" ht="10.15" hidden="false" customHeight="true" outlineLevel="0" collapsed="false">
      <c r="D167" s="2579" t="str">
        <f aca="false">D26</f>
        <v>Réduire l'impact des pratiques sur la qualité de l'air</v>
      </c>
      <c r="E167" s="2571"/>
      <c r="F167" s="2579" t="n">
        <f aca="false">F26</f>
        <v>3</v>
      </c>
      <c r="G167" s="2582" t="s">
        <v>3303</v>
      </c>
      <c r="H167" s="2579" t="n">
        <f aca="false">H26</f>
        <v>6</v>
      </c>
      <c r="I167" s="2575"/>
      <c r="J167" s="2576"/>
      <c r="K167" s="2579" t="n">
        <f aca="false">H167-F167</f>
        <v>3</v>
      </c>
      <c r="L167" s="2571"/>
    </row>
    <row r="168" customFormat="false" ht="10.15" hidden="false" customHeight="true" outlineLevel="0" collapsed="false">
      <c r="D168" s="2579" t="str">
        <f aca="false">D27</f>
        <v>Réduire l'impact des pratiques sur le changement climatique</v>
      </c>
      <c r="E168" s="2571"/>
      <c r="F168" s="2579" t="n">
        <f aca="false">F27</f>
        <v>5</v>
      </c>
      <c r="G168" s="2582" t="s">
        <v>3303</v>
      </c>
      <c r="H168" s="2579" t="n">
        <f aca="false">H27</f>
        <v>6</v>
      </c>
      <c r="I168" s="2575"/>
      <c r="J168" s="2576"/>
      <c r="K168" s="2579" t="n">
        <f aca="false">H168-F168</f>
        <v>1</v>
      </c>
      <c r="L168" s="2571"/>
    </row>
    <row r="169" customFormat="false" ht="10.15" hidden="false" customHeight="true" outlineLevel="0" collapsed="false">
      <c r="D169" s="2579" t="str">
        <f aca="false">D28</f>
        <v>Réduire l'usage des produits phytosanitaires 
et des traitements vétérinaires</v>
      </c>
      <c r="E169" s="2571"/>
      <c r="F169" s="2579" t="n">
        <f aca="false">F28</f>
        <v>3</v>
      </c>
      <c r="G169" s="2582" t="s">
        <v>3303</v>
      </c>
      <c r="H169" s="2579" t="n">
        <f aca="false">H28</f>
        <v>6</v>
      </c>
      <c r="I169" s="2575"/>
      <c r="J169" s="2576"/>
      <c r="K169" s="2579" t="n">
        <f aca="false">H169-F169</f>
        <v>3</v>
      </c>
      <c r="L169" s="2571"/>
    </row>
    <row r="170" customFormat="false" ht="10.15" hidden="false" customHeight="true" outlineLevel="0" collapsed="false">
      <c r="D170" s="2579"/>
      <c r="E170" s="2571"/>
      <c r="F170" s="2572"/>
      <c r="G170" s="2573"/>
      <c r="H170" s="2574"/>
      <c r="I170" s="2575"/>
      <c r="J170" s="2576"/>
      <c r="K170" s="2579"/>
      <c r="L170" s="2571"/>
    </row>
    <row r="171" customFormat="false" ht="10.15" hidden="false" customHeight="true" outlineLevel="0" collapsed="false">
      <c r="D171" s="2579"/>
      <c r="E171" s="2571"/>
      <c r="F171" s="2572"/>
      <c r="G171" s="2573"/>
      <c r="H171" s="2579"/>
      <c r="I171" s="2579"/>
      <c r="J171" s="2571"/>
      <c r="K171" s="2579"/>
      <c r="L171" s="2571"/>
    </row>
    <row r="172" customFormat="false" ht="10.15" hidden="false" customHeight="true" outlineLevel="0" collapsed="false">
      <c r="D172" s="2579"/>
      <c r="E172" s="2571"/>
      <c r="F172" s="2572"/>
      <c r="G172" s="2573"/>
      <c r="H172" s="2574"/>
      <c r="I172" s="2575"/>
      <c r="J172" s="2571"/>
      <c r="K172" s="2579"/>
      <c r="L172" s="2571"/>
    </row>
    <row r="173" customFormat="false" ht="10.15" hidden="false" customHeight="true" outlineLevel="0" collapsed="false">
      <c r="D173" s="2579" t="str">
        <f aca="false">D32</f>
        <v>Production alimentaire de l'exploitation</v>
      </c>
      <c r="E173" s="2571"/>
      <c r="F173" s="2579" t="n">
        <f aca="false">F32</f>
        <v>6</v>
      </c>
      <c r="G173" s="2582" t="s">
        <v>3303</v>
      </c>
      <c r="H173" s="2579" t="n">
        <f aca="false">H32</f>
        <v>6</v>
      </c>
      <c r="I173" s="2575"/>
      <c r="J173" s="2571"/>
      <c r="K173" s="2579" t="n">
        <f aca="false">H173-F173</f>
        <v>0</v>
      </c>
      <c r="L173" s="2571"/>
    </row>
    <row r="174" customFormat="false" ht="10.15" hidden="false" customHeight="true" outlineLevel="0" collapsed="false">
      <c r="D174" s="2579" t="str">
        <f aca="false">D33</f>
        <v>Contribution à l’équilibre alimentaire mondial</v>
      </c>
      <c r="E174" s="2571"/>
      <c r="F174" s="2579" t="n">
        <f aca="false">F33</f>
        <v>6</v>
      </c>
      <c r="G174" s="2582" t="s">
        <v>3303</v>
      </c>
      <c r="H174" s="2579" t="n">
        <f aca="false">H33</f>
        <v>6</v>
      </c>
      <c r="I174" s="2575"/>
      <c r="J174" s="2571"/>
      <c r="K174" s="2579" t="n">
        <f aca="false">H174-F174</f>
        <v>0</v>
      </c>
      <c r="L174" s="2571"/>
    </row>
    <row r="175" customFormat="false" ht="10.15" hidden="false" customHeight="true" outlineLevel="0" collapsed="false">
      <c r="D175" s="2579" t="str">
        <f aca="false">D34</f>
        <v>Qualités de la production</v>
      </c>
      <c r="E175" s="2571"/>
      <c r="F175" s="2579" t="n">
        <f aca="false">F34</f>
        <v>0</v>
      </c>
      <c r="G175" s="2582" t="s">
        <v>3303</v>
      </c>
      <c r="H175" s="2579" t="n">
        <f aca="false">H34</f>
        <v>6</v>
      </c>
      <c r="I175" s="2575"/>
      <c r="J175" s="2571"/>
      <c r="K175" s="2579" t="n">
        <f aca="false">H175-F175</f>
        <v>6</v>
      </c>
      <c r="L175" s="2571"/>
    </row>
    <row r="176" customFormat="false" ht="10.15" hidden="false" customHeight="true" outlineLevel="0" collapsed="false">
      <c r="D176" s="2579" t="str">
        <f aca="false">D35</f>
        <v>Pertes et gaspillage</v>
      </c>
      <c r="E176" s="2571"/>
      <c r="F176" s="2579" t="n">
        <f aca="false">F35</f>
        <v>2</v>
      </c>
      <c r="G176" s="2582" t="s">
        <v>3303</v>
      </c>
      <c r="H176" s="2579" t="n">
        <f aca="false">H35</f>
        <v>6</v>
      </c>
      <c r="I176" s="2575"/>
      <c r="J176" s="2571"/>
      <c r="K176" s="2579" t="n">
        <f aca="false">H176-F176</f>
        <v>4</v>
      </c>
      <c r="L176" s="2571"/>
    </row>
    <row r="177" customFormat="false" ht="10.15" hidden="false" customHeight="true" outlineLevel="0" collapsed="false">
      <c r="D177" s="2579" t="str">
        <f aca="false">D36</f>
        <v>Liens sociaux, hédoniques et culturels à l'alimentation</v>
      </c>
      <c r="E177" s="2571"/>
      <c r="F177" s="2579" t="n">
        <f aca="false">F36</f>
        <v>3</v>
      </c>
      <c r="G177" s="2582" t="s">
        <v>3303</v>
      </c>
      <c r="H177" s="2579" t="n">
        <f aca="false">H36</f>
        <v>6</v>
      </c>
      <c r="I177" s="2575"/>
      <c r="J177" s="2571"/>
      <c r="K177" s="2579" t="n">
        <f aca="false">H177-F177</f>
        <v>3</v>
      </c>
      <c r="L177" s="2571"/>
    </row>
    <row r="178" customFormat="false" ht="10.15" hidden="false" customHeight="true" outlineLevel="0" collapsed="false">
      <c r="D178" s="2579" t="str">
        <f aca="false">D37</f>
        <v>Engagement dans des démarches 
environnementales contractualisées et territoriales</v>
      </c>
      <c r="E178" s="2571"/>
      <c r="F178" s="2579" t="n">
        <f aca="false">F37</f>
        <v>0</v>
      </c>
      <c r="G178" s="2582" t="s">
        <v>3303</v>
      </c>
      <c r="H178" s="2579" t="n">
        <f aca="false">H37</f>
        <v>5</v>
      </c>
      <c r="I178" s="2575"/>
      <c r="J178" s="2571"/>
      <c r="K178" s="2579" t="n">
        <f aca="false">H178-F178</f>
        <v>5</v>
      </c>
      <c r="L178" s="2571"/>
    </row>
    <row r="179" customFormat="false" ht="10.15" hidden="false" customHeight="true" outlineLevel="0" collapsed="false">
      <c r="D179" s="2579" t="str">
        <f aca="false">D38</f>
        <v>Services marchands au territoire</v>
      </c>
      <c r="E179" s="2571"/>
      <c r="F179" s="2579" t="n">
        <f aca="false">F38</f>
        <v>0</v>
      </c>
      <c r="G179" s="2582" t="s">
        <v>3303</v>
      </c>
      <c r="H179" s="2579" t="n">
        <f aca="false">H38</f>
        <v>3</v>
      </c>
      <c r="I179" s="2575"/>
      <c r="J179" s="2571"/>
      <c r="K179" s="2579" t="n">
        <f aca="false">H179-F179</f>
        <v>3</v>
      </c>
      <c r="L179" s="2571"/>
    </row>
    <row r="180" customFormat="false" ht="10.15" hidden="false" customHeight="true" outlineLevel="0" collapsed="false">
      <c r="D180" s="2579" t="str">
        <f aca="false">D39</f>
        <v>Valorisation par filières courtes ou de proximité</v>
      </c>
      <c r="E180" s="2571"/>
      <c r="F180" s="2579" t="n">
        <f aca="false">F39</f>
        <v>0</v>
      </c>
      <c r="G180" s="2582" t="s">
        <v>3303</v>
      </c>
      <c r="H180" s="2579" t="n">
        <f aca="false">H39</f>
        <v>5</v>
      </c>
      <c r="I180" s="2575"/>
      <c r="J180" s="2571"/>
      <c r="K180" s="2579" t="n">
        <f aca="false">H180-F180</f>
        <v>5</v>
      </c>
      <c r="L180" s="2571"/>
    </row>
    <row r="181" customFormat="false" ht="10.15" hidden="false" customHeight="true" outlineLevel="0" collapsed="false">
      <c r="D181" s="2579" t="str">
        <f aca="false">D40</f>
        <v>Valorisation des ressources locales</v>
      </c>
      <c r="E181" s="2571"/>
      <c r="F181" s="2579" t="n">
        <f aca="false">F40</f>
        <v>5</v>
      </c>
      <c r="G181" s="2582" t="s">
        <v>3303</v>
      </c>
      <c r="H181" s="2579" t="n">
        <f aca="false">H40</f>
        <v>5</v>
      </c>
      <c r="I181" s="2575"/>
      <c r="J181" s="2571"/>
      <c r="K181" s="2579" t="n">
        <f aca="false">H181-F181</f>
        <v>0</v>
      </c>
      <c r="L181" s="2571"/>
    </row>
    <row r="182" customFormat="false" ht="10.15" hidden="false" customHeight="true" outlineLevel="0" collapsed="false">
      <c r="D182" s="2579" t="str">
        <f aca="false">D41</f>
        <v>Valorisation et qualité du patrimoine 
(bâti, paysage et savoir-faire) et ressources naturelles</v>
      </c>
      <c r="E182" s="2571"/>
      <c r="F182" s="2579" t="n">
        <f aca="false">F41</f>
        <v>3</v>
      </c>
      <c r="G182" s="2582" t="s">
        <v>3303</v>
      </c>
      <c r="H182" s="2579" t="n">
        <f aca="false">H41</f>
        <v>3</v>
      </c>
      <c r="I182" s="2575"/>
      <c r="J182" s="2571"/>
      <c r="K182" s="2579" t="n">
        <f aca="false">H182-F182</f>
        <v>0</v>
      </c>
      <c r="L182" s="2571"/>
    </row>
    <row r="183" customFormat="false" ht="10.15" hidden="false" customHeight="true" outlineLevel="0" collapsed="false">
      <c r="D183" s="2579" t="str">
        <f aca="false">D42</f>
        <v>Accessibilité de l’espace</v>
      </c>
      <c r="E183" s="2571"/>
      <c r="F183" s="2579" t="n">
        <f aca="false">F42</f>
        <v>3</v>
      </c>
      <c r="G183" s="2582" t="s">
        <v>3303</v>
      </c>
      <c r="H183" s="2579" t="n">
        <f aca="false">H42</f>
        <v>3</v>
      </c>
      <c r="I183" s="2575"/>
      <c r="J183" s="2571"/>
      <c r="K183" s="2579" t="n">
        <f aca="false">H183-F183</f>
        <v>0</v>
      </c>
      <c r="L183" s="2571"/>
    </row>
    <row r="184" customFormat="false" ht="10.15" hidden="false" customHeight="true" outlineLevel="0" collapsed="false">
      <c r="D184" s="2579" t="str">
        <f aca="false">D43</f>
        <v>Gestion des déchets non organiques</v>
      </c>
      <c r="E184" s="2571"/>
      <c r="F184" s="2579" t="n">
        <f aca="false">F43</f>
        <v>2</v>
      </c>
      <c r="G184" s="2582" t="s">
        <v>3303</v>
      </c>
      <c r="H184" s="2579" t="n">
        <f aca="false">H43</f>
        <v>3</v>
      </c>
      <c r="I184" s="2575"/>
      <c r="J184" s="2571"/>
      <c r="K184" s="2579" t="n">
        <f aca="false">H184-F184</f>
        <v>1</v>
      </c>
      <c r="L184" s="2571"/>
    </row>
    <row r="185" customFormat="false" ht="10.15" hidden="false" customHeight="true" outlineLevel="0" collapsed="false">
      <c r="D185" s="2579" t="str">
        <f aca="false">D44</f>
        <v>Réseaux d'innovation et mutualisation du matériel</v>
      </c>
      <c r="E185" s="2571"/>
      <c r="F185" s="2579" t="n">
        <f aca="false">F44</f>
        <v>3</v>
      </c>
      <c r="G185" s="2582" t="s">
        <v>3303</v>
      </c>
      <c r="H185" s="2579" t="n">
        <f aca="false">H44</f>
        <v>3</v>
      </c>
      <c r="I185" s="2575"/>
      <c r="J185" s="2571"/>
      <c r="K185" s="2579" t="n">
        <f aca="false">H185-F185</f>
        <v>0</v>
      </c>
      <c r="L185" s="2571"/>
    </row>
    <row r="186" customFormat="false" ht="10.15" hidden="false" customHeight="true" outlineLevel="0" collapsed="false">
      <c r="D186" s="2579" t="str">
        <f aca="false">D45</f>
        <v>Contribution à l'emploi et gestion du salariat</v>
      </c>
      <c r="E186" s="2571"/>
      <c r="F186" s="2579" t="n">
        <f aca="false">F45</f>
        <v>6</v>
      </c>
      <c r="G186" s="2582" t="s">
        <v>3303</v>
      </c>
      <c r="H186" s="2579" t="n">
        <f aca="false">H45</f>
        <v>6</v>
      </c>
      <c r="I186" s="2575"/>
      <c r="J186" s="2571"/>
      <c r="K186" s="2579" t="n">
        <f aca="false">H186-F186</f>
        <v>0</v>
      </c>
      <c r="L186" s="2571"/>
    </row>
    <row r="187" customFormat="false" ht="10.15" hidden="false" customHeight="true" outlineLevel="0" collapsed="false">
      <c r="D187" s="2579" t="str">
        <f aca="false">D46</f>
        <v>Mutualisation du travail</v>
      </c>
      <c r="E187" s="2571"/>
      <c r="F187" s="2579" t="n">
        <f aca="false">F46</f>
        <v>2</v>
      </c>
      <c r="G187" s="2582" t="s">
        <v>3303</v>
      </c>
      <c r="H187" s="2579" t="n">
        <f aca="false">H46</f>
        <v>6</v>
      </c>
      <c r="I187" s="2575"/>
      <c r="J187" s="2571"/>
      <c r="K187" s="2579" t="n">
        <f aca="false">H187-F187</f>
        <v>4</v>
      </c>
      <c r="L187" s="2571"/>
    </row>
    <row r="188" customFormat="false" ht="10.15" hidden="false" customHeight="true" outlineLevel="0" collapsed="false">
      <c r="D188" s="2579" t="str">
        <f aca="false">D47</f>
        <v>Intensité et qualité au travail</v>
      </c>
      <c r="E188" s="2571"/>
      <c r="F188" s="2579" t="n">
        <f aca="false">F47</f>
        <v>5</v>
      </c>
      <c r="G188" s="2582" t="s">
        <v>3303</v>
      </c>
      <c r="H188" s="2579" t="n">
        <f aca="false">H47</f>
        <v>6</v>
      </c>
      <c r="I188" s="2575"/>
      <c r="J188" s="2571"/>
      <c r="K188" s="2579" t="n">
        <f aca="false">H188-F188</f>
        <v>1</v>
      </c>
      <c r="L188" s="2571"/>
    </row>
    <row r="189" customFormat="false" ht="10.15" hidden="false" customHeight="true" outlineLevel="0" collapsed="false">
      <c r="D189" s="2579" t="str">
        <f aca="false">D48</f>
        <v>Accueil, hygiène et sécurité</v>
      </c>
      <c r="E189" s="2571"/>
      <c r="F189" s="2579" t="n">
        <f aca="false">F48</f>
        <v>5</v>
      </c>
      <c r="G189" s="2582" t="s">
        <v>3303</v>
      </c>
      <c r="H189" s="2579" t="n">
        <f aca="false">H48</f>
        <v>5</v>
      </c>
      <c r="I189" s="2575"/>
      <c r="J189" s="2571"/>
      <c r="K189" s="2579" t="n">
        <f aca="false">H189-F189</f>
        <v>0</v>
      </c>
      <c r="L189" s="2571"/>
    </row>
    <row r="190" customFormat="false" ht="10.15" hidden="false" customHeight="true" outlineLevel="0" collapsed="false">
      <c r="D190" s="2579" t="str">
        <f aca="false">D49</f>
        <v>Formation</v>
      </c>
      <c r="E190" s="2571"/>
      <c r="F190" s="2579" t="n">
        <f aca="false">F49</f>
        <v>2</v>
      </c>
      <c r="G190" s="2582" t="s">
        <v>3303</v>
      </c>
      <c r="H190" s="2579" t="n">
        <f aca="false">H49</f>
        <v>5</v>
      </c>
      <c r="I190" s="2575"/>
      <c r="J190" s="2571"/>
      <c r="K190" s="2579" t="n">
        <f aca="false">H190-F190</f>
        <v>3</v>
      </c>
      <c r="L190" s="2571"/>
    </row>
    <row r="191" customFormat="false" ht="10.15" hidden="false" customHeight="true" outlineLevel="0" collapsed="false">
      <c r="D191" s="2579" t="str">
        <f aca="false">D50</f>
        <v>Implication sociale territoriale et solidarités</v>
      </c>
      <c r="E191" s="2571"/>
      <c r="F191" s="2579" t="n">
        <f aca="false">F50</f>
        <v>4</v>
      </c>
      <c r="G191" s="2582" t="s">
        <v>3303</v>
      </c>
      <c r="H191" s="2579" t="n">
        <f aca="false">H50</f>
        <v>6</v>
      </c>
      <c r="I191" s="2575"/>
      <c r="J191" s="2571"/>
      <c r="K191" s="2579" t="n">
        <f aca="false">H191-F191</f>
        <v>2</v>
      </c>
      <c r="L191" s="2571"/>
    </row>
    <row r="192" customFormat="false" ht="10.15" hidden="false" customHeight="true" outlineLevel="0" collapsed="false">
      <c r="D192" s="2579" t="str">
        <f aca="false">D51</f>
        <v>Démarche de transparence</v>
      </c>
      <c r="E192" s="2571"/>
      <c r="F192" s="2579" t="n">
        <f aca="false">F51</f>
        <v>2</v>
      </c>
      <c r="G192" s="2582" t="s">
        <v>3303</v>
      </c>
      <c r="H192" s="2579" t="n">
        <f aca="false">H51</f>
        <v>6</v>
      </c>
      <c r="I192" s="2575"/>
      <c r="J192" s="2571"/>
      <c r="K192" s="2579" t="n">
        <f aca="false">H192-F192</f>
        <v>4</v>
      </c>
      <c r="L192" s="2571"/>
    </row>
    <row r="193" customFormat="false" ht="10.15" hidden="false" customHeight="true" outlineLevel="0" collapsed="false">
      <c r="D193" s="2579" t="str">
        <f aca="false">D52</f>
        <v>Qualité de la vie</v>
      </c>
      <c r="E193" s="2571"/>
      <c r="F193" s="2579" t="n">
        <f aca="false">F52</f>
        <v>5</v>
      </c>
      <c r="G193" s="2582" t="s">
        <v>3303</v>
      </c>
      <c r="H193" s="2579" t="n">
        <f aca="false">H52</f>
        <v>6</v>
      </c>
      <c r="I193" s="2575"/>
      <c r="J193" s="2571"/>
      <c r="K193" s="2579" t="n">
        <f aca="false">H193-F193</f>
        <v>1</v>
      </c>
      <c r="L193" s="2571"/>
    </row>
    <row r="194" customFormat="false" ht="10.15" hidden="false" customHeight="true" outlineLevel="0" collapsed="false">
      <c r="D194" s="2579" t="str">
        <f aca="false">D53</f>
        <v>Isolement</v>
      </c>
      <c r="E194" s="2571"/>
      <c r="F194" s="2579" t="n">
        <f aca="false">F53</f>
        <v>3</v>
      </c>
      <c r="G194" s="2582" t="s">
        <v>3303</v>
      </c>
      <c r="H194" s="2579" t="n">
        <f aca="false">H53</f>
        <v>6</v>
      </c>
      <c r="I194" s="2575"/>
      <c r="J194" s="2571"/>
      <c r="K194" s="2579" t="n">
        <f aca="false">H194-F194</f>
        <v>3</v>
      </c>
      <c r="L194" s="2571"/>
    </row>
    <row r="195" customFormat="false" ht="10.15" hidden="false" customHeight="true" outlineLevel="0" collapsed="false">
      <c r="D195" s="2579" t="str">
        <f aca="false">D54</f>
        <v>Bien-être animal</v>
      </c>
      <c r="E195" s="2571"/>
      <c r="F195" s="2579" t="n">
        <f aca="false">F54</f>
        <v>5</v>
      </c>
      <c r="G195" s="2582" t="s">
        <v>3303</v>
      </c>
      <c r="H195" s="2579" t="n">
        <f aca="false">H54</f>
        <v>6</v>
      </c>
      <c r="I195" s="2575"/>
      <c r="J195" s="2571"/>
      <c r="K195" s="2579" t="n">
        <f aca="false">H195-F195</f>
        <v>1</v>
      </c>
      <c r="L195" s="2571"/>
    </row>
    <row r="196" customFormat="false" ht="10.15" hidden="false" customHeight="true" outlineLevel="0" collapsed="false">
      <c r="D196" s="2579"/>
      <c r="E196" s="2571"/>
      <c r="F196" s="2572"/>
      <c r="G196" s="2573"/>
      <c r="H196" s="2574"/>
      <c r="I196" s="2575"/>
      <c r="J196" s="2576"/>
      <c r="K196" s="2579"/>
      <c r="L196" s="2571"/>
    </row>
    <row r="197" customFormat="false" ht="10.15" hidden="false" customHeight="true" outlineLevel="0" collapsed="false">
      <c r="D197" s="2579"/>
      <c r="E197" s="2571"/>
      <c r="F197" s="2572"/>
      <c r="G197" s="2573"/>
      <c r="H197" s="2574"/>
      <c r="I197" s="2575"/>
      <c r="J197" s="2576"/>
      <c r="K197" s="2579"/>
      <c r="L197" s="2571"/>
    </row>
    <row r="198" customFormat="false" ht="10.15" hidden="false" customHeight="true" outlineLevel="0" collapsed="false">
      <c r="D198" s="2579"/>
      <c r="E198" s="2571"/>
      <c r="F198" s="2572"/>
      <c r="G198" s="2573"/>
      <c r="H198" s="2574"/>
      <c r="I198" s="2575"/>
      <c r="J198" s="2576"/>
      <c r="K198" s="2579"/>
      <c r="L198" s="2571"/>
    </row>
    <row r="199" customFormat="false" ht="10.15" hidden="false" customHeight="true" outlineLevel="0" collapsed="false">
      <c r="D199" s="2579" t="str">
        <f aca="false">D58</f>
        <v>Capacité économique</v>
      </c>
      <c r="E199" s="2571"/>
      <c r="F199" s="2579" t="n">
        <f aca="false">F58</f>
        <v>16</v>
      </c>
      <c r="G199" s="2582" t="s">
        <v>3303</v>
      </c>
      <c r="H199" s="2579" t="n">
        <f aca="false">H58</f>
        <v>20</v>
      </c>
      <c r="I199" s="2575"/>
      <c r="J199" s="2576"/>
      <c r="K199" s="2579" t="n">
        <f aca="false">H199-F199</f>
        <v>4</v>
      </c>
      <c r="L199" s="2571"/>
    </row>
    <row r="200" customFormat="false" ht="10.15" hidden="false" customHeight="true" outlineLevel="0" collapsed="false">
      <c r="D200" s="2579" t="str">
        <f aca="false">D59</f>
        <v>Poids de la dette</v>
      </c>
      <c r="E200" s="2571"/>
      <c r="F200" s="2579" t="n">
        <f aca="false">F59</f>
        <v>0</v>
      </c>
      <c r="G200" s="2582" t="s">
        <v>3303</v>
      </c>
      <c r="H200" s="2579" t="n">
        <f aca="false">H59</f>
        <v>12</v>
      </c>
      <c r="I200" s="2575"/>
      <c r="J200" s="2576"/>
      <c r="K200" s="2579" t="n">
        <f aca="false">H200-F200</f>
        <v>12</v>
      </c>
      <c r="L200" s="2571"/>
    </row>
    <row r="201" customFormat="false" ht="10.15" hidden="false" customHeight="true" outlineLevel="0" collapsed="false">
      <c r="D201" s="2579" t="str">
        <f aca="false">D60</f>
        <v>Taux d'endettement structurel</v>
      </c>
      <c r="E201" s="2571"/>
      <c r="F201" s="2579" t="n">
        <f aca="false">F60</f>
        <v>6</v>
      </c>
      <c r="G201" s="2582" t="s">
        <v>3303</v>
      </c>
      <c r="H201" s="2579" t="n">
        <f aca="false">H60</f>
        <v>6</v>
      </c>
      <c r="I201" s="2575"/>
      <c r="J201" s="2576"/>
      <c r="K201" s="2579" t="n">
        <f aca="false">H201-F201</f>
        <v>0</v>
      </c>
      <c r="L201" s="2571"/>
    </row>
    <row r="202" customFormat="false" ht="10.15" hidden="false" customHeight="true" outlineLevel="0" collapsed="false">
      <c r="D202" s="2579" t="str">
        <f aca="false">D61</f>
        <v>Diversification productive</v>
      </c>
      <c r="E202" s="2571"/>
      <c r="F202" s="2579" t="n">
        <f aca="false">F61</f>
        <v>6</v>
      </c>
      <c r="G202" s="2582" t="s">
        <v>3303</v>
      </c>
      <c r="H202" s="2579" t="n">
        <f aca="false">H61</f>
        <v>10</v>
      </c>
      <c r="I202" s="2575"/>
      <c r="J202" s="2576"/>
      <c r="K202" s="2579" t="n">
        <f aca="false">H202-F202</f>
        <v>4</v>
      </c>
      <c r="L202" s="2571"/>
    </row>
    <row r="203" customFormat="false" ht="10.15" hidden="false" customHeight="true" outlineLevel="0" collapsed="false">
      <c r="D203" s="2579" t="str">
        <f aca="false">D62</f>
        <v>Diversification et relations contractuelles</v>
      </c>
      <c r="E203" s="2571"/>
      <c r="F203" s="2579" t="n">
        <f aca="false">F62</f>
        <v>4</v>
      </c>
      <c r="G203" s="2582" t="s">
        <v>3303</v>
      </c>
      <c r="H203" s="2579" t="n">
        <f aca="false">H62</f>
        <v>10</v>
      </c>
      <c r="I203" s="2575"/>
      <c r="J203" s="2576"/>
      <c r="K203" s="2579" t="n">
        <f aca="false">H203-F203</f>
        <v>6</v>
      </c>
      <c r="L203" s="2571"/>
    </row>
    <row r="204" customFormat="false" ht="10.15" hidden="false" customHeight="true" outlineLevel="0" collapsed="false">
      <c r="D204" s="2579" t="str">
        <f aca="false">D63</f>
        <v>Sensibilité aux aides</v>
      </c>
      <c r="E204" s="2571"/>
      <c r="F204" s="2579" t="n">
        <f aca="false">F63</f>
        <v>6</v>
      </c>
      <c r="G204" s="2582" t="s">
        <v>3303</v>
      </c>
      <c r="H204" s="2579" t="n">
        <f aca="false">H63</f>
        <v>6</v>
      </c>
      <c r="I204" s="2575"/>
      <c r="J204" s="2576"/>
      <c r="K204" s="2579" t="n">
        <f aca="false">H204-F204</f>
        <v>0</v>
      </c>
      <c r="L204" s="2571"/>
    </row>
    <row r="205" customFormat="false" ht="10.15" hidden="false" customHeight="true" outlineLevel="0" collapsed="false">
      <c r="D205" s="2579" t="str">
        <f aca="false">D64</f>
        <v>Contribution de revenus extérieurs à l'indépendance</v>
      </c>
      <c r="E205" s="2571"/>
      <c r="F205" s="2579" t="n">
        <f aca="false">F64</f>
        <v>4</v>
      </c>
      <c r="G205" s="2582" t="s">
        <v>3303</v>
      </c>
      <c r="H205" s="2579" t="n">
        <f aca="false">H64</f>
        <v>4</v>
      </c>
      <c r="I205" s="2575"/>
      <c r="J205" s="2576"/>
      <c r="K205" s="2579" t="n">
        <f aca="false">H205-F205</f>
        <v>0</v>
      </c>
      <c r="L205" s="2571"/>
    </row>
    <row r="206" customFormat="false" ht="10.15" hidden="false" customHeight="true" outlineLevel="0" collapsed="false">
      <c r="D206" s="2579" t="str">
        <f aca="false">D65</f>
        <v>Transmissibilité économique</v>
      </c>
      <c r="E206" s="2571"/>
      <c r="F206" s="2579" t="n">
        <f aca="false">F65</f>
        <v>6</v>
      </c>
      <c r="G206" s="2582" t="s">
        <v>3303</v>
      </c>
      <c r="H206" s="2579" t="n">
        <f aca="false">H65</f>
        <v>15</v>
      </c>
      <c r="I206" s="2575"/>
      <c r="J206" s="2576"/>
      <c r="K206" s="2579" t="n">
        <f aca="false">H206-F206</f>
        <v>9</v>
      </c>
      <c r="L206" s="2571"/>
    </row>
    <row r="207" customFormat="false" ht="10.15" hidden="false" customHeight="true" outlineLevel="0" collapsed="false">
      <c r="D207" s="2579" t="str">
        <f aca="false">D66</f>
        <v>Pérennité probable</v>
      </c>
      <c r="E207" s="2571"/>
      <c r="F207" s="2579" t="n">
        <f aca="false">F66</f>
        <v>8</v>
      </c>
      <c r="G207" s="2582" t="s">
        <v>3303</v>
      </c>
      <c r="H207" s="2579" t="n">
        <f aca="false">H66</f>
        <v>8</v>
      </c>
      <c r="I207" s="2575"/>
      <c r="J207" s="2576"/>
      <c r="K207" s="2579" t="n">
        <f aca="false">H207-F207</f>
        <v>0</v>
      </c>
      <c r="L207" s="2571"/>
    </row>
    <row r="208" customFormat="false" ht="10.15" hidden="false" customHeight="true" outlineLevel="0" collapsed="false">
      <c r="D208" s="2579" t="str">
        <f aca="false">D67</f>
        <v>Efficience brute du processus productif</v>
      </c>
      <c r="E208" s="2571"/>
      <c r="F208" s="2579" t="n">
        <f aca="false">F67</f>
        <v>12</v>
      </c>
      <c r="G208" s="2582" t="s">
        <v>3303</v>
      </c>
      <c r="H208" s="2579" t="n">
        <f aca="false">H67</f>
        <v>12</v>
      </c>
      <c r="I208" s="2575"/>
      <c r="J208" s="2576"/>
      <c r="K208" s="2579" t="n">
        <f aca="false">H208-F208</f>
        <v>0</v>
      </c>
      <c r="L208" s="2571"/>
    </row>
    <row r="209" customFormat="false" ht="10.15" hidden="false" customHeight="true" outlineLevel="0" collapsed="false">
      <c r="D209" s="2579" t="str">
        <f aca="false">D68</f>
        <v>Sobriété en intrants dans le processus productif</v>
      </c>
      <c r="E209" s="2571"/>
      <c r="F209" s="2579" t="n">
        <f aca="false">F68</f>
        <v>0</v>
      </c>
      <c r="G209" s="2582" t="s">
        <v>3303</v>
      </c>
      <c r="H209" s="2579" t="n">
        <f aca="false">H68</f>
        <v>8</v>
      </c>
      <c r="I209" s="2575"/>
      <c r="J209" s="2576"/>
      <c r="K209" s="2579" t="n">
        <f aca="false">H209-F209</f>
        <v>8</v>
      </c>
      <c r="L209" s="2571"/>
    </row>
    <row r="210" customFormat="false" ht="10.15" hidden="false" customHeight="true" outlineLevel="0" collapsed="false">
      <c r="D210" s="2579"/>
      <c r="E210" s="2571"/>
      <c r="F210" s="2572"/>
      <c r="G210" s="2573"/>
      <c r="H210" s="2574"/>
      <c r="I210" s="2575"/>
      <c r="J210" s="2576"/>
      <c r="K210" s="2577"/>
      <c r="L210" s="2571"/>
    </row>
    <row r="211" customFormat="false" ht="10.15" hidden="false" customHeight="true" outlineLevel="0" collapsed="false">
      <c r="D211" s="2579"/>
      <c r="E211" s="2571"/>
      <c r="F211" s="2572"/>
      <c r="G211" s="2573"/>
      <c r="H211" s="2574"/>
      <c r="I211" s="2575"/>
      <c r="J211" s="2576"/>
      <c r="K211" s="2577"/>
      <c r="L211" s="2571"/>
    </row>
  </sheetData>
  <mergeCells count="73">
    <mergeCell ref="A1:K1"/>
    <mergeCell ref="A4:K4"/>
    <mergeCell ref="B7:C7"/>
    <mergeCell ref="D7:H7"/>
    <mergeCell ref="I7:K7"/>
    <mergeCell ref="B8:C8"/>
    <mergeCell ref="F8:H8"/>
    <mergeCell ref="I8:K8"/>
    <mergeCell ref="A10:A28"/>
    <mergeCell ref="B10:C14"/>
    <mergeCell ref="I10:I14"/>
    <mergeCell ref="J10:J14"/>
    <mergeCell ref="K10:K14"/>
    <mergeCell ref="B15:C17"/>
    <mergeCell ref="I15:I17"/>
    <mergeCell ref="J15:J17"/>
    <mergeCell ref="K15:K17"/>
    <mergeCell ref="B18:C20"/>
    <mergeCell ref="I18:I20"/>
    <mergeCell ref="J18:J20"/>
    <mergeCell ref="K18:K20"/>
    <mergeCell ref="B21:C24"/>
    <mergeCell ref="I21:I24"/>
    <mergeCell ref="J21:J24"/>
    <mergeCell ref="K21:K24"/>
    <mergeCell ref="B25:C28"/>
    <mergeCell ref="I25:I28"/>
    <mergeCell ref="J25:J28"/>
    <mergeCell ref="K25:K28"/>
    <mergeCell ref="F29:H29"/>
    <mergeCell ref="A32:A54"/>
    <mergeCell ref="B32:C36"/>
    <mergeCell ref="I32:I36"/>
    <mergeCell ref="J32:J36"/>
    <mergeCell ref="K32:K36"/>
    <mergeCell ref="B37:C44"/>
    <mergeCell ref="I37:I44"/>
    <mergeCell ref="J37:J44"/>
    <mergeCell ref="K37:K44"/>
    <mergeCell ref="B45:C49"/>
    <mergeCell ref="I45:I49"/>
    <mergeCell ref="J45:J49"/>
    <mergeCell ref="K45:K49"/>
    <mergeCell ref="B50:C54"/>
    <mergeCell ref="I50:I54"/>
    <mergeCell ref="J50:J54"/>
    <mergeCell ref="K50:K54"/>
    <mergeCell ref="F55:H55"/>
    <mergeCell ref="A58:A68"/>
    <mergeCell ref="B58:C60"/>
    <mergeCell ref="I58:I60"/>
    <mergeCell ref="J58:J60"/>
    <mergeCell ref="K58:K60"/>
    <mergeCell ref="B61:C64"/>
    <mergeCell ref="I61:I64"/>
    <mergeCell ref="J61:J64"/>
    <mergeCell ref="K61:K64"/>
    <mergeCell ref="B65:C66"/>
    <mergeCell ref="I65:I66"/>
    <mergeCell ref="J65:J66"/>
    <mergeCell ref="K65:K66"/>
    <mergeCell ref="B67:C68"/>
    <mergeCell ref="I67:I68"/>
    <mergeCell ref="J67:J68"/>
    <mergeCell ref="K67:K68"/>
    <mergeCell ref="F69:H69"/>
    <mergeCell ref="E72:H72"/>
    <mergeCell ref="A75:K75"/>
    <mergeCell ref="A105:AD105"/>
    <mergeCell ref="M114:O114"/>
    <mergeCell ref="A145:AD145"/>
    <mergeCell ref="E150:H150"/>
    <mergeCell ref="I150:K150"/>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sheetPr filterMode="false">
    <pageSetUpPr fitToPage="false"/>
  </sheetPr>
  <dimension ref="A1:K14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75" zeroHeight="false" outlineLevelRow="0" outlineLevelCol="0"/>
  <cols>
    <col collapsed="false" customWidth="true" hidden="false" outlineLevel="0" max="1" min="1" style="0" width="11.04"/>
    <col collapsed="false" customWidth="true" hidden="false" outlineLevel="0" max="2" min="2" style="1735" width="31.96"/>
    <col collapsed="false" customWidth="true" hidden="false" outlineLevel="0" max="3" min="3" style="1735" width="30.54"/>
    <col collapsed="false" customWidth="true" hidden="false" outlineLevel="0" max="4" min="4" style="0" width="43.51"/>
    <col collapsed="false" customWidth="true" hidden="false" outlineLevel="0" max="5" min="5" style="0" width="48.23"/>
    <col collapsed="false" customWidth="true" hidden="false" outlineLevel="0" max="6" min="6" style="0" width="9.13"/>
    <col collapsed="false" customWidth="true" hidden="false" outlineLevel="0" max="7" min="7" style="0" width="33.38"/>
    <col collapsed="false" customWidth="true" hidden="false" outlineLevel="0" max="8" min="8" style="0" width="11.04"/>
    <col collapsed="false" customWidth="true" hidden="false" outlineLevel="0" max="9" min="9" style="0" width="13.97"/>
    <col collapsed="false" customWidth="true" hidden="false" outlineLevel="0" max="10" min="10" style="0" width="23.39"/>
    <col collapsed="false" customWidth="true" hidden="false" outlineLevel="0" max="11" min="11" style="0" width="20.54"/>
    <col collapsed="false" customWidth="true" hidden="false" outlineLevel="0" max="1025" min="12" style="0" width="11.04"/>
  </cols>
  <sheetData>
    <row r="1" customFormat="false" ht="54" hidden="false" customHeight="true" outlineLevel="0" collapsed="false">
      <c r="A1" s="2583"/>
      <c r="B1" s="2583" t="s">
        <v>3385</v>
      </c>
      <c r="J1" s="2584" t="s">
        <v>3386</v>
      </c>
      <c r="K1" s="1735"/>
    </row>
    <row r="2" customFormat="false" ht="13.5" hidden="false" customHeight="false" outlineLevel="0" collapsed="false">
      <c r="J2" s="1735"/>
      <c r="K2" s="1735"/>
    </row>
    <row r="3" customFormat="false" ht="15.75" hidden="false" customHeight="true" outlineLevel="0" collapsed="false">
      <c r="A3" s="2585" t="s">
        <v>3387</v>
      </c>
      <c r="B3" s="2585"/>
      <c r="C3" s="2585"/>
      <c r="D3" s="2585"/>
      <c r="E3" s="2585"/>
      <c r="I3" s="2585" t="s">
        <v>3297</v>
      </c>
      <c r="J3" s="2586" t="s">
        <v>2823</v>
      </c>
      <c r="K3" s="2585" t="s">
        <v>2824</v>
      </c>
    </row>
    <row r="4" customFormat="false" ht="15.75" hidden="false" customHeight="false" outlineLevel="0" collapsed="false">
      <c r="A4" s="2587" t="s">
        <v>3388</v>
      </c>
      <c r="B4" s="2588" t="s">
        <v>3389</v>
      </c>
      <c r="C4" s="2589" t="s">
        <v>3390</v>
      </c>
      <c r="D4" s="2590" t="s">
        <v>3391</v>
      </c>
      <c r="E4" s="2585" t="s">
        <v>3392</v>
      </c>
      <c r="I4" s="2591" t="s">
        <v>471</v>
      </c>
      <c r="J4" s="2592" t="n">
        <f aca="false">'Dimension agroécologique'!H6</f>
        <v>3</v>
      </c>
      <c r="K4" s="2591" t="n">
        <f aca="false">'Bilan durabilité'!F10</f>
        <v>3</v>
      </c>
    </row>
    <row r="5" customFormat="false" ht="15" hidden="false" customHeight="false" outlineLevel="0" collapsed="false">
      <c r="A5" s="2593" t="s">
        <v>3393</v>
      </c>
      <c r="B5" s="2594" t="s">
        <v>3394</v>
      </c>
      <c r="C5" s="2595" t="s">
        <v>3395</v>
      </c>
      <c r="D5" s="2596" t="n">
        <f aca="false">Notice!K4</f>
        <v>0</v>
      </c>
      <c r="E5" s="2597" t="str">
        <f aca="false">$B$1&amp;D5&amp;$B$1</f>
        <v>"0"</v>
      </c>
      <c r="I5" s="2598" t="s">
        <v>3305</v>
      </c>
      <c r="J5" s="2599" t="n">
        <f aca="false">'Dimension agroécologique'!H22</f>
        <v>2</v>
      </c>
      <c r="K5" s="2598" t="n">
        <f aca="false">'Bilan durabilité'!F11</f>
        <v>2</v>
      </c>
    </row>
    <row r="6" customFormat="false" ht="15" hidden="false" customHeight="false" outlineLevel="0" collapsed="false">
      <c r="A6" s="2600" t="s">
        <v>3396</v>
      </c>
      <c r="B6" s="2601" t="s">
        <v>3397</v>
      </c>
      <c r="C6" s="2602" t="s">
        <v>3398</v>
      </c>
      <c r="D6" s="2603" t="n">
        <f aca="false">'Saisie et Calculateur'!B5</f>
        <v>100003</v>
      </c>
      <c r="E6" s="2600" t="str">
        <f aca="false">$B$1&amp;D6&amp;$B$1</f>
        <v>"100003"</v>
      </c>
      <c r="I6" s="2598" t="s">
        <v>3307</v>
      </c>
      <c r="J6" s="2599" t="n">
        <f aca="false">'Dimension agroécologique'!H45</f>
        <v>0</v>
      </c>
      <c r="K6" s="2598" t="n">
        <f aca="false">'Bilan durabilité'!F12</f>
        <v>0</v>
      </c>
    </row>
    <row r="7" customFormat="false" ht="15" hidden="false" customHeight="false" outlineLevel="0" collapsed="false">
      <c r="A7" s="2600" t="s">
        <v>3399</v>
      </c>
      <c r="B7" s="2601" t="s">
        <v>3400</v>
      </c>
      <c r="C7" s="2602" t="s">
        <v>3401</v>
      </c>
      <c r="D7" s="2603" t="n">
        <f aca="false">'Saisie et Calculateur'!B24</f>
        <v>77</v>
      </c>
      <c r="E7" s="2600" t="n">
        <f aca="false">IF(ISNUMBER(SEARCH(",",D7))=TRUE(),REPLACE(D7,SEARCH(",",D7),1,"."),D7)</f>
        <v>77</v>
      </c>
      <c r="I7" s="2598" t="s">
        <v>3309</v>
      </c>
      <c r="J7" s="2599" t="n">
        <f aca="false">'Dimension agroécologique'!H69</f>
        <v>1</v>
      </c>
      <c r="K7" s="2598" t="n">
        <f aca="false">'Bilan durabilité'!F13</f>
        <v>1</v>
      </c>
    </row>
    <row r="8" customFormat="false" ht="15.75" hidden="false" customHeight="false" outlineLevel="0" collapsed="false">
      <c r="A8" s="2600" t="s">
        <v>3402</v>
      </c>
      <c r="B8" s="2601" t="s">
        <v>3403</v>
      </c>
      <c r="C8" s="2602" t="s">
        <v>3401</v>
      </c>
      <c r="D8" s="2603" t="n">
        <f aca="false">'Saisie et Calculateur'!B37</f>
        <v>2</v>
      </c>
      <c r="E8" s="2600" t="n">
        <f aca="false">IF(ISNUMBER(SEARCH(",",D8))=TRUE(),REPLACE(D8,SEARCH(",",D8),1,"."),D8)</f>
        <v>2</v>
      </c>
      <c r="I8" s="2604" t="s">
        <v>3311</v>
      </c>
      <c r="J8" s="2605" t="n">
        <f aca="false">'Dimension agroécologique'!H85</f>
        <v>2</v>
      </c>
      <c r="K8" s="2604" t="n">
        <f aca="false">'Bilan durabilité'!F14</f>
        <v>2</v>
      </c>
    </row>
    <row r="9" customFormat="false" ht="15" hidden="false" customHeight="false" outlineLevel="0" collapsed="false">
      <c r="A9" s="2600" t="s">
        <v>3404</v>
      </c>
      <c r="B9" s="2601" t="s">
        <v>3405</v>
      </c>
      <c r="C9" s="2602" t="s">
        <v>3406</v>
      </c>
      <c r="D9" s="2603" t="n">
        <f aca="false">'Saisie et Calculateur'!B42</f>
        <v>0</v>
      </c>
      <c r="E9" s="2600" t="n">
        <f aca="false">IF(ISNUMBER(SEARCH(",",D9))=TRUE(),REPLACE(D9,SEARCH(",",D9),1,"."),D9)</f>
        <v>0</v>
      </c>
      <c r="I9" s="2591" t="s">
        <v>3314</v>
      </c>
      <c r="J9" s="2592" t="n">
        <f aca="false">'Dimension agroécologique'!H100</f>
        <v>2</v>
      </c>
      <c r="K9" s="2591" t="n">
        <f aca="false">'Bilan durabilité'!F15</f>
        <v>2</v>
      </c>
    </row>
    <row r="10" customFormat="false" ht="30" hidden="false" customHeight="false" outlineLevel="0" collapsed="false">
      <c r="A10" s="2606" t="s">
        <v>3407</v>
      </c>
      <c r="B10" s="2607" t="s">
        <v>3408</v>
      </c>
      <c r="C10" s="2608" t="s">
        <v>3409</v>
      </c>
      <c r="D10" s="2609" t="str">
        <f aca="false">'Saisie et Calculateur'!F38</f>
        <v>36-45</v>
      </c>
      <c r="E10" s="2606" t="str">
        <f aca="false">$B$1&amp;D10&amp;$B$1</f>
        <v>"36-45"</v>
      </c>
      <c r="I10" s="2598" t="s">
        <v>3316</v>
      </c>
      <c r="J10" s="2599" t="n">
        <f aca="false">IF('Saisie et Calculateur'!B19="non","Pas d'élevage",'Dimension agroécologique'!H111)</f>
        <v>0</v>
      </c>
      <c r="K10" s="2598" t="n">
        <f aca="false">'Bilan durabilité'!F16</f>
        <v>0</v>
      </c>
    </row>
    <row r="11" customFormat="false" ht="15.75" hidden="false" customHeight="false" outlineLevel="0" collapsed="false">
      <c r="A11" s="2600" t="s">
        <v>3410</v>
      </c>
      <c r="B11" s="2601" t="s">
        <v>3411</v>
      </c>
      <c r="C11" s="2602" t="s">
        <v>3412</v>
      </c>
      <c r="D11" s="2603" t="str">
        <f aca="false">'Saisie et Calculateur'!B17</f>
        <v>6184 - Polyculture et/ou polyélevage (et apiculture)</v>
      </c>
      <c r="E11" s="2600" t="str">
        <f aca="false">$B$1&amp;D11&amp;$B$1</f>
        <v>"6184 - Polyculture et/ou polyélevage (et apiculture)"</v>
      </c>
      <c r="I11" s="2604" t="s">
        <v>3318</v>
      </c>
      <c r="J11" s="2605" t="n">
        <f aca="false">'Dimension agroécologique'!H121</f>
        <v>3</v>
      </c>
      <c r="K11" s="2604" t="n">
        <f aca="false">'Bilan durabilité'!F17</f>
        <v>3</v>
      </c>
    </row>
    <row r="12" customFormat="false" ht="15" hidden="false" customHeight="false" outlineLevel="0" collapsed="false">
      <c r="A12" s="2600" t="s">
        <v>3413</v>
      </c>
      <c r="B12" s="2601" t="s">
        <v>3414</v>
      </c>
      <c r="C12" s="2602" t="s">
        <v>3406</v>
      </c>
      <c r="D12" s="2603" t="n">
        <f aca="false">('Saisie et Calculateur'!B26+'Saisie et Calculateur'!B27)/D7</f>
        <v>0.012987012987013</v>
      </c>
      <c r="E12" s="2600" t="str">
        <f aca="false">IF(ISNUMBER(SEARCH(",",D12))=TRUE(),REPLACE(D12,SEARCH(",",D12),1,"."),D12)</f>
        <v>0.012987012987013</v>
      </c>
      <c r="I12" s="2610" t="s">
        <v>3320</v>
      </c>
      <c r="J12" s="2611" t="n">
        <f aca="false">'Dimension agroécologique'!H132</f>
        <v>0</v>
      </c>
      <c r="K12" s="2610" t="n">
        <f aca="false">'Bilan durabilité'!F18</f>
        <v>0</v>
      </c>
    </row>
    <row r="13" customFormat="false" ht="15" hidden="false" customHeight="false" outlineLevel="0" collapsed="false">
      <c r="A13" s="2600" t="s">
        <v>3415</v>
      </c>
      <c r="B13" s="2601" t="s">
        <v>3416</v>
      </c>
      <c r="C13" s="2602" t="s">
        <v>3417</v>
      </c>
      <c r="D13" s="2603" t="n">
        <f aca="false">'Saisie et Calculateur'!I1207</f>
        <v>647629</v>
      </c>
      <c r="E13" s="2600" t="n">
        <f aca="false">IF(ISNUMBER(SEARCH(",",D13))=TRUE(),REPLACE(D13,SEARCH(",",D13),1,"."),D13)</f>
        <v>647629</v>
      </c>
      <c r="I13" s="2612" t="s">
        <v>3322</v>
      </c>
      <c r="J13" s="2613" t="n">
        <f aca="false">'Dimension agroécologique'!H140</f>
        <v>6</v>
      </c>
      <c r="K13" s="2612" t="n">
        <f aca="false">'Bilan durabilité'!F19</f>
        <v>6</v>
      </c>
    </row>
    <row r="14" customFormat="false" ht="15.75" hidden="false" customHeight="false" outlineLevel="0" collapsed="false">
      <c r="A14" s="2600" t="s">
        <v>3418</v>
      </c>
      <c r="B14" s="2601" t="s">
        <v>3419</v>
      </c>
      <c r="C14" s="2602" t="s">
        <v>3420</v>
      </c>
      <c r="D14" s="2603" t="n">
        <f aca="false">'Saisie et Calculateur'!I1187</f>
        <v>111703.5</v>
      </c>
      <c r="E14" s="2600" t="str">
        <f aca="false">IF(ISNUMBER(SEARCH(",",D14))=TRUE(),REPLACE(D14,SEARCH(",",D14),1,"."),D14)</f>
        <v>111703.5</v>
      </c>
      <c r="I14" s="2614" t="s">
        <v>3324</v>
      </c>
      <c r="J14" s="2615" t="n">
        <f aca="false">'Dimension agroécologique'!H147</f>
        <v>5</v>
      </c>
      <c r="K14" s="2614" t="n">
        <f aca="false">'Bilan durabilité'!F20</f>
        <v>5</v>
      </c>
    </row>
    <row r="15" customFormat="false" ht="15" hidden="false" customHeight="false" outlineLevel="0" collapsed="false">
      <c r="A15" s="2600" t="s">
        <v>3421</v>
      </c>
      <c r="B15" s="2601" t="s">
        <v>856</v>
      </c>
      <c r="C15" s="2602" t="s">
        <v>3420</v>
      </c>
      <c r="D15" s="2603" t="n">
        <f aca="false">'Saisie et Calculateur'!I1189</f>
        <v>64404.5</v>
      </c>
      <c r="E15" s="2600" t="str">
        <f aca="false">IF(ISNUMBER(SEARCH(",",D15))=TRUE(),REPLACE(D15,SEARCH(",",D15),1,"."),D15)</f>
        <v>64404.5</v>
      </c>
      <c r="I15" s="2591" t="s">
        <v>3326</v>
      </c>
      <c r="J15" s="2592" t="n">
        <f aca="false">'Dimension agroécologique'!H154</f>
        <v>9</v>
      </c>
      <c r="K15" s="2591" t="n">
        <f aca="false">'Bilan durabilité'!F21</f>
        <v>8</v>
      </c>
    </row>
    <row r="16" customFormat="false" ht="15" hidden="false" customHeight="false" outlineLevel="0" collapsed="false">
      <c r="A16" s="2600" t="s">
        <v>3422</v>
      </c>
      <c r="B16" s="2601" t="s">
        <v>3423</v>
      </c>
      <c r="C16" s="2602" t="s">
        <v>3424</v>
      </c>
      <c r="D16" s="2603" t="str">
        <f aca="false">'Saisie et Calculateur'!B15</f>
        <v>32 - Gers</v>
      </c>
      <c r="E16" s="2600" t="str">
        <f aca="false">$B$1&amp;D16&amp;$B$1</f>
        <v>"32 - Gers"</v>
      </c>
      <c r="I16" s="2598" t="s">
        <v>519</v>
      </c>
      <c r="J16" s="2599" t="n">
        <f aca="false">'Dimension agroécologique'!H169</f>
        <v>2</v>
      </c>
      <c r="K16" s="2598" t="n">
        <f aca="false">'Bilan durabilité'!F22</f>
        <v>2</v>
      </c>
    </row>
    <row r="17" customFormat="false" ht="15" hidden="false" customHeight="false" outlineLevel="0" collapsed="false">
      <c r="A17" s="2600" t="s">
        <v>3425</v>
      </c>
      <c r="B17" s="2601" t="s">
        <v>3426</v>
      </c>
      <c r="C17" s="2602" t="s">
        <v>3009</v>
      </c>
      <c r="D17" s="2603" t="n">
        <f aca="false">IF('Saisie et Calculateur'!F19="oui",1,IF('Saisie et Calculateur'!F19="non",0,"DONNEE MANQUANTE"))</f>
        <v>1</v>
      </c>
      <c r="E17" s="2600" t="n">
        <f aca="false">D17</f>
        <v>1</v>
      </c>
      <c r="I17" s="2598" t="s">
        <v>267</v>
      </c>
      <c r="J17" s="2599" t="n">
        <f aca="false">'Dimension agroécologique'!H189</f>
        <v>2</v>
      </c>
      <c r="K17" s="2598" t="n">
        <f aca="false">'Bilan durabilité'!F23</f>
        <v>2</v>
      </c>
    </row>
    <row r="18" customFormat="false" ht="15.75" hidden="false" customHeight="false" outlineLevel="0" collapsed="false">
      <c r="A18" s="2600" t="s">
        <v>3427</v>
      </c>
      <c r="B18" s="2601" t="s">
        <v>3428</v>
      </c>
      <c r="C18" s="2602" t="s">
        <v>3429</v>
      </c>
      <c r="D18" s="2603" t="n">
        <f aca="false">'Saisie et Calculateur'!F8</f>
        <v>2019</v>
      </c>
      <c r="E18" s="2600" t="n">
        <f aca="false">D18</f>
        <v>2019</v>
      </c>
      <c r="I18" s="2604" t="s">
        <v>248</v>
      </c>
      <c r="J18" s="2605" t="n">
        <f aca="false">'Dimension agroécologique'!H198</f>
        <v>4</v>
      </c>
      <c r="K18" s="2604" t="n">
        <f aca="false">'Bilan durabilité'!F24</f>
        <v>4</v>
      </c>
    </row>
    <row r="19" customFormat="false" ht="30" hidden="false" customHeight="false" outlineLevel="0" collapsed="false">
      <c r="A19" s="2606" t="s">
        <v>3430</v>
      </c>
      <c r="B19" s="2607" t="s">
        <v>3431</v>
      </c>
      <c r="C19" s="2608" t="s">
        <v>3432</v>
      </c>
      <c r="D19" s="2609" t="str">
        <f aca="false">'Saisie et Calculateur'!B19</f>
        <v>1 - monogastrique</v>
      </c>
      <c r="E19" s="2606" t="str">
        <f aca="false">$B$1&amp;D19&amp;$B$1</f>
        <v>"1 - monogastrique"</v>
      </c>
      <c r="I19" s="2616" t="s">
        <v>594</v>
      </c>
      <c r="J19" s="2617" t="n">
        <f aca="false">'Dimension agroécologique'!H209</f>
        <v>1</v>
      </c>
      <c r="K19" s="2616" t="n">
        <f aca="false">'Bilan durabilité'!F25</f>
        <v>1</v>
      </c>
    </row>
    <row r="20" customFormat="false" ht="15" hidden="false" customHeight="false" outlineLevel="0" collapsed="false">
      <c r="A20" s="2600" t="s">
        <v>3433</v>
      </c>
      <c r="B20" s="2601" t="s">
        <v>3434</v>
      </c>
      <c r="C20" s="2602" t="s">
        <v>3406</v>
      </c>
      <c r="D20" s="2603" t="n">
        <f aca="false">'Saisie et Calculateur'!B27/D7</f>
        <v>0.012987012987013</v>
      </c>
      <c r="E20" s="2600" t="str">
        <f aca="false">IF(ISNUMBER(SEARCH(",",D20))=TRUE(),REPLACE(D20,SEARCH(",",D20),1,"."),D20)</f>
        <v>0.012987012987013</v>
      </c>
      <c r="I20" s="2618" t="s">
        <v>493</v>
      </c>
      <c r="J20" s="2619" t="n">
        <f aca="false">'Dimension agroécologique'!H229</f>
        <v>3</v>
      </c>
      <c r="K20" s="2618" t="n">
        <f aca="false">'Bilan durabilité'!F26</f>
        <v>3</v>
      </c>
    </row>
    <row r="21" customFormat="false" ht="15.75" hidden="false" customHeight="false" outlineLevel="0" collapsed="false">
      <c r="A21" s="2620" t="s">
        <v>3435</v>
      </c>
      <c r="B21" s="2621" t="s">
        <v>3436</v>
      </c>
      <c r="C21" s="2622" t="s">
        <v>3009</v>
      </c>
      <c r="D21" s="2623" t="n">
        <f aca="false">IF('Saisie et Calculateur'!B21="oui",1,IF('Saisie et Calculateur'!B21="non",0,"DONNEE MANQUANTE"))</f>
        <v>1</v>
      </c>
      <c r="E21" s="2620" t="n">
        <f aca="false">D21</f>
        <v>1</v>
      </c>
      <c r="I21" s="2618" t="s">
        <v>559</v>
      </c>
      <c r="J21" s="2619" t="n">
        <f aca="false">'Dimension agroécologique'!H240</f>
        <v>5</v>
      </c>
      <c r="K21" s="2618" t="n">
        <f aca="false">'Bilan durabilité'!F27</f>
        <v>5</v>
      </c>
    </row>
    <row r="22" customFormat="false" ht="15.75" hidden="false" customHeight="false" outlineLevel="0" collapsed="false">
      <c r="I22" s="2624" t="s">
        <v>260</v>
      </c>
      <c r="J22" s="2625" t="n">
        <f aca="false">'Dimension agroécologique'!H247</f>
        <v>3</v>
      </c>
      <c r="K22" s="2624" t="n">
        <f aca="false">'Bilan durabilité'!F28</f>
        <v>3</v>
      </c>
    </row>
    <row r="23" customFormat="false" ht="13.5" hidden="false" customHeight="false" outlineLevel="0" collapsed="false">
      <c r="J23" s="1735"/>
      <c r="K23" s="1735"/>
    </row>
    <row r="24" customFormat="false" ht="15.75" hidden="false" customHeight="false" outlineLevel="0" collapsed="false">
      <c r="A24" s="2585" t="s">
        <v>3437</v>
      </c>
      <c r="B24" s="2585"/>
      <c r="C24" s="2585"/>
      <c r="D24" s="2585"/>
      <c r="E24" s="2585"/>
      <c r="I24" s="2626" t="s">
        <v>3043</v>
      </c>
      <c r="J24" s="2626" t="n">
        <f aca="false">'Dimension socio-territoriale'!H7</f>
        <v>9</v>
      </c>
      <c r="K24" s="2627" t="n">
        <f aca="false">'Bilan durabilité'!F32</f>
        <v>6</v>
      </c>
    </row>
    <row r="25" customFormat="false" ht="15.75" hidden="false" customHeight="false" outlineLevel="0" collapsed="false">
      <c r="A25" s="2588" t="s">
        <v>3388</v>
      </c>
      <c r="B25" s="2589" t="s">
        <v>3389</v>
      </c>
      <c r="C25" s="2589"/>
      <c r="D25" s="2589" t="s">
        <v>3390</v>
      </c>
      <c r="E25" s="2585" t="s">
        <v>3392</v>
      </c>
      <c r="I25" s="2628" t="s">
        <v>230</v>
      </c>
      <c r="J25" s="2628" t="n">
        <f aca="false">'Dimension socio-territoriale'!H19</f>
        <v>6</v>
      </c>
      <c r="K25" s="2629" t="n">
        <f aca="false">'Bilan durabilité'!F33</f>
        <v>6</v>
      </c>
    </row>
    <row r="26" customFormat="false" ht="15" hidden="false" customHeight="false" outlineLevel="0" collapsed="false">
      <c r="A26" s="2630" t="s">
        <v>3438</v>
      </c>
      <c r="B26" s="2631" t="s">
        <v>2829</v>
      </c>
      <c r="D26" s="2400" t="s">
        <v>3439</v>
      </c>
      <c r="E26" s="2593" t="n">
        <f aca="false">'Dimension agroécologique'!G6</f>
        <v>3</v>
      </c>
      <c r="I26" s="2628" t="s">
        <v>673</v>
      </c>
      <c r="J26" s="2628" t="n">
        <f aca="false">'Dimension socio-territoriale'!H30</f>
        <v>0</v>
      </c>
      <c r="K26" s="2629" t="n">
        <f aca="false">'Bilan durabilité'!F34</f>
        <v>0</v>
      </c>
    </row>
    <row r="27" customFormat="false" ht="15" hidden="false" customHeight="false" outlineLevel="0" collapsed="false">
      <c r="A27" s="2632" t="s">
        <v>3440</v>
      </c>
      <c r="B27" s="2633" t="s">
        <v>3441</v>
      </c>
      <c r="D27" s="2634" t="s">
        <v>3442</v>
      </c>
      <c r="E27" s="2600" t="n">
        <f aca="false">'Dimension agroécologique'!G15</f>
        <v>0</v>
      </c>
      <c r="I27" s="2628" t="s">
        <v>688</v>
      </c>
      <c r="J27" s="2628" t="n">
        <f aca="false">'Dimension socio-territoriale'!H45</f>
        <v>2</v>
      </c>
      <c r="K27" s="2629" t="n">
        <f aca="false">'Bilan durabilité'!F35</f>
        <v>2</v>
      </c>
    </row>
    <row r="28" customFormat="false" ht="15.75" hidden="false" customHeight="false" outlineLevel="0" collapsed="false">
      <c r="A28" s="2601" t="s">
        <v>3443</v>
      </c>
      <c r="B28" s="2633" t="s">
        <v>2842</v>
      </c>
      <c r="D28" s="2634" t="s">
        <v>3444</v>
      </c>
      <c r="E28" s="2600" t="n">
        <f aca="false">'Dimension agroécologique'!G22</f>
        <v>0</v>
      </c>
      <c r="I28" s="2635" t="s">
        <v>740</v>
      </c>
      <c r="J28" s="2635" t="n">
        <f aca="false">'Dimension socio-territoriale'!H52</f>
        <v>3</v>
      </c>
      <c r="K28" s="2636" t="n">
        <f aca="false">'Bilan durabilité'!F36</f>
        <v>3</v>
      </c>
    </row>
    <row r="29" customFormat="false" ht="15" hidden="false" customHeight="false" outlineLevel="0" collapsed="false">
      <c r="A29" s="2601" t="s">
        <v>3445</v>
      </c>
      <c r="B29" s="2633" t="s">
        <v>3446</v>
      </c>
      <c r="D29" s="2634" t="s">
        <v>3442</v>
      </c>
      <c r="E29" s="2600" t="n">
        <f aca="false">'Dimension agroécologique'!G24</f>
        <v>2</v>
      </c>
      <c r="I29" s="2637" t="s">
        <v>3341</v>
      </c>
      <c r="J29" s="2637" t="n">
        <f aca="false">'Dimension socio-territoriale'!H68</f>
        <v>0</v>
      </c>
      <c r="K29" s="2638" t="n">
        <f aca="false">'Bilan durabilité'!F37</f>
        <v>0</v>
      </c>
    </row>
    <row r="30" customFormat="false" ht="15" hidden="false" customHeight="false" outlineLevel="0" collapsed="false">
      <c r="A30" s="2601" t="s">
        <v>3447</v>
      </c>
      <c r="B30" s="2633" t="s">
        <v>3448</v>
      </c>
      <c r="D30" s="2634" t="s">
        <v>3449</v>
      </c>
      <c r="E30" s="2600" t="n">
        <f aca="false">'Dimension agroécologique'!G35</f>
        <v>0</v>
      </c>
      <c r="I30" s="2639" t="s">
        <v>716</v>
      </c>
      <c r="J30" s="2639" t="n">
        <f aca="false">'Dimension socio-territoriale'!H78</f>
        <v>0</v>
      </c>
      <c r="K30" s="2640" t="n">
        <f aca="false">'Bilan durabilité'!F38</f>
        <v>0</v>
      </c>
    </row>
    <row r="31" customFormat="false" ht="15" hidden="false" customHeight="false" outlineLevel="0" collapsed="false">
      <c r="A31" s="2601" t="s">
        <v>3450</v>
      </c>
      <c r="B31" s="2633" t="s">
        <v>3451</v>
      </c>
      <c r="D31" s="2634" t="s">
        <v>3439</v>
      </c>
      <c r="E31" s="2600" t="n">
        <f aca="false">'Dimension agroécologique'!H45</f>
        <v>0</v>
      </c>
      <c r="I31" s="2639" t="s">
        <v>955</v>
      </c>
      <c r="J31" s="2639" t="n">
        <f aca="false">'Dimension socio-territoriale'!H89</f>
        <v>0</v>
      </c>
      <c r="K31" s="2640" t="n">
        <f aca="false">'Bilan durabilité'!F39</f>
        <v>0</v>
      </c>
    </row>
    <row r="32" customFormat="false" ht="15" hidden="false" customHeight="false" outlineLevel="0" collapsed="false">
      <c r="A32" s="2601" t="s">
        <v>3452</v>
      </c>
      <c r="B32" s="2633" t="s">
        <v>3453</v>
      </c>
      <c r="D32" s="2634" t="s">
        <v>3454</v>
      </c>
      <c r="E32" s="2600" t="n">
        <f aca="false">'Dimension agroécologique'!G69</f>
        <v>1</v>
      </c>
      <c r="I32" s="2639" t="s">
        <v>227</v>
      </c>
      <c r="J32" s="2639" t="n">
        <f aca="false">'Dimension socio-territoriale'!H102</f>
        <v>6</v>
      </c>
      <c r="K32" s="2640" t="n">
        <f aca="false">'Bilan durabilité'!F40</f>
        <v>5</v>
      </c>
    </row>
    <row r="33" customFormat="false" ht="15" hidden="false" customHeight="false" outlineLevel="0" collapsed="false">
      <c r="A33" s="2601" t="s">
        <v>3455</v>
      </c>
      <c r="B33" s="2633" t="s">
        <v>3456</v>
      </c>
      <c r="D33" s="2634" t="s">
        <v>3454</v>
      </c>
      <c r="E33" s="2600" t="n">
        <f aca="false">'Dimension agroécologique'!G78</f>
        <v>0</v>
      </c>
      <c r="I33" s="2639" t="s">
        <v>257</v>
      </c>
      <c r="J33" s="2639" t="n">
        <f aca="false">'Dimension socio-territoriale'!H125</f>
        <v>3</v>
      </c>
      <c r="K33" s="2640" t="n">
        <f aca="false">'Bilan durabilité'!F41</f>
        <v>3</v>
      </c>
    </row>
    <row r="34" customFormat="false" ht="15" hidden="false" customHeight="false" outlineLevel="0" collapsed="false">
      <c r="A34" s="2601" t="s">
        <v>3457</v>
      </c>
      <c r="B34" s="2633" t="s">
        <v>3458</v>
      </c>
      <c r="D34" s="2634" t="s">
        <v>3449</v>
      </c>
      <c r="E34" s="2600" t="n">
        <f aca="false">'Dimension agroécologique'!G86</f>
        <v>2</v>
      </c>
      <c r="I34" s="2639" t="s">
        <v>721</v>
      </c>
      <c r="J34" s="2639" t="n">
        <f aca="false">'Dimension socio-territoriale'!H141</f>
        <v>3</v>
      </c>
      <c r="K34" s="2640" t="n">
        <f aca="false">'Bilan durabilité'!F42</f>
        <v>3</v>
      </c>
    </row>
    <row r="35" customFormat="false" ht="15" hidden="false" customHeight="false" outlineLevel="0" collapsed="false">
      <c r="A35" s="2601" t="s">
        <v>3459</v>
      </c>
      <c r="B35" s="2633" t="s">
        <v>3460</v>
      </c>
      <c r="D35" s="2634" t="s">
        <v>3449</v>
      </c>
      <c r="E35" s="2600" t="n">
        <f aca="false">'Dimension agroécologique'!G88</f>
        <v>0</v>
      </c>
      <c r="I35" s="2639" t="s">
        <v>701</v>
      </c>
      <c r="J35" s="2639" t="n">
        <f aca="false">'Dimension socio-territoriale'!H154</f>
        <v>2</v>
      </c>
      <c r="K35" s="2640" t="n">
        <f aca="false">'Bilan durabilité'!F43</f>
        <v>2</v>
      </c>
    </row>
    <row r="36" customFormat="false" ht="15.75" hidden="false" customHeight="false" outlineLevel="0" collapsed="false">
      <c r="A36" s="2601" t="s">
        <v>3461</v>
      </c>
      <c r="B36" s="2633" t="s">
        <v>3462</v>
      </c>
      <c r="D36" s="2634" t="s">
        <v>3444</v>
      </c>
      <c r="E36" s="2600" t="n">
        <f aca="false">'Dimension agroécologique'!G93</f>
        <v>0</v>
      </c>
      <c r="I36" s="2641" t="s">
        <v>3349</v>
      </c>
      <c r="J36" s="2641" t="n">
        <f aca="false">'Dimension socio-territoriale'!H162</f>
        <v>4</v>
      </c>
      <c r="K36" s="2642" t="n">
        <f aca="false">'Bilan durabilité'!F44</f>
        <v>3</v>
      </c>
    </row>
    <row r="37" customFormat="false" ht="15" hidden="false" customHeight="false" outlineLevel="0" collapsed="false">
      <c r="A37" s="2601" t="s">
        <v>3463</v>
      </c>
      <c r="B37" s="2633" t="s">
        <v>3464</v>
      </c>
      <c r="D37" s="2634" t="s">
        <v>3454</v>
      </c>
      <c r="E37" s="2600" t="n">
        <f aca="false">'Dimension agroécologique'!G100</f>
        <v>0</v>
      </c>
      <c r="I37" s="2637" t="s">
        <v>756</v>
      </c>
      <c r="J37" s="2637" t="n">
        <f aca="false">'Dimension socio-territoriale'!H172</f>
        <v>8</v>
      </c>
      <c r="K37" s="2638" t="n">
        <f aca="false">'Bilan durabilité'!F45</f>
        <v>6</v>
      </c>
    </row>
    <row r="38" customFormat="false" ht="15" hidden="false" customHeight="false" outlineLevel="0" collapsed="false">
      <c r="A38" s="2601" t="s">
        <v>3465</v>
      </c>
      <c r="B38" s="2633" t="s">
        <v>3466</v>
      </c>
      <c r="D38" s="2634" t="s">
        <v>3454</v>
      </c>
      <c r="E38" s="2600" t="n">
        <f aca="false">'Dimension agroécologique'!G102</f>
        <v>2</v>
      </c>
      <c r="I38" s="2639" t="s">
        <v>669</v>
      </c>
      <c r="J38" s="2639" t="n">
        <f aca="false">'Dimension socio-territoriale'!H186</f>
        <v>2</v>
      </c>
      <c r="K38" s="2640" t="n">
        <f aca="false">'Bilan durabilité'!F46</f>
        <v>2</v>
      </c>
    </row>
    <row r="39" customFormat="false" ht="15" hidden="false" customHeight="false" outlineLevel="0" collapsed="false">
      <c r="A39" s="2601" t="s">
        <v>3467</v>
      </c>
      <c r="B39" s="2633" t="s">
        <v>2920</v>
      </c>
      <c r="D39" s="2634" t="s">
        <v>3454</v>
      </c>
      <c r="E39" s="2600" t="n">
        <f aca="false">'Dimension agroécologique'!G104</f>
        <v>0</v>
      </c>
      <c r="I39" s="2639" t="s">
        <v>774</v>
      </c>
      <c r="J39" s="2639" t="n">
        <f aca="false">'Dimension socio-territoriale'!H195</f>
        <v>5</v>
      </c>
      <c r="K39" s="2640" t="n">
        <f aca="false">'Bilan durabilité'!F47</f>
        <v>5</v>
      </c>
    </row>
    <row r="40" customFormat="false" ht="15" hidden="false" customHeight="false" outlineLevel="0" collapsed="false">
      <c r="A40" s="2601" t="s">
        <v>3468</v>
      </c>
      <c r="B40" s="2633" t="s">
        <v>2924</v>
      </c>
      <c r="D40" s="2634" t="s">
        <v>3469</v>
      </c>
      <c r="E40" s="2600" t="n">
        <f aca="false">'Dimension agroécologique'!G112</f>
        <v>0</v>
      </c>
      <c r="I40" s="2639" t="s">
        <v>782</v>
      </c>
      <c r="J40" s="2639" t="n">
        <f aca="false">'Dimension socio-territoriale'!H210</f>
        <v>5</v>
      </c>
      <c r="K40" s="2640" t="n">
        <f aca="false">'Bilan durabilité'!F48</f>
        <v>5</v>
      </c>
    </row>
    <row r="41" customFormat="false" ht="15.75" hidden="false" customHeight="false" outlineLevel="0" collapsed="false">
      <c r="A41" s="2601" t="s">
        <v>3470</v>
      </c>
      <c r="B41" s="2633" t="s">
        <v>3471</v>
      </c>
      <c r="D41" s="2634" t="s">
        <v>3469</v>
      </c>
      <c r="E41" s="2600" t="n">
        <f aca="false">'Dimension agroécologique'!G114</f>
        <v>0</v>
      </c>
      <c r="I41" s="2641" t="s">
        <v>751</v>
      </c>
      <c r="J41" s="2641" t="n">
        <f aca="false">'Dimension socio-territoriale'!H224</f>
        <v>2</v>
      </c>
      <c r="K41" s="2642" t="n">
        <f aca="false">'Bilan durabilité'!F49</f>
        <v>2</v>
      </c>
    </row>
    <row r="42" customFormat="false" ht="15" hidden="false" customHeight="false" outlineLevel="0" collapsed="false">
      <c r="A42" s="2601" t="s">
        <v>3472</v>
      </c>
      <c r="B42" s="2633" t="s">
        <v>2930</v>
      </c>
      <c r="D42" s="2634" t="s">
        <v>3473</v>
      </c>
      <c r="E42" s="2600" t="n">
        <f aca="false">'Dimension agroécologique'!G121</f>
        <v>2</v>
      </c>
      <c r="I42" s="2643" t="s">
        <v>791</v>
      </c>
      <c r="J42" s="2643" t="n">
        <f aca="false">'Dimension socio-territoriale'!H238</f>
        <v>4</v>
      </c>
      <c r="K42" s="2644" t="n">
        <f aca="false">'Bilan durabilité'!F50</f>
        <v>4</v>
      </c>
    </row>
    <row r="43" customFormat="false" ht="15" hidden="false" customHeight="false" outlineLevel="0" collapsed="false">
      <c r="A43" s="2601" t="s">
        <v>3474</v>
      </c>
      <c r="B43" s="2633" t="s">
        <v>3475</v>
      </c>
      <c r="D43" s="2634" t="s">
        <v>3442</v>
      </c>
      <c r="E43" s="2600" t="n">
        <f aca="false">'Dimension agroécologique'!G123</f>
        <v>1</v>
      </c>
      <c r="I43" s="2639" t="s">
        <v>800</v>
      </c>
      <c r="J43" s="2639" t="n">
        <f aca="false">'Dimension socio-territoriale'!H256</f>
        <v>0</v>
      </c>
      <c r="K43" s="2640" t="n">
        <f aca="false">'Bilan durabilité'!F51</f>
        <v>2</v>
      </c>
    </row>
    <row r="44" customFormat="false" ht="15" hidden="false" customHeight="false" outlineLevel="0" collapsed="false">
      <c r="A44" s="2601" t="s">
        <v>3476</v>
      </c>
      <c r="B44" s="2633" t="s">
        <v>3477</v>
      </c>
      <c r="D44" s="2634" t="s">
        <v>3469</v>
      </c>
      <c r="E44" s="2600" t="n">
        <f aca="false">'Dimension agroécologique'!H132</f>
        <v>0</v>
      </c>
      <c r="I44" s="2639" t="s">
        <v>808</v>
      </c>
      <c r="J44" s="2639" t="n">
        <f aca="false">'Dimension socio-territoriale'!H269</f>
        <v>5</v>
      </c>
      <c r="K44" s="2640" t="n">
        <f aca="false">'Bilan durabilité'!F52</f>
        <v>5</v>
      </c>
    </row>
    <row r="45" customFormat="false" ht="15" hidden="false" customHeight="false" outlineLevel="0" collapsed="false">
      <c r="A45" s="2601" t="s">
        <v>3478</v>
      </c>
      <c r="B45" s="2633" t="s">
        <v>3479</v>
      </c>
      <c r="D45" s="2634" t="s">
        <v>3469</v>
      </c>
      <c r="E45" s="2600" t="n">
        <f aca="false">'Dimension agroécologique'!G140</f>
        <v>6</v>
      </c>
      <c r="I45" s="2639" t="s">
        <v>811</v>
      </c>
      <c r="J45" s="2639" t="n">
        <f aca="false">'Dimension socio-territoriale'!H276</f>
        <v>3</v>
      </c>
      <c r="K45" s="2640" t="n">
        <f aca="false">'Bilan durabilité'!F53</f>
        <v>3</v>
      </c>
    </row>
    <row r="46" customFormat="false" ht="15.75" hidden="false" customHeight="false" outlineLevel="0" collapsed="false">
      <c r="A46" s="2601" t="s">
        <v>3480</v>
      </c>
      <c r="B46" s="2633" t="s">
        <v>3481</v>
      </c>
      <c r="D46" s="2634" t="s">
        <v>3469</v>
      </c>
      <c r="E46" s="2600" t="n">
        <f aca="false">'Dimension agroécologique'!G147</f>
        <v>5</v>
      </c>
      <c r="I46" s="2641" t="s">
        <v>3205</v>
      </c>
      <c r="J46" s="2641" t="n">
        <f aca="false">'Dimension socio-territoriale'!H284</f>
        <v>5</v>
      </c>
      <c r="K46" s="2642" t="n">
        <f aca="false">'Bilan durabilité'!F54</f>
        <v>5</v>
      </c>
    </row>
    <row r="47" customFormat="false" ht="15.75" hidden="false" customHeight="false" outlineLevel="0" collapsed="false">
      <c r="A47" s="2601" t="s">
        <v>3482</v>
      </c>
      <c r="B47" s="2633" t="s">
        <v>3483</v>
      </c>
      <c r="D47" s="2634" t="s">
        <v>3442</v>
      </c>
      <c r="E47" s="2600" t="n">
        <f aca="false">'Dimension agroécologique'!G154</f>
        <v>1</v>
      </c>
      <c r="I47" s="365"/>
      <c r="J47" s="365"/>
      <c r="K47" s="365"/>
    </row>
    <row r="48" customFormat="false" ht="15" hidden="false" customHeight="false" outlineLevel="0" collapsed="false">
      <c r="A48" s="2601" t="s">
        <v>3484</v>
      </c>
      <c r="B48" s="2633" t="s">
        <v>2951</v>
      </c>
      <c r="D48" s="2634" t="s">
        <v>3442</v>
      </c>
      <c r="E48" s="2600" t="n">
        <f aca="false">'Dimension agroécologique'!G159</f>
        <v>4</v>
      </c>
      <c r="I48" s="2627" t="s">
        <v>840</v>
      </c>
      <c r="J48" s="2645" t="n">
        <f aca="false">'Dimension économique'!G6</f>
        <v>16</v>
      </c>
      <c r="K48" s="2627" t="n">
        <f aca="false">'Bilan durabilité'!F58</f>
        <v>16</v>
      </c>
    </row>
    <row r="49" customFormat="false" ht="15" hidden="false" customHeight="false" outlineLevel="0" collapsed="false">
      <c r="A49" s="2601" t="s">
        <v>3485</v>
      </c>
      <c r="B49" s="2633" t="s">
        <v>2954</v>
      </c>
      <c r="D49" s="2634" t="s">
        <v>3442</v>
      </c>
      <c r="E49" s="2600" t="n">
        <f aca="false">'Dimension agroécologique'!G162</f>
        <v>4</v>
      </c>
      <c r="I49" s="2629" t="s">
        <v>865</v>
      </c>
      <c r="J49" s="2646" t="n">
        <f aca="false">'Dimension économique'!G15</f>
        <v>0</v>
      </c>
      <c r="K49" s="2629" t="n">
        <f aca="false">'Bilan durabilité'!F59</f>
        <v>0</v>
      </c>
    </row>
    <row r="50" customFormat="false" ht="15.75" hidden="false" customHeight="false" outlineLevel="0" collapsed="false">
      <c r="A50" s="2601" t="s">
        <v>3486</v>
      </c>
      <c r="B50" s="2633" t="s">
        <v>2957</v>
      </c>
      <c r="D50" s="2634" t="s">
        <v>3487</v>
      </c>
      <c r="E50" s="2600" t="n">
        <f aca="false">'Dimension agroécologique'!G169</f>
        <v>1</v>
      </c>
      <c r="I50" s="2636" t="s">
        <v>859</v>
      </c>
      <c r="J50" s="2647" t="n">
        <f aca="false">'Dimension économique'!G22</f>
        <v>6</v>
      </c>
      <c r="K50" s="2636" t="n">
        <f aca="false">'Bilan durabilité'!F60</f>
        <v>6</v>
      </c>
    </row>
    <row r="51" customFormat="false" ht="15" hidden="false" customHeight="false" outlineLevel="0" collapsed="false">
      <c r="A51" s="2601" t="s">
        <v>3488</v>
      </c>
      <c r="B51" s="2633" t="s">
        <v>2963</v>
      </c>
      <c r="D51" s="2634" t="s">
        <v>3487</v>
      </c>
      <c r="E51" s="2648" t="n">
        <f aca="false">'Dimension agroécologique'!G173</f>
        <v>1</v>
      </c>
      <c r="I51" s="2627" t="s">
        <v>3239</v>
      </c>
      <c r="J51" s="2645" t="n">
        <f aca="false">'Dimension économique'!G29</f>
        <v>6</v>
      </c>
      <c r="K51" s="2627" t="n">
        <f aca="false">'Bilan durabilité'!F61</f>
        <v>6</v>
      </c>
    </row>
    <row r="52" customFormat="false" ht="15" hidden="false" customHeight="false" outlineLevel="0" collapsed="false">
      <c r="A52" s="2601" t="s">
        <v>3489</v>
      </c>
      <c r="B52" s="2633" t="s">
        <v>2971</v>
      </c>
      <c r="D52" s="2634" t="s">
        <v>3449</v>
      </c>
      <c r="E52" s="2600" t="n">
        <f aca="false">'Dimension agroécologique'!G182</f>
        <v>0</v>
      </c>
      <c r="I52" s="2629" t="s">
        <v>945</v>
      </c>
      <c r="J52" s="2646" t="n">
        <f aca="false">'Dimension économique'!G40</f>
        <v>4</v>
      </c>
      <c r="K52" s="2629" t="n">
        <f aca="false">'Bilan durabilité'!F62</f>
        <v>4</v>
      </c>
    </row>
    <row r="53" customFormat="false" ht="15" hidden="false" customHeight="false" outlineLevel="0" collapsed="false">
      <c r="A53" s="2601" t="s">
        <v>3490</v>
      </c>
      <c r="B53" s="2633" t="s">
        <v>3491</v>
      </c>
      <c r="D53" s="2634" t="s">
        <v>3442</v>
      </c>
      <c r="E53" s="2600" t="n">
        <f aca="false">'Dimension agroécologique'!G191</f>
        <v>2</v>
      </c>
      <c r="I53" s="2629" t="s">
        <v>851</v>
      </c>
      <c r="J53" s="2646" t="n">
        <f aca="false">'Dimension économique'!G53</f>
        <v>6</v>
      </c>
      <c r="K53" s="2629" t="n">
        <f aca="false">'Bilan durabilité'!F63</f>
        <v>6</v>
      </c>
    </row>
    <row r="54" customFormat="false" ht="15.75" hidden="false" customHeight="false" outlineLevel="0" collapsed="false">
      <c r="A54" s="2601" t="s">
        <v>3492</v>
      </c>
      <c r="B54" s="2633" t="s">
        <v>3493</v>
      </c>
      <c r="D54" s="2634" t="s">
        <v>3442</v>
      </c>
      <c r="E54" s="2648" t="n">
        <f aca="false">'Dimension agroécologique'!G193</f>
        <v>2</v>
      </c>
      <c r="I54" s="2636" t="s">
        <v>874</v>
      </c>
      <c r="J54" s="2647" t="n">
        <f aca="false">'Dimension économique'!G60</f>
        <v>4</v>
      </c>
      <c r="K54" s="2636" t="n">
        <f aca="false">'Bilan durabilité'!F64</f>
        <v>4</v>
      </c>
    </row>
    <row r="55" customFormat="false" ht="15" hidden="false" customHeight="false" outlineLevel="0" collapsed="false">
      <c r="A55" s="2601" t="s">
        <v>3494</v>
      </c>
      <c r="B55" s="2633" t="s">
        <v>3495</v>
      </c>
      <c r="D55" s="2634" t="s">
        <v>3496</v>
      </c>
      <c r="E55" s="2600" t="n">
        <f aca="false">'Dimension agroécologique'!G198</f>
        <v>2</v>
      </c>
      <c r="I55" s="2627" t="s">
        <v>868</v>
      </c>
      <c r="J55" s="2645" t="n">
        <f aca="false">'Dimension économique'!G67</f>
        <v>6</v>
      </c>
      <c r="K55" s="2627" t="n">
        <f aca="false">'Bilan durabilité'!F65</f>
        <v>6</v>
      </c>
    </row>
    <row r="56" customFormat="false" ht="15.75" hidden="false" customHeight="false" outlineLevel="0" collapsed="false">
      <c r="A56" s="2601" t="s">
        <v>3497</v>
      </c>
      <c r="B56" s="2633" t="s">
        <v>3498</v>
      </c>
      <c r="D56" s="2634" t="s">
        <v>3496</v>
      </c>
      <c r="E56" s="2600" t="n">
        <f aca="false">'Dimension agroécologique'!G200</f>
        <v>2</v>
      </c>
      <c r="I56" s="2636" t="s">
        <v>878</v>
      </c>
      <c r="J56" s="2647" t="n">
        <f aca="false">'Dimension économique'!G76</f>
        <v>8</v>
      </c>
      <c r="K56" s="2636" t="n">
        <f aca="false">'Bilan durabilité'!F66</f>
        <v>8</v>
      </c>
    </row>
    <row r="57" customFormat="false" ht="15" hidden="false" customHeight="false" outlineLevel="0" collapsed="false">
      <c r="A57" s="2601" t="s">
        <v>3499</v>
      </c>
      <c r="B57" s="2633" t="s">
        <v>3500</v>
      </c>
      <c r="D57" s="2634" t="s">
        <v>3501</v>
      </c>
      <c r="E57" s="2600" t="n">
        <f aca="false">'Dimension agroécologique'!G202</f>
        <v>0</v>
      </c>
      <c r="I57" s="2627" t="s">
        <v>826</v>
      </c>
      <c r="J57" s="2645" t="n">
        <f aca="false">'Dimension économique'!G88</f>
        <v>12</v>
      </c>
      <c r="K57" s="2627" t="n">
        <f aca="false">'Bilan durabilité'!F67</f>
        <v>12</v>
      </c>
    </row>
    <row r="58" customFormat="false" ht="15.75" hidden="false" customHeight="false" outlineLevel="0" collapsed="false">
      <c r="A58" s="2601" t="s">
        <v>3502</v>
      </c>
      <c r="B58" s="2633" t="s">
        <v>3503</v>
      </c>
      <c r="D58" s="2634" t="s">
        <v>3504</v>
      </c>
      <c r="E58" s="2600" t="n">
        <f aca="false">'Dimension agroécologique'!G209</f>
        <v>0</v>
      </c>
      <c r="I58" s="2636" t="s">
        <v>833</v>
      </c>
      <c r="J58" s="2647" t="n">
        <f aca="false">'Dimension économique'!G96</f>
        <v>0</v>
      </c>
      <c r="K58" s="2636" t="n">
        <f aca="false">'Bilan durabilité'!F68</f>
        <v>0</v>
      </c>
    </row>
    <row r="59" customFormat="false" ht="15" hidden="false" customHeight="false" outlineLevel="0" collapsed="false">
      <c r="A59" s="2601" t="s">
        <v>3505</v>
      </c>
      <c r="B59" s="2633" t="s">
        <v>3506</v>
      </c>
      <c r="D59" s="2634" t="s">
        <v>3454</v>
      </c>
      <c r="E59" s="2600" t="n">
        <f aca="false">'Dimension agroécologique'!G216</f>
        <v>1</v>
      </c>
    </row>
    <row r="60" customFormat="false" ht="15" hidden="false" customHeight="false" outlineLevel="0" collapsed="false">
      <c r="A60" s="2601" t="s">
        <v>3507</v>
      </c>
      <c r="B60" s="2633" t="s">
        <v>3508</v>
      </c>
      <c r="D60" s="2634" t="s">
        <v>3449</v>
      </c>
      <c r="E60" s="2600" t="n">
        <f aca="false">'Dimension agroécologique'!G219</f>
        <v>0</v>
      </c>
    </row>
    <row r="61" customFormat="false" ht="15" hidden="false" customHeight="false" outlineLevel="0" collapsed="false">
      <c r="A61" s="2601" t="s">
        <v>3509</v>
      </c>
      <c r="B61" s="2633" t="s">
        <v>3007</v>
      </c>
      <c r="D61" s="2634" t="s">
        <v>3454</v>
      </c>
      <c r="E61" s="2600" t="n">
        <f aca="false">'Dimension agroécologique'!G229</f>
        <v>2</v>
      </c>
    </row>
    <row r="62" customFormat="false" ht="15" hidden="false" customHeight="false" outlineLevel="0" collapsed="false">
      <c r="A62" s="2601" t="s">
        <v>3510</v>
      </c>
      <c r="B62" s="2633" t="s">
        <v>3015</v>
      </c>
      <c r="D62" s="2634" t="s">
        <v>3454</v>
      </c>
      <c r="E62" s="2600" t="n">
        <f aca="false">'Dimension agroécologique'!G229</f>
        <v>2</v>
      </c>
    </row>
    <row r="63" customFormat="false" ht="15" hidden="false" customHeight="false" outlineLevel="0" collapsed="false">
      <c r="A63" s="2601" t="s">
        <v>3511</v>
      </c>
      <c r="B63" s="2633" t="s">
        <v>3512</v>
      </c>
      <c r="D63" s="2634" t="s">
        <v>3473</v>
      </c>
      <c r="E63" s="2648" t="n">
        <f aca="false">'Dimension agroécologique'!H240</f>
        <v>5</v>
      </c>
    </row>
    <row r="64" customFormat="false" ht="15" hidden="false" customHeight="false" outlineLevel="0" collapsed="false">
      <c r="A64" s="2601" t="s">
        <v>3513</v>
      </c>
      <c r="B64" s="2633" t="s">
        <v>3514</v>
      </c>
      <c r="D64" s="2634" t="s">
        <v>3515</v>
      </c>
      <c r="E64" s="2600" t="n">
        <f aca="false">'Dimension agroécologique'!G247</f>
        <v>3</v>
      </c>
    </row>
    <row r="65" customFormat="false" ht="15" hidden="false" customHeight="false" outlineLevel="0" collapsed="false">
      <c r="A65" s="2601" t="s">
        <v>3516</v>
      </c>
      <c r="B65" s="2633" t="s">
        <v>3517</v>
      </c>
      <c r="D65" s="2634" t="s">
        <v>3518</v>
      </c>
      <c r="E65" s="2600" t="n">
        <f aca="false">'Dimension agroécologique'!G258</f>
        <v>6</v>
      </c>
    </row>
    <row r="66" customFormat="false" ht="15" hidden="false" customHeight="false" outlineLevel="0" collapsed="false">
      <c r="A66" s="2601" t="s">
        <v>3519</v>
      </c>
      <c r="B66" s="2633" t="s">
        <v>3520</v>
      </c>
      <c r="D66" s="2634" t="s">
        <v>3473</v>
      </c>
      <c r="E66" s="2600" t="n">
        <f aca="false">'Dimension socio-territoriale'!G7</f>
        <v>6</v>
      </c>
    </row>
    <row r="67" customFormat="false" ht="15" hidden="false" customHeight="false" outlineLevel="0" collapsed="false">
      <c r="A67" s="2601" t="s">
        <v>3521</v>
      </c>
      <c r="B67" s="2633" t="s">
        <v>3522</v>
      </c>
      <c r="D67" s="2634" t="s">
        <v>3454</v>
      </c>
      <c r="E67" s="2600" t="n">
        <f aca="false">'Dimension socio-territoriale'!G10</f>
        <v>0</v>
      </c>
    </row>
    <row r="68" customFormat="false" ht="15" hidden="false" customHeight="false" outlineLevel="0" collapsed="false">
      <c r="A68" s="2601" t="s">
        <v>3523</v>
      </c>
      <c r="B68" s="2633" t="s">
        <v>3524</v>
      </c>
      <c r="D68" s="2634" t="s">
        <v>3454</v>
      </c>
      <c r="E68" s="2600" t="n">
        <f aca="false">'Dimension socio-territoriale'!G12</f>
        <v>3</v>
      </c>
    </row>
    <row r="69" customFormat="false" ht="15" hidden="false" customHeight="false" outlineLevel="0" collapsed="false">
      <c r="A69" s="2601" t="s">
        <v>3525</v>
      </c>
      <c r="B69" s="2633" t="s">
        <v>3526</v>
      </c>
      <c r="D69" s="2634" t="s">
        <v>3473</v>
      </c>
      <c r="E69" s="2600" t="n">
        <f aca="false">'Dimension socio-territoriale'!G19</f>
        <v>6</v>
      </c>
    </row>
    <row r="70" customFormat="false" ht="15" hidden="false" customHeight="false" outlineLevel="0" collapsed="false">
      <c r="A70" s="2601" t="s">
        <v>3527</v>
      </c>
      <c r="B70" s="2633" t="s">
        <v>3528</v>
      </c>
      <c r="D70" s="2634" t="s">
        <v>3473</v>
      </c>
      <c r="E70" s="2600" t="n">
        <f aca="false">'Dimension socio-territoriale'!G22</f>
        <v>0</v>
      </c>
    </row>
    <row r="71" customFormat="false" ht="15" hidden="false" customHeight="false" outlineLevel="0" collapsed="false">
      <c r="A71" s="2601" t="s">
        <v>3529</v>
      </c>
      <c r="B71" s="2633" t="s">
        <v>3530</v>
      </c>
      <c r="D71" s="2634" t="s">
        <v>3442</v>
      </c>
      <c r="E71" s="2600" t="n">
        <f aca="false">'Dimension socio-territoriale'!G30</f>
        <v>0</v>
      </c>
    </row>
    <row r="72" customFormat="false" ht="15" hidden="false" customHeight="false" outlineLevel="0" collapsed="false">
      <c r="A72" s="2601" t="s">
        <v>3531</v>
      </c>
      <c r="B72" s="2633" t="s">
        <v>3067</v>
      </c>
      <c r="D72" s="2634" t="s">
        <v>3449</v>
      </c>
      <c r="E72" s="2600" t="n">
        <f aca="false">'Dimension socio-territoriale'!G35</f>
        <v>0</v>
      </c>
    </row>
    <row r="73" customFormat="false" ht="15" hidden="false" customHeight="false" outlineLevel="0" collapsed="false">
      <c r="A73" s="2601" t="s">
        <v>3532</v>
      </c>
      <c r="B73" s="2633" t="s">
        <v>3069</v>
      </c>
      <c r="D73" s="2634" t="s">
        <v>3473</v>
      </c>
      <c r="E73" s="2600" t="n">
        <f aca="false">'Dimension socio-territoriale'!G38</f>
        <v>0</v>
      </c>
    </row>
    <row r="74" customFormat="false" ht="15" hidden="false" customHeight="false" outlineLevel="0" collapsed="false">
      <c r="A74" s="2601" t="s">
        <v>3533</v>
      </c>
      <c r="B74" s="2633" t="s">
        <v>3534</v>
      </c>
      <c r="D74" s="2634" t="s">
        <v>3473</v>
      </c>
      <c r="E74" s="2600" t="n">
        <f aca="false">'Dimension socio-territoriale'!H45</f>
        <v>2</v>
      </c>
    </row>
    <row r="75" customFormat="false" ht="15" hidden="false" customHeight="false" outlineLevel="0" collapsed="false">
      <c r="A75" s="2601" t="s">
        <v>3535</v>
      </c>
      <c r="B75" s="2633" t="s">
        <v>3536</v>
      </c>
      <c r="D75" s="2634" t="s">
        <v>3454</v>
      </c>
      <c r="E75" s="2600" t="n">
        <f aca="false">'Dimension socio-territoriale'!G52</f>
        <v>0</v>
      </c>
    </row>
    <row r="76" customFormat="false" ht="15" hidden="false" customHeight="false" outlineLevel="0" collapsed="false">
      <c r="A76" s="2601" t="s">
        <v>3537</v>
      </c>
      <c r="B76" s="2633" t="s">
        <v>3538</v>
      </c>
      <c r="D76" s="2634" t="s">
        <v>3454</v>
      </c>
      <c r="E76" s="2600" t="n">
        <f aca="false">'Dimension socio-territoriale'!G56</f>
        <v>0</v>
      </c>
    </row>
    <row r="77" customFormat="false" ht="15" hidden="false" customHeight="false" outlineLevel="0" collapsed="false">
      <c r="A77" s="2601" t="s">
        <v>3539</v>
      </c>
      <c r="B77" s="2633" t="s">
        <v>3540</v>
      </c>
      <c r="D77" s="2634" t="s">
        <v>3454</v>
      </c>
      <c r="E77" s="2600" t="n">
        <f aca="false">'Dimension socio-territoriale'!G60</f>
        <v>3</v>
      </c>
    </row>
    <row r="78" customFormat="false" ht="15" hidden="false" customHeight="false" outlineLevel="0" collapsed="false">
      <c r="A78" s="2601" t="s">
        <v>3541</v>
      </c>
      <c r="B78" s="2633" t="s">
        <v>3542</v>
      </c>
      <c r="D78" s="2634" t="s">
        <v>3439</v>
      </c>
      <c r="E78" s="2600" t="n">
        <f aca="false">'Dimension socio-territoriale'!G68</f>
        <v>0</v>
      </c>
    </row>
    <row r="79" customFormat="false" ht="15" hidden="false" customHeight="false" outlineLevel="0" collapsed="false">
      <c r="A79" s="2601" t="s">
        <v>3543</v>
      </c>
      <c r="B79" s="2633" t="s">
        <v>3544</v>
      </c>
      <c r="D79" s="2634" t="s">
        <v>3454</v>
      </c>
      <c r="E79" s="2600" t="n">
        <f aca="false">'Dimension socio-territoriale'!G71</f>
        <v>0</v>
      </c>
    </row>
    <row r="80" customFormat="false" ht="15" hidden="false" customHeight="false" outlineLevel="0" collapsed="false">
      <c r="A80" s="2601" t="s">
        <v>3545</v>
      </c>
      <c r="B80" s="2633" t="s">
        <v>3546</v>
      </c>
      <c r="D80" s="2634" t="s">
        <v>3449</v>
      </c>
      <c r="E80" s="2600" t="n">
        <f aca="false">'Dimension socio-territoriale'!G78</f>
        <v>0</v>
      </c>
    </row>
    <row r="81" customFormat="false" ht="15" hidden="false" customHeight="false" outlineLevel="0" collapsed="false">
      <c r="A81" s="2601" t="s">
        <v>3547</v>
      </c>
      <c r="B81" s="2633" t="s">
        <v>3548</v>
      </c>
      <c r="D81" s="2634" t="s">
        <v>3449</v>
      </c>
      <c r="E81" s="2600" t="n">
        <f aca="false">'Dimension socio-territoriale'!G80</f>
        <v>0</v>
      </c>
    </row>
    <row r="82" customFormat="false" ht="15" hidden="false" customHeight="false" outlineLevel="0" collapsed="false">
      <c r="A82" s="2601" t="s">
        <v>3549</v>
      </c>
      <c r="B82" s="2633" t="s">
        <v>3550</v>
      </c>
      <c r="D82" s="2634" t="s">
        <v>3449</v>
      </c>
      <c r="E82" s="2600" t="n">
        <f aca="false">'Dimension socio-territoriale'!G82</f>
        <v>0</v>
      </c>
    </row>
    <row r="83" customFormat="false" ht="15" hidden="false" customHeight="false" outlineLevel="0" collapsed="false">
      <c r="A83" s="2601" t="s">
        <v>3551</v>
      </c>
      <c r="B83" s="2633" t="s">
        <v>3552</v>
      </c>
      <c r="D83" s="2634" t="s">
        <v>3449</v>
      </c>
      <c r="E83" s="2600" t="n">
        <f aca="false">'Dimension socio-territoriale'!G89</f>
        <v>0</v>
      </c>
    </row>
    <row r="84" customFormat="false" ht="15" hidden="false" customHeight="false" outlineLevel="0" collapsed="false">
      <c r="A84" s="2601" t="s">
        <v>3553</v>
      </c>
      <c r="B84" s="2633" t="s">
        <v>3095</v>
      </c>
      <c r="D84" s="2634" t="s">
        <v>3454</v>
      </c>
      <c r="E84" s="2600" t="n">
        <f aca="false">'Dimension socio-territoriale'!G92</f>
        <v>0</v>
      </c>
    </row>
    <row r="85" customFormat="false" ht="15" hidden="false" customHeight="false" outlineLevel="0" collapsed="false">
      <c r="A85" s="2601" t="s">
        <v>3554</v>
      </c>
      <c r="B85" s="2633" t="s">
        <v>3555</v>
      </c>
      <c r="D85" s="2634" t="s">
        <v>3454</v>
      </c>
      <c r="E85" s="2600" t="n">
        <f aca="false">'Dimension socio-territoriale'!G95</f>
        <v>0</v>
      </c>
    </row>
    <row r="86" customFormat="false" ht="15" hidden="false" customHeight="false" outlineLevel="0" collapsed="false">
      <c r="A86" s="2601" t="s">
        <v>3556</v>
      </c>
      <c r="B86" s="2633" t="s">
        <v>3557</v>
      </c>
      <c r="D86" s="2634" t="s">
        <v>3439</v>
      </c>
      <c r="E86" s="2600" t="n">
        <f aca="false">'Dimension socio-territoriale'!G102</f>
        <v>3</v>
      </c>
    </row>
    <row r="87" customFormat="false" ht="15" hidden="false" customHeight="false" outlineLevel="0" collapsed="false">
      <c r="A87" s="2601" t="s">
        <v>3558</v>
      </c>
      <c r="B87" s="2633" t="s">
        <v>3559</v>
      </c>
      <c r="D87" s="2634" t="s">
        <v>3454</v>
      </c>
      <c r="E87" s="2600" t="n">
        <f aca="false">'Dimension socio-territoriale'!G110</f>
        <v>3</v>
      </c>
    </row>
    <row r="88" customFormat="false" ht="15" hidden="false" customHeight="false" outlineLevel="0" collapsed="false">
      <c r="A88" s="2601" t="s">
        <v>3560</v>
      </c>
      <c r="B88" s="2633" t="s">
        <v>3561</v>
      </c>
      <c r="D88" s="2634" t="s">
        <v>3449</v>
      </c>
      <c r="E88" s="2600" t="n">
        <f aca="false">'Dimension socio-territoriale'!G116</f>
        <v>0</v>
      </c>
    </row>
    <row r="89" customFormat="false" ht="15" hidden="false" customHeight="false" outlineLevel="0" collapsed="false">
      <c r="A89" s="2601" t="s">
        <v>3562</v>
      </c>
      <c r="B89" s="2633" t="s">
        <v>3121</v>
      </c>
      <c r="D89" s="2634" t="s">
        <v>3444</v>
      </c>
      <c r="E89" s="2600" t="n">
        <f aca="false">'Dimension socio-territoriale'!G125</f>
        <v>1</v>
      </c>
    </row>
    <row r="90" customFormat="false" ht="15" hidden="false" customHeight="false" outlineLevel="0" collapsed="false">
      <c r="A90" s="2601" t="s">
        <v>3563</v>
      </c>
      <c r="B90" s="2633" t="s">
        <v>3122</v>
      </c>
      <c r="D90" s="2634" t="s">
        <v>3444</v>
      </c>
      <c r="E90" s="2600" t="n">
        <f aca="false">'Dimension socio-territoriale'!G128</f>
        <v>1</v>
      </c>
    </row>
    <row r="91" customFormat="false" ht="15" hidden="false" customHeight="false" outlineLevel="0" collapsed="false">
      <c r="A91" s="2601" t="s">
        <v>3564</v>
      </c>
      <c r="B91" s="2633" t="s">
        <v>3565</v>
      </c>
      <c r="D91" s="2634" t="s">
        <v>3444</v>
      </c>
      <c r="E91" s="2600" t="n">
        <f aca="false">'Dimension socio-territoriale'!G131</f>
        <v>1</v>
      </c>
    </row>
    <row r="92" customFormat="false" ht="15" hidden="false" customHeight="false" outlineLevel="0" collapsed="false">
      <c r="A92" s="2601" t="s">
        <v>3566</v>
      </c>
      <c r="B92" s="2633" t="s">
        <v>3567</v>
      </c>
      <c r="D92" s="2634" t="s">
        <v>3444</v>
      </c>
      <c r="E92" s="2600" t="n">
        <f aca="false">'Dimension socio-territoriale'!G134</f>
        <v>0</v>
      </c>
    </row>
    <row r="93" customFormat="false" ht="15" hidden="false" customHeight="false" outlineLevel="0" collapsed="false">
      <c r="A93" s="2601" t="s">
        <v>3568</v>
      </c>
      <c r="B93" s="2633" t="s">
        <v>3126</v>
      </c>
      <c r="D93" s="2634" t="s">
        <v>3449</v>
      </c>
      <c r="E93" s="2600" t="n">
        <f aca="false">'Dimension socio-territoriale'!G141</f>
        <v>2</v>
      </c>
    </row>
    <row r="94" customFormat="false" ht="15" hidden="false" customHeight="false" outlineLevel="0" collapsed="false">
      <c r="A94" s="2601" t="s">
        <v>3569</v>
      </c>
      <c r="B94" s="2633" t="s">
        <v>3570</v>
      </c>
      <c r="D94" s="2634" t="s">
        <v>3454</v>
      </c>
      <c r="E94" s="2600" t="n">
        <f aca="false">'Dimension socio-territoriale'!G144</f>
        <v>0</v>
      </c>
    </row>
    <row r="95" customFormat="false" ht="15" hidden="false" customHeight="false" outlineLevel="0" collapsed="false">
      <c r="A95" s="2601" t="s">
        <v>3571</v>
      </c>
      <c r="B95" s="2633" t="s">
        <v>3572</v>
      </c>
      <c r="D95" s="2634" t="s">
        <v>3444</v>
      </c>
      <c r="E95" s="2600" t="n">
        <f aca="false">'Dimension socio-territoriale'!G147</f>
        <v>1</v>
      </c>
    </row>
    <row r="96" customFormat="false" ht="15" hidden="false" customHeight="false" outlineLevel="0" collapsed="false">
      <c r="A96" s="2601" t="s">
        <v>3573</v>
      </c>
      <c r="B96" s="2633" t="s">
        <v>3574</v>
      </c>
      <c r="D96" s="2634" t="s">
        <v>3454</v>
      </c>
      <c r="E96" s="2600" t="n">
        <f aca="false">'Dimension socio-territoriale'!G155</f>
        <v>2</v>
      </c>
    </row>
    <row r="97" customFormat="false" ht="15" hidden="false" customHeight="false" outlineLevel="0" collapsed="false">
      <c r="A97" s="2601" t="s">
        <v>3575</v>
      </c>
      <c r="B97" s="2633" t="s">
        <v>3576</v>
      </c>
      <c r="D97" s="2634" t="s">
        <v>3577</v>
      </c>
      <c r="E97" s="2600" t="n">
        <f aca="false">'Dimension socio-territoriale'!G156</f>
        <v>0</v>
      </c>
    </row>
    <row r="98" customFormat="false" ht="15" hidden="false" customHeight="false" outlineLevel="0" collapsed="false">
      <c r="A98" s="2601" t="s">
        <v>3578</v>
      </c>
      <c r="B98" s="2633" t="s">
        <v>3579</v>
      </c>
      <c r="D98" s="2634" t="s">
        <v>3449</v>
      </c>
      <c r="E98" s="2600" t="n">
        <f aca="false">'Dimension socio-territoriale'!G162</f>
        <v>2</v>
      </c>
    </row>
    <row r="99" customFormat="false" ht="15" hidden="false" customHeight="false" outlineLevel="0" collapsed="false">
      <c r="A99" s="2601" t="s">
        <v>3580</v>
      </c>
      <c r="B99" s="2633" t="s">
        <v>3581</v>
      </c>
      <c r="D99" s="2634" t="s">
        <v>3449</v>
      </c>
      <c r="E99" s="2600" t="n">
        <f aca="false">'Dimension socio-territoriale'!G165</f>
        <v>2</v>
      </c>
    </row>
    <row r="100" customFormat="false" ht="15" hidden="false" customHeight="false" outlineLevel="0" collapsed="false">
      <c r="A100" s="2601" t="s">
        <v>3582</v>
      </c>
      <c r="B100" s="2633" t="s">
        <v>3583</v>
      </c>
      <c r="D100" s="2634" t="s">
        <v>3454</v>
      </c>
      <c r="E100" s="2600" t="n">
        <f aca="false">'Dimension socio-territoriale'!G172</f>
        <v>2</v>
      </c>
    </row>
    <row r="101" customFormat="false" ht="15" hidden="false" customHeight="false" outlineLevel="0" collapsed="false">
      <c r="A101" s="2601" t="s">
        <v>3584</v>
      </c>
      <c r="B101" s="2633" t="s">
        <v>3141</v>
      </c>
      <c r="D101" s="2634" t="s">
        <v>3454</v>
      </c>
      <c r="E101" s="2600" t="n">
        <f aca="false">'Dimension socio-territoriale'!G174</f>
        <v>3</v>
      </c>
    </row>
    <row r="102" customFormat="false" ht="15" hidden="false" customHeight="false" outlineLevel="0" collapsed="false">
      <c r="A102" s="2601" t="s">
        <v>3585</v>
      </c>
      <c r="B102" s="2633" t="s">
        <v>3147</v>
      </c>
      <c r="D102" s="2634" t="s">
        <v>3454</v>
      </c>
      <c r="E102" s="2600" t="n">
        <f aca="false">'Dimension socio-territoriale'!G178</f>
        <v>3</v>
      </c>
    </row>
    <row r="103" customFormat="false" ht="15" hidden="false" customHeight="false" outlineLevel="0" collapsed="false">
      <c r="A103" s="2601" t="s">
        <v>3586</v>
      </c>
      <c r="B103" s="2633" t="s">
        <v>3151</v>
      </c>
      <c r="D103" s="2634" t="s">
        <v>3442</v>
      </c>
      <c r="E103" s="2600" t="n">
        <f aca="false">'Dimension socio-territoriale'!G186</f>
        <v>2</v>
      </c>
    </row>
    <row r="104" customFormat="false" ht="15" hidden="false" customHeight="false" outlineLevel="0" collapsed="false">
      <c r="A104" s="2601" t="s">
        <v>3587</v>
      </c>
      <c r="B104" s="2633" t="s">
        <v>3152</v>
      </c>
      <c r="D104" s="2634" t="s">
        <v>3454</v>
      </c>
      <c r="E104" s="2600" t="n">
        <f aca="false">'Dimension socio-territoriale'!G188</f>
        <v>0</v>
      </c>
    </row>
    <row r="105" customFormat="false" ht="15" hidden="false" customHeight="false" outlineLevel="0" collapsed="false">
      <c r="A105" s="2601" t="s">
        <v>3588</v>
      </c>
      <c r="B105" s="2633" t="s">
        <v>3589</v>
      </c>
      <c r="D105" s="2634" t="s">
        <v>3442</v>
      </c>
      <c r="E105" s="2600" t="n">
        <f aca="false">'Dimension socio-territoriale'!G195</f>
        <v>3</v>
      </c>
    </row>
    <row r="106" customFormat="false" ht="15" hidden="false" customHeight="false" outlineLevel="0" collapsed="false">
      <c r="A106" s="2601" t="s">
        <v>3590</v>
      </c>
      <c r="B106" s="2633" t="s">
        <v>3591</v>
      </c>
      <c r="D106" s="2634" t="s">
        <v>3454</v>
      </c>
      <c r="E106" s="2600" t="n">
        <f aca="false">'Dimension socio-territoriale'!G197</f>
        <v>1</v>
      </c>
    </row>
    <row r="107" customFormat="false" ht="15" hidden="false" customHeight="false" outlineLevel="0" collapsed="false">
      <c r="A107" s="2601" t="s">
        <v>3592</v>
      </c>
      <c r="B107" s="2633" t="s">
        <v>3158</v>
      </c>
      <c r="D107" s="2634" t="s">
        <v>3593</v>
      </c>
      <c r="E107" s="2600" t="n">
        <f aca="false">'Dimension socio-territoriale'!G200</f>
        <v>3</v>
      </c>
    </row>
    <row r="108" customFormat="false" ht="15" hidden="false" customHeight="false" outlineLevel="0" collapsed="false">
      <c r="A108" s="2601" t="s">
        <v>3594</v>
      </c>
      <c r="B108" s="2633" t="s">
        <v>3163</v>
      </c>
      <c r="D108" s="2634" t="s">
        <v>3595</v>
      </c>
      <c r="E108" s="2600" t="n">
        <f aca="false">'Dimension socio-territoriale'!G203</f>
        <v>-2</v>
      </c>
    </row>
    <row r="109" customFormat="false" ht="15" hidden="false" customHeight="false" outlineLevel="0" collapsed="false">
      <c r="A109" s="2601" t="s">
        <v>3596</v>
      </c>
      <c r="B109" s="2633" t="s">
        <v>3597</v>
      </c>
      <c r="D109" s="2634" t="s">
        <v>3449</v>
      </c>
      <c r="E109" s="2600" t="n">
        <f aca="false">'Dimension socio-territoriale'!G210</f>
        <v>2</v>
      </c>
    </row>
    <row r="110" customFormat="false" ht="15" hidden="false" customHeight="false" outlineLevel="0" collapsed="false">
      <c r="A110" s="2601" t="s">
        <v>3598</v>
      </c>
      <c r="B110" s="2633" t="s">
        <v>3171</v>
      </c>
      <c r="D110" s="2634" t="s">
        <v>3444</v>
      </c>
      <c r="E110" s="2600" t="n">
        <f aca="false">'Dimension socio-territoriale'!G212</f>
        <v>1</v>
      </c>
    </row>
    <row r="111" customFormat="false" ht="15" hidden="false" customHeight="false" outlineLevel="0" collapsed="false">
      <c r="A111" s="2601" t="s">
        <v>3599</v>
      </c>
      <c r="B111" s="2633" t="s">
        <v>3173</v>
      </c>
      <c r="D111" s="2634" t="s">
        <v>3504</v>
      </c>
      <c r="E111" s="2600" t="n">
        <f aca="false">'Dimension socio-territoriale'!G215</f>
        <v>2</v>
      </c>
    </row>
    <row r="112" customFormat="false" ht="15" hidden="false" customHeight="false" outlineLevel="0" collapsed="false">
      <c r="A112" s="2601" t="s">
        <v>3600</v>
      </c>
      <c r="B112" s="2633" t="s">
        <v>3601</v>
      </c>
      <c r="D112" s="2634" t="s">
        <v>3454</v>
      </c>
      <c r="E112" s="2600" t="n">
        <f aca="false">'Dimension socio-territoriale'!G224</f>
        <v>0</v>
      </c>
    </row>
    <row r="113" customFormat="false" ht="15" hidden="false" customHeight="false" outlineLevel="0" collapsed="false">
      <c r="A113" s="2601" t="s">
        <v>3602</v>
      </c>
      <c r="B113" s="2633" t="s">
        <v>3603</v>
      </c>
      <c r="D113" s="2634" t="s">
        <v>3449</v>
      </c>
      <c r="E113" s="2600" t="n">
        <f aca="false">'Dimension socio-territoriale'!G227</f>
        <v>0</v>
      </c>
    </row>
    <row r="114" customFormat="false" ht="15" hidden="false" customHeight="false" outlineLevel="0" collapsed="false">
      <c r="A114" s="2601" t="s">
        <v>3604</v>
      </c>
      <c r="B114" s="2633" t="s">
        <v>3605</v>
      </c>
      <c r="D114" s="2634" t="s">
        <v>3449</v>
      </c>
      <c r="E114" s="2600" t="n">
        <f aca="false">'Dimension socio-territoriale'!G230</f>
        <v>2</v>
      </c>
    </row>
    <row r="115" customFormat="false" ht="15" hidden="false" customHeight="false" outlineLevel="0" collapsed="false">
      <c r="A115" s="2601" t="s">
        <v>3606</v>
      </c>
      <c r="B115" s="2633" t="s">
        <v>3185</v>
      </c>
      <c r="D115" s="2634" t="s">
        <v>3449</v>
      </c>
      <c r="E115" s="2600" t="n">
        <f aca="false">'Dimension socio-territoriale'!G238</f>
        <v>2</v>
      </c>
    </row>
    <row r="116" customFormat="false" ht="15" hidden="false" customHeight="false" outlineLevel="0" collapsed="false">
      <c r="A116" s="2601" t="s">
        <v>3607</v>
      </c>
      <c r="B116" s="2633" t="s">
        <v>3608</v>
      </c>
      <c r="D116" s="2634" t="s">
        <v>3449</v>
      </c>
      <c r="E116" s="2600" t="n">
        <f aca="false">'Dimension socio-territoriale'!G241</f>
        <v>2</v>
      </c>
    </row>
    <row r="117" customFormat="false" ht="15" hidden="false" customHeight="false" outlineLevel="0" collapsed="false">
      <c r="A117" s="2601" t="s">
        <v>3609</v>
      </c>
      <c r="B117" s="2633" t="s">
        <v>3610</v>
      </c>
      <c r="D117" s="2634" t="s">
        <v>3449</v>
      </c>
      <c r="E117" s="2600" t="n">
        <f aca="false">'Dimension socio-territoriale'!G244</f>
        <v>0</v>
      </c>
    </row>
    <row r="118" customFormat="false" ht="15" hidden="false" customHeight="false" outlineLevel="0" collapsed="false">
      <c r="A118" s="2601" t="s">
        <v>3611</v>
      </c>
      <c r="B118" s="2633" t="s">
        <v>3612</v>
      </c>
      <c r="D118" s="2634" t="s">
        <v>3449</v>
      </c>
      <c r="E118" s="2600" t="n">
        <f aca="false">'Dimension socio-territoriale'!G247</f>
        <v>0</v>
      </c>
    </row>
    <row r="119" customFormat="false" ht="15" hidden="false" customHeight="false" outlineLevel="0" collapsed="false">
      <c r="A119" s="2601" t="s">
        <v>3613</v>
      </c>
      <c r="B119" s="2633" t="s">
        <v>3614</v>
      </c>
      <c r="D119" s="2634" t="s">
        <v>3449</v>
      </c>
      <c r="E119" s="2600" t="n">
        <f aca="false">'Dimension socio-territoriale'!G250</f>
        <v>0</v>
      </c>
    </row>
    <row r="120" customFormat="false" ht="15" hidden="false" customHeight="false" outlineLevel="0" collapsed="false">
      <c r="A120" s="2601" t="s">
        <v>3615</v>
      </c>
      <c r="B120" s="2633" t="s">
        <v>3616</v>
      </c>
      <c r="D120" s="2634" t="s">
        <v>3501</v>
      </c>
      <c r="E120" s="2600" t="n">
        <f aca="false">'Dimension socio-territoriale'!G253</f>
        <v>0</v>
      </c>
    </row>
    <row r="121" customFormat="false" ht="15" hidden="false" customHeight="false" outlineLevel="0" collapsed="false">
      <c r="A121" s="2601" t="s">
        <v>3617</v>
      </c>
      <c r="B121" s="2633" t="s">
        <v>3196</v>
      </c>
      <c r="D121" s="2634" t="s">
        <v>3442</v>
      </c>
      <c r="E121" s="2600" t="n">
        <f aca="false">'Dimension socio-territoriale'!G259</f>
        <v>2</v>
      </c>
    </row>
    <row r="122" customFormat="false" ht="15" hidden="false" customHeight="false" outlineLevel="0" collapsed="false">
      <c r="A122" s="2601" t="s">
        <v>3618</v>
      </c>
      <c r="B122" s="2633" t="s">
        <v>3619</v>
      </c>
      <c r="D122" s="2634" t="s">
        <v>3473</v>
      </c>
      <c r="E122" s="2600" t="n">
        <f aca="false">'Dimension socio-territoriale'!G262</f>
        <v>0</v>
      </c>
    </row>
    <row r="123" customFormat="false" ht="15" hidden="false" customHeight="false" outlineLevel="0" collapsed="false">
      <c r="A123" s="2601" t="s">
        <v>3620</v>
      </c>
      <c r="B123" s="2633" t="s">
        <v>3621</v>
      </c>
      <c r="D123" s="2634" t="s">
        <v>3473</v>
      </c>
      <c r="E123" s="2600" t="n">
        <f aca="false">'Dimension socio-territoriale'!G269</f>
        <v>5</v>
      </c>
    </row>
    <row r="124" customFormat="false" ht="15" hidden="false" customHeight="false" outlineLevel="0" collapsed="false">
      <c r="A124" s="2601" t="s">
        <v>3622</v>
      </c>
      <c r="B124" s="2633" t="s">
        <v>3623</v>
      </c>
      <c r="D124" s="2634" t="s">
        <v>3454</v>
      </c>
      <c r="E124" s="2600" t="n">
        <f aca="false">'Dimension socio-territoriale'!E277</f>
        <v>2</v>
      </c>
    </row>
    <row r="125" customFormat="false" ht="15" hidden="false" customHeight="false" outlineLevel="0" collapsed="false">
      <c r="A125" s="2601" t="s">
        <v>3624</v>
      </c>
      <c r="B125" s="2633" t="s">
        <v>3625</v>
      </c>
      <c r="D125" s="2634" t="s">
        <v>3454</v>
      </c>
      <c r="E125" s="2600" t="n">
        <f aca="false">'Dimension socio-territoriale'!E278</f>
        <v>1</v>
      </c>
    </row>
    <row r="126" customFormat="false" ht="15" hidden="false" customHeight="false" outlineLevel="0" collapsed="false">
      <c r="A126" s="2601" t="s">
        <v>3626</v>
      </c>
      <c r="B126" s="2633" t="s">
        <v>3627</v>
      </c>
      <c r="D126" s="2634" t="s">
        <v>3473</v>
      </c>
      <c r="E126" s="2600" t="n">
        <f aca="false">'Dimension socio-territoriale'!G286</f>
        <v>4</v>
      </c>
    </row>
    <row r="127" customFormat="false" ht="15" hidden="false" customHeight="false" outlineLevel="0" collapsed="false">
      <c r="A127" s="2601" t="s">
        <v>3628</v>
      </c>
      <c r="B127" s="2633" t="s">
        <v>3218</v>
      </c>
      <c r="D127" s="2634" t="s">
        <v>3515</v>
      </c>
      <c r="E127" s="2600" t="n">
        <f aca="false">'Dimension socio-territoriale'!G299</f>
        <v>5</v>
      </c>
    </row>
    <row r="128" customFormat="false" ht="15" hidden="false" customHeight="false" outlineLevel="0" collapsed="false">
      <c r="A128" s="2601" t="s">
        <v>3629</v>
      </c>
      <c r="B128" s="2633" t="s">
        <v>3227</v>
      </c>
      <c r="D128" s="2634" t="s">
        <v>3630</v>
      </c>
      <c r="E128" s="2600" t="n">
        <f aca="false">'Dimension économique'!F6</f>
        <v>12</v>
      </c>
    </row>
    <row r="129" customFormat="false" ht="15" hidden="false" customHeight="false" outlineLevel="0" collapsed="false">
      <c r="A129" s="2601" t="s">
        <v>3631</v>
      </c>
      <c r="B129" s="2633" t="s">
        <v>3229</v>
      </c>
      <c r="D129" s="2634" t="s">
        <v>3439</v>
      </c>
      <c r="E129" s="2600" t="n">
        <f aca="false">'Dimension économique'!F9</f>
        <v>4</v>
      </c>
    </row>
    <row r="130" customFormat="false" ht="15" hidden="false" customHeight="false" outlineLevel="0" collapsed="false">
      <c r="A130" s="2601" t="s">
        <v>3632</v>
      </c>
      <c r="B130" s="2633" t="s">
        <v>3633</v>
      </c>
      <c r="D130" s="2634" t="s">
        <v>3634</v>
      </c>
      <c r="E130" s="2600" t="n">
        <f aca="false">'Dimension économique'!F15</f>
        <v>0</v>
      </c>
    </row>
    <row r="131" customFormat="false" ht="15" hidden="false" customHeight="false" outlineLevel="0" collapsed="false">
      <c r="A131" s="2601" t="s">
        <v>3635</v>
      </c>
      <c r="B131" s="2633" t="s">
        <v>3636</v>
      </c>
      <c r="D131" s="2634" t="s">
        <v>3473</v>
      </c>
      <c r="E131" s="2600" t="n">
        <f aca="false">'Dimension économique'!F22</f>
        <v>6</v>
      </c>
    </row>
    <row r="132" customFormat="false" ht="15" hidden="false" customHeight="false" outlineLevel="0" collapsed="false">
      <c r="A132" s="2601" t="s">
        <v>3637</v>
      </c>
      <c r="B132" s="2633" t="s">
        <v>3638</v>
      </c>
      <c r="D132" s="2634" t="s">
        <v>3469</v>
      </c>
      <c r="E132" s="2600" t="n">
        <f aca="false">'Dimension économique'!F29</f>
        <v>4</v>
      </c>
    </row>
    <row r="133" customFormat="false" ht="15" hidden="false" customHeight="false" outlineLevel="0" collapsed="false">
      <c r="A133" s="2601" t="s">
        <v>3639</v>
      </c>
      <c r="B133" s="2633" t="s">
        <v>3640</v>
      </c>
      <c r="D133" s="2634" t="s">
        <v>3442</v>
      </c>
      <c r="E133" s="2600" t="n">
        <f aca="false">'Dimension économique'!F32</f>
        <v>2</v>
      </c>
    </row>
    <row r="134" customFormat="false" ht="15" hidden="false" customHeight="false" outlineLevel="0" collapsed="false">
      <c r="A134" s="2601" t="s">
        <v>3641</v>
      </c>
      <c r="B134" s="2633" t="s">
        <v>3642</v>
      </c>
      <c r="D134" s="2634" t="s">
        <v>3473</v>
      </c>
      <c r="E134" s="2600" t="n">
        <f aca="false">'Dimension économique'!F40</f>
        <v>3</v>
      </c>
    </row>
    <row r="135" customFormat="false" ht="15" hidden="false" customHeight="false" outlineLevel="0" collapsed="false">
      <c r="A135" s="2601" t="s">
        <v>3643</v>
      </c>
      <c r="B135" s="2633" t="s">
        <v>3644</v>
      </c>
      <c r="D135" s="2634" t="s">
        <v>3473</v>
      </c>
      <c r="E135" s="2600" t="n">
        <f aca="false">'Dimension économique'!E45</f>
        <v>3</v>
      </c>
    </row>
    <row r="136" customFormat="false" ht="15" hidden="false" customHeight="false" outlineLevel="0" collapsed="false">
      <c r="A136" s="2601" t="s">
        <v>3645</v>
      </c>
      <c r="B136" s="2633" t="s">
        <v>3646</v>
      </c>
      <c r="D136" s="2634" t="s">
        <v>3501</v>
      </c>
      <c r="E136" s="2600" t="n">
        <f aca="false">'Dimension économique'!E47</f>
        <v>-2</v>
      </c>
    </row>
    <row r="137" customFormat="false" ht="15" hidden="false" customHeight="false" outlineLevel="0" collapsed="false">
      <c r="A137" s="2601" t="s">
        <v>3647</v>
      </c>
      <c r="B137" s="2633" t="s">
        <v>3648</v>
      </c>
      <c r="D137" s="2634" t="s">
        <v>3473</v>
      </c>
      <c r="E137" s="2600" t="n">
        <f aca="false">'Dimension économique'!F53</f>
        <v>6</v>
      </c>
    </row>
    <row r="138" customFormat="false" ht="15" hidden="false" customHeight="false" outlineLevel="0" collapsed="false">
      <c r="A138" s="2601" t="s">
        <v>3649</v>
      </c>
      <c r="B138" s="2633" t="s">
        <v>3650</v>
      </c>
      <c r="D138" s="2634" t="s">
        <v>3442</v>
      </c>
      <c r="E138" s="2600" t="n">
        <f aca="false">'Dimension économique'!F60</f>
        <v>4</v>
      </c>
    </row>
    <row r="139" customFormat="false" ht="15" hidden="false" customHeight="false" outlineLevel="0" collapsed="false">
      <c r="A139" s="2601" t="s">
        <v>3651</v>
      </c>
      <c r="B139" s="2633" t="s">
        <v>3652</v>
      </c>
      <c r="D139" s="2634" t="s">
        <v>3653</v>
      </c>
      <c r="E139" s="2600" t="n">
        <f aca="false">'Dimension économique'!F67</f>
        <v>6</v>
      </c>
    </row>
    <row r="140" customFormat="false" ht="15" hidden="false" customHeight="false" outlineLevel="0" collapsed="false">
      <c r="A140" s="2601" t="s">
        <v>3654</v>
      </c>
      <c r="B140" s="2633" t="s">
        <v>3655</v>
      </c>
      <c r="D140" s="2634" t="s">
        <v>3439</v>
      </c>
      <c r="E140" s="2600" t="n">
        <f aca="false">'Dimension économique'!F76</f>
        <v>5</v>
      </c>
    </row>
    <row r="141" customFormat="false" ht="15" hidden="false" customHeight="false" outlineLevel="0" collapsed="false">
      <c r="A141" s="2601" t="s">
        <v>3656</v>
      </c>
      <c r="B141" s="2633" t="s">
        <v>3657</v>
      </c>
      <c r="D141" s="2634" t="s">
        <v>3454</v>
      </c>
      <c r="E141" s="2600" t="n">
        <f aca="false">'Dimension économique'!F79</f>
        <v>3</v>
      </c>
    </row>
    <row r="142" customFormat="false" ht="15" hidden="false" customHeight="false" outlineLevel="0" collapsed="false">
      <c r="A142" s="2601" t="s">
        <v>3658</v>
      </c>
      <c r="B142" s="2633" t="s">
        <v>3659</v>
      </c>
      <c r="D142" s="2634" t="s">
        <v>3634</v>
      </c>
      <c r="E142" s="2600" t="n">
        <f aca="false">'Dimension économique'!F88</f>
        <v>12</v>
      </c>
    </row>
    <row r="143" customFormat="false" ht="15.75" hidden="false" customHeight="false" outlineLevel="0" collapsed="false">
      <c r="A143" s="2621" t="s">
        <v>3660</v>
      </c>
      <c r="B143" s="2649" t="s">
        <v>3661</v>
      </c>
      <c r="D143" s="2650" t="s">
        <v>3469</v>
      </c>
      <c r="E143" s="2620" t="n">
        <f aca="false">'Dimension économique'!F96</f>
        <v>0</v>
      </c>
    </row>
  </sheetData>
  <mergeCells count="3">
    <mergeCell ref="A3:E3"/>
    <mergeCell ref="A24:E24"/>
    <mergeCell ref="B25:C2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_x005F_x0000__x005F_x0000__x005F_x0000_</Template>
  <TotalTime>289</TotalTime>
  <Application>LibreOffice/6.2.5.2$Linux_X86_64 LibreOffice_project/20$Build-2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2015-09-17T09:45:44Z</dcterms:created>
  <dc:creator>Administrateur</dc:creator>
  <dc:description/>
  <dc:language>fr-FR</dc:language>
  <cp:lastModifiedBy/>
  <cp:lastPrinted>2020-01-08T00:48:26Z</cp:lastPrinted>
  <dcterms:modified xsi:type="dcterms:W3CDTF">2020-01-16T16:47:47Z</dcterms:modified>
  <cp:revision>28</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